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10.bin" ContentType="application/vnd.openxmlformats-officedocument.oleObject"/>
  <Override PartName="/xl/embeddings/oleObject11.bin" ContentType="application/vnd.openxmlformats-officedocument.oleObject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gif" ContentType="image/gif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embeddings/oleObject9.bin" ContentType="application/vnd.openxmlformats-officedocument.oleObject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35" windowWidth="18915" windowHeight="11790"/>
  </bookViews>
  <sheets>
    <sheet name="SFC calculation" sheetId="1" r:id="rId1"/>
    <sheet name="Equations Herrmann" sheetId="2" r:id="rId2"/>
    <sheet name="Equations Roux-Scholz" sheetId="3" r:id="rId3"/>
  </sheets>
  <definedNames>
    <definedName name="a">'SFC calculation'!$C$29</definedName>
    <definedName name="a0">'SFC calculation'!$C$28</definedName>
    <definedName name="BPR">'SFC calculation'!$C$5</definedName>
    <definedName name="ca">'SFC calculation'!$C$37</definedName>
    <definedName name="cabase">'SFC calculation'!$C$36</definedName>
    <definedName name="cb">'SFC calculation'!$C$39</definedName>
    <definedName name="cbbase">'SFC calculation'!$C$38</definedName>
    <definedName name="chi">'SFC calculation'!$C$22</definedName>
    <definedName name="DPP">'SFC calculation'!$C$9</definedName>
    <definedName name="_xlnm.Print_Area" localSheetId="0">'SFC calculation'!$A$1:$U$253</definedName>
    <definedName name="eta_comp">'SFC calculation'!$C$12</definedName>
    <definedName name="eta_fan">'SFC calculation'!$C$11</definedName>
    <definedName name="eta_gasgen">'SFC calculation'!$C$23</definedName>
    <definedName name="eta_inlet">'SFC calculation'!$C$10</definedName>
    <definedName name="eta_noz">'SFC calculation'!$C$14</definedName>
    <definedName name="eta_turb">'SFC calculation'!$C$13</definedName>
    <definedName name="G">'SFC calculation'!$C$24</definedName>
    <definedName name="gam">'SFC calculation'!$C$20</definedName>
    <definedName name="HCR">'SFC calculation'!$C$4</definedName>
    <definedName name="L">'SFC calculation'!$C$16</definedName>
    <definedName name="MCR">'SFC calculation'!$C$3</definedName>
    <definedName name="OAPR">'SFC calculation'!$C$7</definedName>
    <definedName name="phi">'SFC calculation'!$C$19</definedName>
    <definedName name="PSFC">'SFC calculation'!$C$31</definedName>
    <definedName name="T">'SFC calculation'!$C$18</definedName>
    <definedName name="T0">'SFC calculation'!$C$15</definedName>
    <definedName name="TET">'SFC calculation'!$C$8</definedName>
    <definedName name="theta">'SFC calculation'!$C$21</definedName>
    <definedName name="TS">'SFC calculation'!$C$17</definedName>
    <definedName name="TSFC">'SFC calculation'!$C$26</definedName>
    <definedName name="TTO">'SFC calculation'!$C$6</definedName>
    <definedName name="VCR">'SFC calculation'!$C$30</definedName>
  </definedNames>
  <calcPr calcId="125725" calcMode="manual" iterate="1" iterateCount="75" iterateDelta="0.01" calcCompleted="0" calcOnSave="0"/>
</workbook>
</file>

<file path=xl/calcChain.xml><?xml version="1.0" encoding="utf-8"?>
<calcChain xmlns="http://schemas.openxmlformats.org/spreadsheetml/2006/main">
  <c r="C7" i="1"/>
  <c r="C209" l="1"/>
  <c r="D209"/>
  <c r="E209"/>
  <c r="F209"/>
  <c r="G209"/>
  <c r="C210"/>
  <c r="D210"/>
  <c r="E210"/>
  <c r="F210"/>
  <c r="G210"/>
  <c r="C211"/>
  <c r="D211"/>
  <c r="E211"/>
  <c r="F211"/>
  <c r="G211"/>
  <c r="C212"/>
  <c r="D212"/>
  <c r="E212"/>
  <c r="F212"/>
  <c r="G212"/>
  <c r="C213"/>
  <c r="D213"/>
  <c r="E213"/>
  <c r="F213"/>
  <c r="G213"/>
  <c r="C214"/>
  <c r="D214"/>
  <c r="E214"/>
  <c r="F214"/>
  <c r="G214"/>
  <c r="C215"/>
  <c r="D215"/>
  <c r="E215"/>
  <c r="F215"/>
  <c r="G215"/>
  <c r="C216"/>
  <c r="D216"/>
  <c r="E216"/>
  <c r="F216"/>
  <c r="G216"/>
  <c r="C217"/>
  <c r="D217"/>
  <c r="E217"/>
  <c r="F217"/>
  <c r="G217"/>
  <c r="C218"/>
  <c r="D218"/>
  <c r="E218"/>
  <c r="F218"/>
  <c r="G218"/>
  <c r="C219"/>
  <c r="D219"/>
  <c r="E219"/>
  <c r="F219"/>
  <c r="G219"/>
  <c r="C220"/>
  <c r="D220"/>
  <c r="E220"/>
  <c r="F220"/>
  <c r="G220"/>
  <c r="C221"/>
  <c r="D221"/>
  <c r="E221"/>
  <c r="F221"/>
  <c r="G221"/>
  <c r="C222"/>
  <c r="D222"/>
  <c r="E222"/>
  <c r="F222"/>
  <c r="G222"/>
  <c r="C223"/>
  <c r="D223"/>
  <c r="E223"/>
  <c r="F223"/>
  <c r="G223"/>
  <c r="C224"/>
  <c r="D224"/>
  <c r="E224"/>
  <c r="F224"/>
  <c r="G224"/>
  <c r="C225"/>
  <c r="D225"/>
  <c r="E225"/>
  <c r="F225"/>
  <c r="G225"/>
  <c r="D208"/>
  <c r="E208"/>
  <c r="F208"/>
  <c r="G208"/>
  <c r="C208"/>
  <c r="Q130"/>
  <c r="Q131"/>
  <c r="Q132"/>
  <c r="Q133"/>
  <c r="Q134"/>
  <c r="Q135"/>
  <c r="Q136"/>
  <c r="Q137"/>
  <c r="Q138"/>
  <c r="Q139"/>
  <c r="Q140"/>
  <c r="Q141"/>
  <c r="Q142"/>
  <c r="Q143"/>
  <c r="Q144"/>
  <c r="Q145"/>
  <c r="Q146"/>
  <c r="Q129"/>
  <c r="C8"/>
  <c r="H53"/>
  <c r="H54"/>
  <c r="H55"/>
  <c r="H56"/>
  <c r="H57"/>
  <c r="H58"/>
  <c r="H59"/>
  <c r="H60"/>
  <c r="H61"/>
  <c r="H62"/>
  <c r="H63"/>
  <c r="H64"/>
  <c r="H52"/>
  <c r="I43"/>
  <c r="C37"/>
  <c r="A66"/>
  <c r="C21"/>
  <c r="C16"/>
  <c r="C18" s="1"/>
  <c r="C39" s="1"/>
  <c r="C14"/>
  <c r="C13"/>
  <c r="C12"/>
  <c r="C11"/>
  <c r="C10"/>
  <c r="C23" s="1"/>
  <c r="C22" l="1"/>
  <c r="C19"/>
  <c r="C29"/>
  <c r="C24" l="1"/>
  <c r="C25" s="1"/>
  <c r="C26" s="1"/>
  <c r="C30"/>
  <c r="B127" l="1"/>
  <c r="C31"/>
  <c r="B51" s="1"/>
  <c r="C40"/>
  <c r="C41" s="1"/>
  <c r="J51"/>
  <c r="J127"/>
  <c r="C43" l="1"/>
  <c r="C44" l="1"/>
  <c r="I40"/>
</calcChain>
</file>

<file path=xl/sharedStrings.xml><?xml version="1.0" encoding="utf-8"?>
<sst xmlns="http://schemas.openxmlformats.org/spreadsheetml/2006/main" count="180" uniqueCount="130">
  <si>
    <t>Cruise Mach number</t>
  </si>
  <si>
    <r>
      <t>M</t>
    </r>
    <r>
      <rPr>
        <vertAlign val="subscript"/>
        <sz val="10"/>
        <rFont val="Arial"/>
        <family val="2"/>
      </rPr>
      <t>CR</t>
    </r>
  </si>
  <si>
    <t>Cruise altitude</t>
  </si>
  <si>
    <r>
      <t>H</t>
    </r>
    <r>
      <rPr>
        <vertAlign val="subscript"/>
        <sz val="10"/>
        <rFont val="Arial"/>
        <family val="2"/>
      </rPr>
      <t>CR</t>
    </r>
  </si>
  <si>
    <t>m</t>
  </si>
  <si>
    <t>By Pass Ratio</t>
  </si>
  <si>
    <t>BPR</t>
  </si>
  <si>
    <t>Take-off Thrust (one engine)</t>
  </si>
  <si>
    <r>
      <t>T</t>
    </r>
    <r>
      <rPr>
        <vertAlign val="subscript"/>
        <sz val="10"/>
        <rFont val="Arial"/>
        <family val="2"/>
      </rPr>
      <t>TO</t>
    </r>
  </si>
  <si>
    <t>kN</t>
  </si>
  <si>
    <t>Overall Pressure ratio</t>
  </si>
  <si>
    <t>OAPR</t>
  </si>
  <si>
    <t>Turbine entry temperature</t>
  </si>
  <si>
    <t>TET</t>
  </si>
  <si>
    <t>Inlet pressure loss</t>
  </si>
  <si>
    <t>ΔP/P</t>
  </si>
  <si>
    <t>Inlet efficiency</t>
  </si>
  <si>
    <r>
      <t>η</t>
    </r>
    <r>
      <rPr>
        <vertAlign val="subscript"/>
        <sz val="10"/>
        <rFont val="Arial"/>
        <family val="2"/>
      </rPr>
      <t>inlet</t>
    </r>
  </si>
  <si>
    <t>Compressor efficiency</t>
  </si>
  <si>
    <t>Turbine efficiency</t>
  </si>
  <si>
    <t>Nozzle efficiency</t>
  </si>
  <si>
    <r>
      <t>T</t>
    </r>
    <r>
      <rPr>
        <vertAlign val="subscript"/>
        <sz val="10"/>
        <rFont val="Arial"/>
        <family val="2"/>
      </rPr>
      <t>0</t>
    </r>
  </si>
  <si>
    <t>K</t>
  </si>
  <si>
    <t>Temperature lapse rate in troposhpere</t>
  </si>
  <si>
    <t>L</t>
  </si>
  <si>
    <t>K/m</t>
  </si>
  <si>
    <t>Temperature at cruise altitude</t>
  </si>
  <si>
    <t>T(H)</t>
  </si>
  <si>
    <t>Dimensionless turbine entry temperature</t>
  </si>
  <si>
    <t>ϕ</t>
  </si>
  <si>
    <t>Ratio of specific heats, air</t>
  </si>
  <si>
    <t>g</t>
  </si>
  <si>
    <t>Ratio between stagnation point temperature and temperature</t>
  </si>
  <si>
    <t>Temperature function</t>
  </si>
  <si>
    <t>Gas generator efficiency</t>
  </si>
  <si>
    <r>
      <t>η</t>
    </r>
    <r>
      <rPr>
        <vertAlign val="subscript"/>
        <sz val="10"/>
        <rFont val="Arial"/>
        <family val="2"/>
      </rPr>
      <t>gasgen</t>
    </r>
  </si>
  <si>
    <t>Gas generator function</t>
  </si>
  <si>
    <t>G</t>
  </si>
  <si>
    <t>kg/daN/h</t>
  </si>
  <si>
    <t>kg/N/s</t>
  </si>
  <si>
    <r>
      <t>T</t>
    </r>
    <r>
      <rPr>
        <vertAlign val="subscript"/>
        <sz val="10"/>
        <rFont val="Arial"/>
        <family val="2"/>
      </rPr>
      <t>S</t>
    </r>
  </si>
  <si>
    <t>a0</t>
  </si>
  <si>
    <t>m/s</t>
  </si>
  <si>
    <t>a</t>
  </si>
  <si>
    <r>
      <t>V</t>
    </r>
    <r>
      <rPr>
        <vertAlign val="subscript"/>
        <sz val="10"/>
        <rFont val="Arial"/>
        <family val="2"/>
      </rPr>
      <t>CR</t>
    </r>
  </si>
  <si>
    <t>Speed of sound</t>
  </si>
  <si>
    <t>Cruise speed</t>
  </si>
  <si>
    <t>SFC = c</t>
  </si>
  <si>
    <t>kg/W/s</t>
  </si>
  <si>
    <t>PSFC [kg/W/s]</t>
  </si>
  <si>
    <t>c</t>
  </si>
  <si>
    <t>Thrust-Specific Fuel Consumption (TSFC)</t>
  </si>
  <si>
    <t>Power-Specific Fuel Consumption (PSFC)</t>
  </si>
  <si>
    <t>Temperature (ISA) at SL</t>
  </si>
  <si>
    <t>Temperature (ISA) at tropopause</t>
  </si>
  <si>
    <t>Speed of sound (ISA) at MSL</t>
  </si>
  <si>
    <r>
      <t>c' = c</t>
    </r>
    <r>
      <rPr>
        <vertAlign val="subscript"/>
        <sz val="10"/>
        <rFont val="Arial"/>
        <family val="2"/>
      </rPr>
      <t>P</t>
    </r>
  </si>
  <si>
    <r>
      <t>T</t>
    </r>
    <r>
      <rPr>
        <vertAlign val="subscript"/>
        <sz val="10"/>
        <rFont val="Arial"/>
        <family val="2"/>
      </rPr>
      <t>TO</t>
    </r>
    <r>
      <rPr>
        <sz val="10"/>
        <rFont val="Arial"/>
        <family val="2"/>
      </rPr>
      <t xml:space="preserve"> &gt; 80 kN</t>
    </r>
  </si>
  <si>
    <t>Fan efficiency</t>
  </si>
  <si>
    <r>
      <t>η</t>
    </r>
    <r>
      <rPr>
        <vertAlign val="subscript"/>
        <sz val="10"/>
        <rFont val="Arial"/>
        <family val="2"/>
      </rPr>
      <t>fan</t>
    </r>
  </si>
  <si>
    <r>
      <t>η</t>
    </r>
    <r>
      <rPr>
        <vertAlign val="subscript"/>
        <sz val="10"/>
        <rFont val="Arial"/>
        <family val="2"/>
      </rPr>
      <t>comp</t>
    </r>
  </si>
  <si>
    <r>
      <t>η</t>
    </r>
    <r>
      <rPr>
        <vertAlign val="subscript"/>
        <sz val="10"/>
        <rFont val="Arial"/>
        <family val="2"/>
      </rPr>
      <t>turb</t>
    </r>
  </si>
  <si>
    <r>
      <t>η</t>
    </r>
    <r>
      <rPr>
        <vertAlign val="subscript"/>
        <sz val="10"/>
        <rFont val="Arial"/>
        <family val="2"/>
      </rPr>
      <t>noz</t>
    </r>
  </si>
  <si>
    <t>constant</t>
  </si>
  <si>
    <t>input</t>
  </si>
  <si>
    <t>estimated; if known it is an input</t>
  </si>
  <si>
    <t>result</t>
  </si>
  <si>
    <t>plausible input</t>
  </si>
  <si>
    <t>= 1-(1,3+0,25*BPR)*DPP</t>
  </si>
  <si>
    <t>= -8000/TTO+1520</t>
  </si>
  <si>
    <t>= -5,978/(5,978+TTO)-MCR*0,1479-0,133498/(0,133498+BPR)+1,05489</t>
  </si>
  <si>
    <t>= -2/(2+TTO)-0,1171127/(0,1171127+BPR)-MCR*0,0541+0,9407245</t>
  </si>
  <si>
    <t>= -3,403/(3,403+TTO)+1,04826-MCR*0,15533</t>
  </si>
  <si>
    <t>= -2,0319/(2,0319+TTO)+1,00764-MCR*0,009868</t>
  </si>
  <si>
    <t>= TET/T</t>
  </si>
  <si>
    <t>= 1+(gam-1)/2*MCR^2</t>
  </si>
  <si>
    <t>J</t>
  </si>
  <si>
    <t>= theta*(OAPR^((gam-1)/gam)-1)</t>
  </si>
  <si>
    <t>= 1-(0,7*MCR^2*(1-eta_inlet))/(1+0,2*MCR^2)</t>
  </si>
  <si>
    <t>= (phi-chi/eta_comp)*(1-1,01/(eta_gasgen^((gam-1)/gam)*(chi+theta)*(1-chi/phi/eta_comp/eta_turb)))</t>
  </si>
  <si>
    <t>= (0,697*WURZEL(T/T0)*(phi-theta-chi/eta_comp))/(WURZEL(5*eta_noz*(1+eta_fan*eta_turb*BPR)*(G+0,2*MCR^2*BPR*eta_comp/eta_fan/eta_turb))-MCR*(1+BPR))</t>
  </si>
  <si>
    <t>= a0*WURZEL(T/T0)</t>
  </si>
  <si>
    <t>= MCR*a</t>
  </si>
  <si>
    <t>= TSFC/VCR</t>
  </si>
  <si>
    <t>= WENN(T0-L*HCR&lt;TS;TS;T0-L*HCR)</t>
  </si>
  <si>
    <t xml:space="preserve">   Note: For altitudes above 11 km (in the stratosphere) PSFC is the same as for 11 km = 11000 m.</t>
  </si>
  <si>
    <t>altitudes (in m)</t>
  </si>
  <si>
    <t>PSFC calculated</t>
  </si>
  <si>
    <t>for different</t>
  </si>
  <si>
    <t>PSFC in the stratosphere</t>
  </si>
  <si>
    <t>is given as</t>
  </si>
  <si>
    <t>4th oder polynomial</t>
  </si>
  <si>
    <r>
      <t>V</t>
    </r>
    <r>
      <rPr>
        <vertAlign val="subscript"/>
        <sz val="10"/>
        <rFont val="Arial"/>
        <family val="2"/>
      </rPr>
      <t>CR</t>
    </r>
    <r>
      <rPr>
        <sz val="10"/>
        <rFont val="Arial"/>
        <family val="2"/>
      </rPr>
      <t xml:space="preserve"> [m/s]</t>
    </r>
  </si>
  <si>
    <t xml:space="preserve">          Diagrams for BPR:</t>
  </si>
  <si>
    <t>TSFC [kg/N/s]</t>
  </si>
  <si>
    <t>BPR &lt; 16,5</t>
  </si>
  <si>
    <r>
      <t>Avoid input combinations of
=&gt; high M</t>
    </r>
    <r>
      <rPr>
        <vertAlign val="subscript"/>
        <sz val="10"/>
        <rFont val="Arial"/>
        <family val="2"/>
      </rPr>
      <t>CR</t>
    </r>
    <r>
      <rPr>
        <sz val="10"/>
        <rFont val="Arial"/>
        <family val="2"/>
      </rPr>
      <t xml:space="preserve">
=&gt; low H</t>
    </r>
    <r>
      <rPr>
        <vertAlign val="subscript"/>
        <sz val="10"/>
        <rFont val="Arial"/>
        <family val="2"/>
      </rPr>
      <t>CR</t>
    </r>
    <r>
      <rPr>
        <sz val="10"/>
        <rFont val="Arial"/>
        <family val="2"/>
      </rPr>
      <t xml:space="preserve">
=&gt; high BPR</t>
    </r>
  </si>
  <si>
    <t>TSFC calculated</t>
  </si>
  <si>
    <t>TSFC in the stratosphere</t>
  </si>
  <si>
    <t>kg/(Nm)</t>
  </si>
  <si>
    <t>kg/(Ns)</t>
  </si>
  <si>
    <t>SFC coefficient</t>
  </si>
  <si>
    <r>
      <t>c</t>
    </r>
    <r>
      <rPr>
        <vertAlign val="subscript"/>
        <sz val="10"/>
        <rFont val="Arial"/>
        <family val="2"/>
      </rPr>
      <t>a</t>
    </r>
  </si>
  <si>
    <r>
      <t>c</t>
    </r>
    <r>
      <rPr>
        <vertAlign val="subscript"/>
        <sz val="10"/>
        <rFont val="Arial"/>
        <family val="2"/>
      </rPr>
      <t>b,base</t>
    </r>
  </si>
  <si>
    <t>Relative error against Herrmann</t>
  </si>
  <si>
    <t>TSFC and PSFC Model for Jets (Herrmann 2010)</t>
  </si>
  <si>
    <t>TSFC and PSFC Model for Jets (Roux 2002 and Scholz)</t>
  </si>
  <si>
    <t>Calculation of TSFC and PSFC with a Model for Jets [Herrmann 2010]</t>
  </si>
  <si>
    <t>Comparison with Simplified Calculation of Specific Fuel Consumption (TSFC and PSFC) [Roux 2002 / Scholz]</t>
  </si>
  <si>
    <t>http://elodieroux.com/ReportFiles/ModelesMoteurVersionPublique.pdf</t>
  </si>
  <si>
    <t>Evaluation of Power-Specific Fuel Consumption (PSFC) [Herrmann 2010]</t>
  </si>
  <si>
    <t>Evaluation of Thrust-Specific Fuel Consumption (TSFC) [Herrmann 2010]</t>
  </si>
  <si>
    <t xml:space="preserve">   Mattingly corrected by Roux 2002:</t>
  </si>
  <si>
    <r>
      <t>c</t>
    </r>
    <r>
      <rPr>
        <vertAlign val="subscript"/>
        <sz val="10"/>
        <rFont val="Arial"/>
        <family val="2"/>
      </rPr>
      <t>a,base</t>
    </r>
  </si>
  <si>
    <r>
      <t>c</t>
    </r>
    <r>
      <rPr>
        <vertAlign val="subscript"/>
        <sz val="10"/>
        <rFont val="Arial"/>
        <family val="2"/>
      </rPr>
      <t>b</t>
    </r>
  </si>
  <si>
    <t>= cbbase*WURZEL(T0/T)</t>
  </si>
  <si>
    <t>= ca*VCR+cb</t>
  </si>
  <si>
    <r>
      <t>= c</t>
    </r>
    <r>
      <rPr>
        <vertAlign val="subscript"/>
        <sz val="10"/>
        <rFont val="Arial"/>
        <family val="2"/>
      </rPr>
      <t>a,base</t>
    </r>
    <r>
      <rPr>
        <sz val="10"/>
        <rFont val="Arial"/>
        <family val="2"/>
      </rPr>
      <t>/a0+c</t>
    </r>
    <r>
      <rPr>
        <vertAlign val="subscript"/>
        <sz val="10"/>
        <rFont val="Arial"/>
        <family val="2"/>
      </rPr>
      <t>b,base</t>
    </r>
    <r>
      <rPr>
        <sz val="10"/>
        <rFont val="Arial"/>
        <family val="2"/>
      </rPr>
      <t>/a0/M =</t>
    </r>
  </si>
  <si>
    <t>Roux</t>
  </si>
  <si>
    <t>MCR</t>
  </si>
  <si>
    <t>HCR</t>
  </si>
  <si>
    <t>TTO</t>
  </si>
  <si>
    <t>Roux fits for e.g.</t>
  </si>
  <si>
    <t>= PSFC*VCR =</t>
  </si>
  <si>
    <t>Check:</t>
  </si>
  <si>
    <t>with Herrmann</t>
  </si>
  <si>
    <t>Evaluation of Thrust-Specific Fuel Consumption (TSFC) [Roux 2002]</t>
  </si>
  <si>
    <t>independent of altitude</t>
  </si>
  <si>
    <r>
      <t>Note: PSFC(M</t>
    </r>
    <r>
      <rPr>
        <vertAlign val="subscript"/>
        <sz val="10"/>
        <rFont val="Arial"/>
        <family val="2"/>
      </rPr>
      <t>CR</t>
    </r>
    <r>
      <rPr>
        <sz val="10"/>
        <rFont val="Arial"/>
        <family val="2"/>
      </rPr>
      <t>) "Roux" is</t>
    </r>
  </si>
  <si>
    <t>= 0,0266785*TTO+3,5168*BPR+0,0556628</t>
  </si>
</sst>
</file>

<file path=xl/styles.xml><?xml version="1.0" encoding="utf-8"?>
<styleSheet xmlns="http://schemas.openxmlformats.org/spreadsheetml/2006/main">
  <numFmts count="5">
    <numFmt numFmtId="164" formatCode="0.00000000"/>
    <numFmt numFmtId="165" formatCode="0.000E+00"/>
    <numFmt numFmtId="166" formatCode="0.000"/>
    <numFmt numFmtId="167" formatCode="0.0000"/>
    <numFmt numFmtId="168" formatCode="0.0%"/>
  </numFmts>
  <fonts count="15">
    <font>
      <sz val="10"/>
      <name val="Arial"/>
      <family val="2"/>
    </font>
    <font>
      <sz val="10"/>
      <name val="Arial"/>
      <family val="2"/>
    </font>
    <font>
      <vertAlign val="subscript"/>
      <sz val="10"/>
      <name val="Arial"/>
      <family val="2"/>
    </font>
    <font>
      <sz val="10"/>
      <name val="Symbol"/>
      <family val="1"/>
      <charset val="2"/>
    </font>
    <font>
      <sz val="11"/>
      <color indexed="8"/>
      <name val="Calibri"/>
      <family val="2"/>
    </font>
    <font>
      <sz val="10"/>
      <color rgb="FF0000CC"/>
      <name val="Arial"/>
      <family val="2"/>
    </font>
    <font>
      <sz val="10"/>
      <color theme="1"/>
      <name val="Arial"/>
      <family val="2"/>
    </font>
    <font>
      <sz val="10"/>
      <color theme="1"/>
      <name val="Times New Roman"/>
      <family val="1"/>
    </font>
    <font>
      <b/>
      <sz val="10"/>
      <color rgb="FFFF0000"/>
      <name val="Arial"/>
      <family val="2"/>
    </font>
    <font>
      <b/>
      <sz val="10"/>
      <color rgb="FF0000CC"/>
      <name val="Arial"/>
      <family val="2"/>
    </font>
    <font>
      <u/>
      <sz val="10"/>
      <color theme="10"/>
      <name val="Arial"/>
      <family val="2"/>
    </font>
    <font>
      <b/>
      <u/>
      <sz val="14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4" fillId="0" borderId="0"/>
    <xf numFmtId="0" fontId="10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1" fillId="0" borderId="0"/>
  </cellStyleXfs>
  <cellXfs count="84">
    <xf numFmtId="0" fontId="0" fillId="0" borderId="0" xfId="0"/>
    <xf numFmtId="2" fontId="0" fillId="0" borderId="0" xfId="0" applyNumberFormat="1"/>
    <xf numFmtId="0" fontId="1" fillId="0" borderId="0" xfId="0" applyFont="1"/>
    <xf numFmtId="164" fontId="0" fillId="0" borderId="0" xfId="0" applyNumberFormat="1"/>
    <xf numFmtId="9" fontId="5" fillId="0" borderId="0" xfId="3" applyFont="1"/>
    <xf numFmtId="0" fontId="5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2" fontId="5" fillId="0" borderId="0" xfId="0" applyNumberFormat="1" applyFont="1"/>
    <xf numFmtId="165" fontId="8" fillId="0" borderId="0" xfId="0" applyNumberFormat="1" applyFont="1"/>
    <xf numFmtId="2" fontId="9" fillId="0" borderId="0" xfId="0" applyNumberFormat="1" applyFont="1"/>
    <xf numFmtId="0" fontId="10" fillId="0" borderId="0" xfId="2" applyAlignment="1" applyProtection="1"/>
    <xf numFmtId="0" fontId="0" fillId="0" borderId="1" xfId="0" applyBorder="1"/>
    <xf numFmtId="2" fontId="0" fillId="0" borderId="1" xfId="0" applyNumberFormat="1" applyBorder="1"/>
    <xf numFmtId="167" fontId="0" fillId="0" borderId="0" xfId="0" applyNumberFormat="1"/>
    <xf numFmtId="0" fontId="0" fillId="0" borderId="1" xfId="0" applyBorder="1" applyAlignment="1">
      <alignment horizontal="right"/>
    </xf>
    <xf numFmtId="0" fontId="0" fillId="0" borderId="0" xfId="0" applyBorder="1" applyAlignment="1">
      <alignment horizontal="right"/>
    </xf>
    <xf numFmtId="11" fontId="0" fillId="0" borderId="0" xfId="0" applyNumberFormat="1"/>
    <xf numFmtId="0" fontId="0" fillId="2" borderId="0" xfId="0" applyFill="1"/>
    <xf numFmtId="0" fontId="11" fillId="0" borderId="0" xfId="0" applyFont="1" applyBorder="1"/>
    <xf numFmtId="2" fontId="12" fillId="0" borderId="0" xfId="0" applyNumberFormat="1" applyFont="1"/>
    <xf numFmtId="0" fontId="5" fillId="0" borderId="0" xfId="0" applyFont="1" applyAlignment="1">
      <alignment horizontal="left"/>
    </xf>
    <xf numFmtId="2" fontId="0" fillId="0" borderId="0" xfId="0" quotePrefix="1" applyNumberFormat="1"/>
    <xf numFmtId="0" fontId="0" fillId="0" borderId="0" xfId="0" quotePrefix="1"/>
    <xf numFmtId="0" fontId="1" fillId="3" borderId="0" xfId="0" applyFont="1" applyFill="1"/>
    <xf numFmtId="2" fontId="9" fillId="3" borderId="0" xfId="0" applyNumberFormat="1" applyFont="1" applyFill="1"/>
    <xf numFmtId="0" fontId="0" fillId="3" borderId="0" xfId="0" applyFill="1"/>
    <xf numFmtId="1" fontId="9" fillId="3" borderId="0" xfId="0" applyNumberFormat="1" applyFont="1" applyFill="1"/>
    <xf numFmtId="2" fontId="12" fillId="3" borderId="0" xfId="0" applyNumberFormat="1" applyFont="1" applyFill="1"/>
    <xf numFmtId="9" fontId="5" fillId="3" borderId="0" xfId="3" applyFont="1" applyFill="1"/>
    <xf numFmtId="0" fontId="1" fillId="3" borderId="0" xfId="0" applyFont="1" applyFill="1" applyBorder="1"/>
    <xf numFmtId="2" fontId="0" fillId="3" borderId="0" xfId="0" applyNumberFormat="1" applyFill="1"/>
    <xf numFmtId="0" fontId="0" fillId="3" borderId="0" xfId="0" applyFill="1" applyBorder="1" applyAlignment="1">
      <alignment horizontal="left"/>
    </xf>
    <xf numFmtId="0" fontId="1" fillId="3" borderId="0" xfId="0" applyFont="1" applyFill="1" applyBorder="1" applyAlignment="1">
      <alignment horizontal="left"/>
    </xf>
    <xf numFmtId="0" fontId="5" fillId="3" borderId="0" xfId="0" applyFont="1" applyFill="1" applyAlignment="1">
      <alignment horizontal="right"/>
    </xf>
    <xf numFmtId="0" fontId="6" fillId="3" borderId="0" xfId="0" applyFont="1" applyFill="1"/>
    <xf numFmtId="0" fontId="6" fillId="3" borderId="0" xfId="0" applyFont="1" applyFill="1" applyBorder="1" applyAlignment="1">
      <alignment horizontal="left"/>
    </xf>
    <xf numFmtId="0" fontId="7" fillId="3" borderId="0" xfId="0" applyFont="1" applyFill="1" applyBorder="1" applyAlignment="1">
      <alignment horizontal="left"/>
    </xf>
    <xf numFmtId="0" fontId="3" fillId="3" borderId="0" xfId="0" applyFont="1" applyFill="1" applyBorder="1" applyAlignment="1">
      <alignment horizontal="left"/>
    </xf>
    <xf numFmtId="2" fontId="5" fillId="3" borderId="0" xfId="0" applyNumberFormat="1" applyFont="1" applyFill="1"/>
    <xf numFmtId="0" fontId="3" fillId="3" borderId="0" xfId="0" applyFont="1" applyFill="1"/>
    <xf numFmtId="0" fontId="13" fillId="3" borderId="0" xfId="0" applyFont="1" applyFill="1"/>
    <xf numFmtId="165" fontId="8" fillId="3" borderId="0" xfId="0" applyNumberFormat="1" applyFont="1" applyFill="1"/>
    <xf numFmtId="0" fontId="0" fillId="3" borderId="0" xfId="2" applyFont="1" applyFill="1" applyAlignment="1" applyProtection="1"/>
    <xf numFmtId="166" fontId="5" fillId="3" borderId="0" xfId="0" applyNumberFormat="1" applyFont="1" applyFill="1"/>
    <xf numFmtId="165" fontId="0" fillId="0" borderId="0" xfId="0" applyNumberFormat="1"/>
    <xf numFmtId="0" fontId="0" fillId="0" borderId="0" xfId="0" applyBorder="1"/>
    <xf numFmtId="0" fontId="13" fillId="0" borderId="0" xfId="0" applyFont="1"/>
    <xf numFmtId="0" fontId="0" fillId="0" borderId="0" xfId="0" applyFont="1"/>
    <xf numFmtId="165" fontId="0" fillId="0" borderId="0" xfId="0" applyNumberFormat="1" applyBorder="1"/>
    <xf numFmtId="2" fontId="13" fillId="0" borderId="0" xfId="0" applyNumberFormat="1" applyFont="1" applyAlignment="1">
      <alignment horizontal="center"/>
    </xf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right"/>
    </xf>
    <xf numFmtId="2" fontId="0" fillId="0" borderId="0" xfId="0" applyNumberFormat="1" applyBorder="1"/>
    <xf numFmtId="0" fontId="13" fillId="0" borderId="0" xfId="0" applyFont="1" applyAlignment="1">
      <alignment horizontal="center"/>
    </xf>
    <xf numFmtId="0" fontId="14" fillId="0" borderId="0" xfId="0" applyFont="1"/>
    <xf numFmtId="0" fontId="1" fillId="0" borderId="0" xfId="2" applyFont="1" applyAlignment="1" applyProtection="1"/>
    <xf numFmtId="0" fontId="0" fillId="0" borderId="0" xfId="0" applyFill="1"/>
    <xf numFmtId="165" fontId="0" fillId="0" borderId="1" xfId="0" applyNumberFormat="1" applyBorder="1" applyAlignment="1">
      <alignment horizontal="right"/>
    </xf>
    <xf numFmtId="165" fontId="0" fillId="0" borderId="0" xfId="0" applyNumberFormat="1" applyBorder="1" applyAlignment="1">
      <alignment horizontal="right"/>
    </xf>
    <xf numFmtId="11" fontId="5" fillId="3" borderId="0" xfId="0" applyNumberFormat="1" applyFont="1" applyFill="1"/>
    <xf numFmtId="0" fontId="5" fillId="0" borderId="0" xfId="0" applyFont="1" applyFill="1"/>
    <xf numFmtId="165" fontId="8" fillId="0" borderId="0" xfId="0" applyNumberFormat="1" applyFont="1" applyFill="1"/>
    <xf numFmtId="0" fontId="0" fillId="3" borderId="0" xfId="0" applyFont="1" applyFill="1"/>
    <xf numFmtId="168" fontId="12" fillId="3" borderId="0" xfId="3" applyNumberFormat="1" applyFont="1" applyFill="1"/>
    <xf numFmtId="165" fontId="12" fillId="0" borderId="0" xfId="0" applyNumberFormat="1" applyFont="1"/>
    <xf numFmtId="0" fontId="13" fillId="0" borderId="0" xfId="0" applyFont="1" applyFill="1"/>
    <xf numFmtId="0" fontId="13" fillId="0" borderId="1" xfId="0" applyFont="1" applyFill="1" applyBorder="1"/>
    <xf numFmtId="0" fontId="0" fillId="0" borderId="1" xfId="0" applyFill="1" applyBorder="1"/>
    <xf numFmtId="165" fontId="8" fillId="0" borderId="1" xfId="0" applyNumberFormat="1" applyFont="1" applyFill="1" applyBorder="1"/>
    <xf numFmtId="165" fontId="8" fillId="0" borderId="1" xfId="0" applyNumberFormat="1" applyFont="1" applyBorder="1"/>
    <xf numFmtId="0" fontId="0" fillId="0" borderId="1" xfId="0" quotePrefix="1" applyBorder="1"/>
    <xf numFmtId="0" fontId="1" fillId="0" borderId="1" xfId="2" applyFont="1" applyBorder="1" applyAlignment="1" applyProtection="1"/>
    <xf numFmtId="11" fontId="0" fillId="3" borderId="0" xfId="0" applyNumberFormat="1" applyFont="1" applyFill="1"/>
    <xf numFmtId="11" fontId="0" fillId="0" borderId="0" xfId="0" applyNumberFormat="1" applyBorder="1" applyAlignment="1">
      <alignment horizontal="right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</cellXfs>
  <cellStyles count="5">
    <cellStyle name="Excel Built-in Normal" xfId="1"/>
    <cellStyle name="Hyperlink" xfId="2" builtinId="8"/>
    <cellStyle name="Prozent" xfId="3" builtinId="5"/>
    <cellStyle name="Standard" xfId="0" builtinId="0"/>
    <cellStyle name="Standard 2" xfId="4"/>
  </cellStyles>
  <dxfs count="0"/>
  <tableStyles count="0" defaultTableStyle="TableStyleMedium9" defaultPivotStyle="PivotStyleLight16"/>
  <colors>
    <mruColors>
      <color rgb="FF0000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0.13337977235841275"/>
          <c:y val="3.5756907198194431E-2"/>
          <c:w val="0.69957524174537755"/>
          <c:h val="0.85117767846506764"/>
        </c:manualLayout>
      </c:layout>
      <c:scatterChart>
        <c:scatterStyle val="smoothMarker"/>
        <c:ser>
          <c:idx val="5"/>
          <c:order val="0"/>
          <c:tx>
            <c:strRef>
              <c:f>'SFC calculation'!$H$51</c:f>
              <c:strCache>
                <c:ptCount val="1"/>
                <c:pt idx="0">
                  <c:v>Roux</c:v>
                </c:pt>
              </c:strCache>
            </c:strRef>
          </c:tx>
          <c:spPr>
            <a:ln>
              <a:prstDash val="dash"/>
            </a:ln>
          </c:spPr>
          <c:xVal>
            <c:numRef>
              <c:f>'SFC calculation'!$B$52:$B$64</c:f>
              <c:numCache>
                <c:formatCode>0.00</c:formatCode>
                <c:ptCount val="13"/>
                <c:pt idx="0">
                  <c:v>0.3</c:v>
                </c:pt>
                <c:pt idx="1">
                  <c:v>0.35</c:v>
                </c:pt>
                <c:pt idx="2">
                  <c:v>0.4</c:v>
                </c:pt>
                <c:pt idx="3">
                  <c:v>0.45</c:v>
                </c:pt>
                <c:pt idx="4">
                  <c:v>0.5</c:v>
                </c:pt>
                <c:pt idx="5">
                  <c:v>0.55000000000000004</c:v>
                </c:pt>
                <c:pt idx="6">
                  <c:v>0.6</c:v>
                </c:pt>
                <c:pt idx="7">
                  <c:v>0.65</c:v>
                </c:pt>
                <c:pt idx="8">
                  <c:v>0.7</c:v>
                </c:pt>
                <c:pt idx="9">
                  <c:v>0.75</c:v>
                </c:pt>
                <c:pt idx="10">
                  <c:v>0.8</c:v>
                </c:pt>
                <c:pt idx="11">
                  <c:v>0.85</c:v>
                </c:pt>
                <c:pt idx="12">
                  <c:v>0.9</c:v>
                </c:pt>
              </c:numCache>
            </c:numRef>
          </c:xVal>
          <c:yVal>
            <c:numRef>
              <c:f>'SFC calculation'!$H$52:$H$64</c:f>
              <c:numCache>
                <c:formatCode>0.00E+00</c:formatCode>
                <c:ptCount val="13"/>
                <c:pt idx="0">
                  <c:v>1.3566700167110402E-7</c:v>
                </c:pt>
                <c:pt idx="1">
                  <c:v>1.2111375961458538E-7</c:v>
                </c:pt>
                <c:pt idx="2">
                  <c:v>1.1019882807219641E-7</c:v>
                </c:pt>
                <c:pt idx="3">
                  <c:v>1.0170943687256053E-7</c:v>
                </c:pt>
                <c:pt idx="4">
                  <c:v>9.4917923912851843E-8</c:v>
                </c:pt>
                <c:pt idx="5">
                  <c:v>8.9361231491271982E-8</c:v>
                </c:pt>
                <c:pt idx="6">
                  <c:v>8.47306544732888E-8</c:v>
                </c:pt>
                <c:pt idx="7">
                  <c:v>8.0812473919610692E-8</c:v>
                </c:pt>
                <c:pt idx="8">
                  <c:v>7.7454033445029483E-8</c:v>
                </c:pt>
                <c:pt idx="9">
                  <c:v>7.4543385033725743E-8</c:v>
                </c:pt>
                <c:pt idx="10">
                  <c:v>7.1996567673834982E-8</c:v>
                </c:pt>
                <c:pt idx="11">
                  <c:v>6.9749375885696079E-8</c:v>
                </c:pt>
                <c:pt idx="12">
                  <c:v>6.7751872074017043E-8</c:v>
                </c:pt>
              </c:numCache>
            </c:numRef>
          </c:yVal>
          <c:smooth val="1"/>
        </c:ser>
        <c:ser>
          <c:idx val="0"/>
          <c:order val="1"/>
          <c:tx>
            <c:strRef>
              <c:f>'SFC calculation'!$C$51</c:f>
              <c:strCache>
                <c:ptCount val="1"/>
                <c:pt idx="0">
                  <c:v>4000</c:v>
                </c:pt>
              </c:strCache>
            </c:strRef>
          </c:tx>
          <c:xVal>
            <c:numRef>
              <c:f>'SFC calculation'!$B$52:$B$64</c:f>
              <c:numCache>
                <c:formatCode>0.00</c:formatCode>
                <c:ptCount val="13"/>
                <c:pt idx="0">
                  <c:v>0.3</c:v>
                </c:pt>
                <c:pt idx="1">
                  <c:v>0.35</c:v>
                </c:pt>
                <c:pt idx="2">
                  <c:v>0.4</c:v>
                </c:pt>
                <c:pt idx="3">
                  <c:v>0.45</c:v>
                </c:pt>
                <c:pt idx="4">
                  <c:v>0.5</c:v>
                </c:pt>
                <c:pt idx="5">
                  <c:v>0.55000000000000004</c:v>
                </c:pt>
                <c:pt idx="6">
                  <c:v>0.6</c:v>
                </c:pt>
                <c:pt idx="7">
                  <c:v>0.65</c:v>
                </c:pt>
                <c:pt idx="8">
                  <c:v>0.7</c:v>
                </c:pt>
                <c:pt idx="9">
                  <c:v>0.75</c:v>
                </c:pt>
                <c:pt idx="10">
                  <c:v>0.8</c:v>
                </c:pt>
                <c:pt idx="11">
                  <c:v>0.85</c:v>
                </c:pt>
                <c:pt idx="12">
                  <c:v>0.9</c:v>
                </c:pt>
              </c:numCache>
            </c:numRef>
          </c:xVal>
          <c:yVal>
            <c:numRef>
              <c:f>'SFC calculation'!$C$52:$C$64</c:f>
              <c:numCache>
                <c:formatCode>0.000E+00</c:formatCode>
                <c:ptCount val="13"/>
                <c:pt idx="0">
                  <c:v>1.0479702483613627E-7</c:v>
                </c:pt>
                <c:pt idx="1">
                  <c:v>9.5305483331315002E-8</c:v>
                </c:pt>
                <c:pt idx="2">
                  <c:v>8.8556010419397497E-8</c:v>
                </c:pt>
                <c:pt idx="3">
                  <c:v>8.3674758935418197E-8</c:v>
                </c:pt>
                <c:pt idx="4">
                  <c:v>8.0145732060942938E-8</c:v>
                </c:pt>
                <c:pt idx="5">
                  <c:v>7.7650465431864714E-8</c:v>
                </c:pt>
                <c:pt idx="6">
                  <c:v>7.5988642467190543E-8</c:v>
                </c:pt>
                <c:pt idx="7">
                  <c:v>7.5036391709733089E-8</c:v>
                </c:pt>
                <c:pt idx="8">
                  <c:v>7.4723904934618123E-8</c:v>
                </c:pt>
                <c:pt idx="9">
                  <c:v>7.5024082734805996E-8</c:v>
                </c:pt>
                <c:pt idx="10">
                  <c:v>7.5948510553921812E-8</c:v>
                </c:pt>
                <c:pt idx="11">
                  <c:v>7.7549573603403762E-8</c:v>
                </c:pt>
                <c:pt idx="12">
                  <c:v>7.9929415469044095E-8</c:v>
                </c:pt>
              </c:numCache>
            </c:numRef>
          </c:yVal>
          <c:smooth val="1"/>
        </c:ser>
        <c:ser>
          <c:idx val="1"/>
          <c:order val="2"/>
          <c:tx>
            <c:strRef>
              <c:f>'SFC calculation'!$D$51</c:f>
              <c:strCache>
                <c:ptCount val="1"/>
                <c:pt idx="0">
                  <c:v>6000</c:v>
                </c:pt>
              </c:strCache>
            </c:strRef>
          </c:tx>
          <c:xVal>
            <c:numRef>
              <c:f>'SFC calculation'!$B$52:$B$64</c:f>
              <c:numCache>
                <c:formatCode>0.00</c:formatCode>
                <c:ptCount val="13"/>
                <c:pt idx="0">
                  <c:v>0.3</c:v>
                </c:pt>
                <c:pt idx="1">
                  <c:v>0.35</c:v>
                </c:pt>
                <c:pt idx="2">
                  <c:v>0.4</c:v>
                </c:pt>
                <c:pt idx="3">
                  <c:v>0.45</c:v>
                </c:pt>
                <c:pt idx="4">
                  <c:v>0.5</c:v>
                </c:pt>
                <c:pt idx="5">
                  <c:v>0.55000000000000004</c:v>
                </c:pt>
                <c:pt idx="6">
                  <c:v>0.6</c:v>
                </c:pt>
                <c:pt idx="7">
                  <c:v>0.65</c:v>
                </c:pt>
                <c:pt idx="8">
                  <c:v>0.7</c:v>
                </c:pt>
                <c:pt idx="9">
                  <c:v>0.75</c:v>
                </c:pt>
                <c:pt idx="10">
                  <c:v>0.8</c:v>
                </c:pt>
                <c:pt idx="11">
                  <c:v>0.85</c:v>
                </c:pt>
                <c:pt idx="12">
                  <c:v>0.9</c:v>
                </c:pt>
              </c:numCache>
            </c:numRef>
          </c:xVal>
          <c:yVal>
            <c:numRef>
              <c:f>'SFC calculation'!$D$52:$D$64</c:f>
              <c:numCache>
                <c:formatCode>0.000E+00</c:formatCode>
                <c:ptCount val="13"/>
                <c:pt idx="0">
                  <c:v>1.0787582597349466E-7</c:v>
                </c:pt>
                <c:pt idx="1">
                  <c:v>9.7809231818243015E-8</c:v>
                </c:pt>
                <c:pt idx="2">
                  <c:v>9.0593950594957134E-8</c:v>
                </c:pt>
                <c:pt idx="3">
                  <c:v>8.5312804299196715E-8</c:v>
                </c:pt>
                <c:pt idx="4">
                  <c:v>8.1421904839942972E-8</c:v>
                </c:pt>
                <c:pt idx="5">
                  <c:v>7.8582659524263767E-8</c:v>
                </c:pt>
                <c:pt idx="6">
                  <c:v>7.6578279524670874E-8</c:v>
                </c:pt>
                <c:pt idx="7">
                  <c:v>7.5269484680899855E-8</c:v>
                </c:pt>
                <c:pt idx="8">
                  <c:v>7.4570082264728122E-8</c:v>
                </c:pt>
                <c:pt idx="9">
                  <c:v>7.4433545591892655E-8</c:v>
                </c:pt>
                <c:pt idx="10">
                  <c:v>7.4846378215670909E-8</c:v>
                </c:pt>
                <c:pt idx="11">
                  <c:v>7.582639228120836E-8</c:v>
                </c:pt>
                <c:pt idx="12">
                  <c:v>7.7425465249932436E-8</c:v>
                </c:pt>
              </c:numCache>
            </c:numRef>
          </c:yVal>
          <c:smooth val="1"/>
        </c:ser>
        <c:ser>
          <c:idx val="2"/>
          <c:order val="3"/>
          <c:tx>
            <c:strRef>
              <c:f>'SFC calculation'!$E$51</c:f>
              <c:strCache>
                <c:ptCount val="1"/>
                <c:pt idx="0">
                  <c:v>8000</c:v>
                </c:pt>
              </c:strCache>
            </c:strRef>
          </c:tx>
          <c:xVal>
            <c:numRef>
              <c:f>'SFC calculation'!$B$52:$B$64</c:f>
              <c:numCache>
                <c:formatCode>0.00</c:formatCode>
                <c:ptCount val="13"/>
                <c:pt idx="0">
                  <c:v>0.3</c:v>
                </c:pt>
                <c:pt idx="1">
                  <c:v>0.35</c:v>
                </c:pt>
                <c:pt idx="2">
                  <c:v>0.4</c:v>
                </c:pt>
                <c:pt idx="3">
                  <c:v>0.45</c:v>
                </c:pt>
                <c:pt idx="4">
                  <c:v>0.5</c:v>
                </c:pt>
                <c:pt idx="5">
                  <c:v>0.55000000000000004</c:v>
                </c:pt>
                <c:pt idx="6">
                  <c:v>0.6</c:v>
                </c:pt>
                <c:pt idx="7">
                  <c:v>0.65</c:v>
                </c:pt>
                <c:pt idx="8">
                  <c:v>0.7</c:v>
                </c:pt>
                <c:pt idx="9">
                  <c:v>0.75</c:v>
                </c:pt>
                <c:pt idx="10">
                  <c:v>0.8</c:v>
                </c:pt>
                <c:pt idx="11">
                  <c:v>0.85</c:v>
                </c:pt>
                <c:pt idx="12">
                  <c:v>0.9</c:v>
                </c:pt>
              </c:numCache>
            </c:numRef>
          </c:xVal>
          <c:yVal>
            <c:numRef>
              <c:f>'SFC calculation'!$E$52:$E$64</c:f>
              <c:numCache>
                <c:formatCode>0.000E+00</c:formatCode>
                <c:ptCount val="13"/>
                <c:pt idx="0">
                  <c:v>1.1121009869616756E-7</c:v>
                </c:pt>
                <c:pt idx="1">
                  <c:v>1.0054789081989795E-7</c:v>
                </c:pt>
                <c:pt idx="2">
                  <c:v>9.2855882597691002E-8</c:v>
                </c:pt>
                <c:pt idx="3">
                  <c:v>8.717172180577052E-8</c:v>
                </c:pt>
                <c:pt idx="4">
                  <c:v>8.2923009522972819E-8</c:v>
                </c:pt>
                <c:pt idx="5">
                  <c:v>7.9751275312413202E-8</c:v>
                </c:pt>
                <c:pt idx="6">
                  <c:v>7.7424300029329808E-8</c:v>
                </c:pt>
                <c:pt idx="7">
                  <c:v>7.5789332366964323E-8</c:v>
                </c:pt>
                <c:pt idx="8">
                  <c:v>7.4746914370282021E-8</c:v>
                </c:pt>
                <c:pt idx="9">
                  <c:v>7.4235926174722383E-8</c:v>
                </c:pt>
                <c:pt idx="10">
                  <c:v>7.4225269404855465E-8</c:v>
                </c:pt>
                <c:pt idx="11">
                  <c:v>7.4709940341351703E-8</c:v>
                </c:pt>
                <c:pt idx="12">
                  <c:v>7.5710524011340318E-8</c:v>
                </c:pt>
              </c:numCache>
            </c:numRef>
          </c:yVal>
          <c:smooth val="1"/>
        </c:ser>
        <c:ser>
          <c:idx val="3"/>
          <c:order val="4"/>
          <c:tx>
            <c:strRef>
              <c:f>'SFC calculation'!$F$51</c:f>
              <c:strCache>
                <c:ptCount val="1"/>
                <c:pt idx="0">
                  <c:v>10000</c:v>
                </c:pt>
              </c:strCache>
            </c:strRef>
          </c:tx>
          <c:xVal>
            <c:numRef>
              <c:f>'SFC calculation'!$B$52:$B$64</c:f>
              <c:numCache>
                <c:formatCode>0.00</c:formatCode>
                <c:ptCount val="13"/>
                <c:pt idx="0">
                  <c:v>0.3</c:v>
                </c:pt>
                <c:pt idx="1">
                  <c:v>0.35</c:v>
                </c:pt>
                <c:pt idx="2">
                  <c:v>0.4</c:v>
                </c:pt>
                <c:pt idx="3">
                  <c:v>0.45</c:v>
                </c:pt>
                <c:pt idx="4">
                  <c:v>0.5</c:v>
                </c:pt>
                <c:pt idx="5">
                  <c:v>0.55000000000000004</c:v>
                </c:pt>
                <c:pt idx="6">
                  <c:v>0.6</c:v>
                </c:pt>
                <c:pt idx="7">
                  <c:v>0.65</c:v>
                </c:pt>
                <c:pt idx="8">
                  <c:v>0.7</c:v>
                </c:pt>
                <c:pt idx="9">
                  <c:v>0.75</c:v>
                </c:pt>
                <c:pt idx="10">
                  <c:v>0.8</c:v>
                </c:pt>
                <c:pt idx="11">
                  <c:v>0.85</c:v>
                </c:pt>
                <c:pt idx="12">
                  <c:v>0.9</c:v>
                </c:pt>
              </c:numCache>
            </c:numRef>
          </c:xVal>
          <c:yVal>
            <c:numRef>
              <c:f>'SFC calculation'!$F$52:$F$64</c:f>
              <c:numCache>
                <c:formatCode>0.000E+00</c:formatCode>
                <c:ptCount val="13"/>
                <c:pt idx="0">
                  <c:v>1.1482725442111757E-7</c:v>
                </c:pt>
                <c:pt idx="1">
                  <c:v>1.035426460187025E-7</c:v>
                </c:pt>
                <c:pt idx="2">
                  <c:v>9.5357440660904081E-8</c:v>
                </c:pt>
                <c:pt idx="3">
                  <c:v>8.9261719499491049E-8</c:v>
                </c:pt>
                <c:pt idx="4">
                  <c:v>8.4653485083079251E-8</c:v>
                </c:pt>
                <c:pt idx="5">
                  <c:v>8.1154147880507098E-8</c:v>
                </c:pt>
                <c:pt idx="6">
                  <c:v>7.8516494233480997E-8</c:v>
                </c:pt>
                <c:pt idx="7">
                  <c:v>7.6575410346823094E-8</c:v>
                </c:pt>
                <c:pt idx="8">
                  <c:v>7.5220081246552746E-8</c:v>
                </c:pt>
                <c:pt idx="9">
                  <c:v>7.4377775441985177E-8</c:v>
                </c:pt>
                <c:pt idx="10">
                  <c:v>7.4004330983286917E-8</c:v>
                </c:pt>
                <c:pt idx="11">
                  <c:v>7.407884627177319E-8</c:v>
                </c:pt>
                <c:pt idx="12">
                  <c:v>7.4601324238680072E-8</c:v>
                </c:pt>
              </c:numCache>
            </c:numRef>
          </c:yVal>
          <c:smooth val="1"/>
        </c:ser>
        <c:ser>
          <c:idx val="4"/>
          <c:order val="5"/>
          <c:tx>
            <c:strRef>
              <c:f>'SFC calculation'!$G$51</c:f>
              <c:strCache>
                <c:ptCount val="1"/>
                <c:pt idx="0">
                  <c:v>11000</c:v>
                </c:pt>
              </c:strCache>
            </c:strRef>
          </c:tx>
          <c:trendline>
            <c:trendlineType val="poly"/>
            <c:order val="4"/>
            <c:dispRSqr val="1"/>
            <c:dispEq val="1"/>
            <c:trendlineLbl>
              <c:layout>
                <c:manualLayout>
                  <c:x val="-0.16002295467726246"/>
                  <c:y val="0.23351426561258545"/>
                </c:manualLayout>
              </c:layout>
              <c:numFmt formatCode="0.0000E+00" sourceLinked="0"/>
              <c:spPr>
                <a:solidFill>
                  <a:schemeClr val="bg1"/>
                </a:solidFill>
                <a:ln w="12700">
                  <a:solidFill>
                    <a:schemeClr val="tx1"/>
                  </a:solidFill>
                </a:ln>
              </c:spPr>
            </c:trendlineLbl>
          </c:trendline>
          <c:xVal>
            <c:numRef>
              <c:f>'SFC calculation'!$B$52:$B$64</c:f>
              <c:numCache>
                <c:formatCode>0.00</c:formatCode>
                <c:ptCount val="13"/>
                <c:pt idx="0">
                  <c:v>0.3</c:v>
                </c:pt>
                <c:pt idx="1">
                  <c:v>0.35</c:v>
                </c:pt>
                <c:pt idx="2">
                  <c:v>0.4</c:v>
                </c:pt>
                <c:pt idx="3">
                  <c:v>0.45</c:v>
                </c:pt>
                <c:pt idx="4">
                  <c:v>0.5</c:v>
                </c:pt>
                <c:pt idx="5">
                  <c:v>0.55000000000000004</c:v>
                </c:pt>
                <c:pt idx="6">
                  <c:v>0.6</c:v>
                </c:pt>
                <c:pt idx="7">
                  <c:v>0.65</c:v>
                </c:pt>
                <c:pt idx="8">
                  <c:v>0.7</c:v>
                </c:pt>
                <c:pt idx="9">
                  <c:v>0.75</c:v>
                </c:pt>
                <c:pt idx="10">
                  <c:v>0.8</c:v>
                </c:pt>
                <c:pt idx="11">
                  <c:v>0.85</c:v>
                </c:pt>
                <c:pt idx="12">
                  <c:v>0.9</c:v>
                </c:pt>
              </c:numCache>
            </c:numRef>
          </c:xVal>
          <c:yVal>
            <c:numRef>
              <c:f>'SFC calculation'!$G$52:$G$64</c:f>
              <c:numCache>
                <c:formatCode>0.000E+00</c:formatCode>
                <c:ptCount val="13"/>
                <c:pt idx="0">
                  <c:v>1.1675255394714443E-7</c:v>
                </c:pt>
                <c:pt idx="1">
                  <c:v>1.0514459829796843E-7</c:v>
                </c:pt>
                <c:pt idx="2">
                  <c:v>9.6704821904459456E-8</c:v>
                </c:pt>
                <c:pt idx="3">
                  <c:v>9.0398447183185625E-8</c:v>
                </c:pt>
                <c:pt idx="4">
                  <c:v>8.5608131686363734E-8</c:v>
                </c:pt>
                <c:pt idx="5">
                  <c:v>8.1945005845078394E-8</c:v>
                </c:pt>
                <c:pt idx="6">
                  <c:v>7.9154376366376659E-8</c:v>
                </c:pt>
                <c:pt idx="7">
                  <c:v>7.7065178309061576E-8</c:v>
                </c:pt>
                <c:pt idx="8">
                  <c:v>7.5561376866855091E-8</c:v>
                </c:pt>
                <c:pt idx="9">
                  <c:v>7.4565177256885611E-8</c:v>
                </c:pt>
                <c:pt idx="10">
                  <c:v>7.4027016124160402E-8</c:v>
                </c:pt>
                <c:pt idx="11">
                  <c:v>7.3919737438284812E-8</c:v>
                </c:pt>
                <c:pt idx="12">
                  <c:v>7.4235605580886355E-8</c:v>
                </c:pt>
              </c:numCache>
            </c:numRef>
          </c:yVal>
          <c:smooth val="1"/>
        </c:ser>
        <c:axId val="71535232"/>
        <c:axId val="297502208"/>
      </c:scatterChart>
      <c:valAx>
        <c:axId val="71535232"/>
        <c:scaling>
          <c:orientation val="minMax"/>
          <c:max val="0.9"/>
          <c:min val="0.4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 sz="1200"/>
                  <a:t>Cruise Mach Number</a:t>
                </a:r>
              </a:p>
            </c:rich>
          </c:tx>
          <c:layout>
            <c:manualLayout>
              <c:xMode val="edge"/>
              <c:yMode val="edge"/>
              <c:x val="0.3983392318568284"/>
              <c:y val="0.94409412625543232"/>
            </c:manualLayout>
          </c:layout>
        </c:title>
        <c:numFmt formatCode="0.00" sourceLinked="1"/>
        <c:tickLblPos val="nextTo"/>
        <c:crossAx val="297502208"/>
        <c:crosses val="autoZero"/>
        <c:crossBetween val="midCat"/>
        <c:majorUnit val="0.05"/>
      </c:valAx>
      <c:valAx>
        <c:axId val="297502208"/>
        <c:scaling>
          <c:orientation val="minMax"/>
          <c:max val="1.0000000000000017E-7"/>
          <c:min val="5.0000000000000084E-8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200"/>
                  <a:t>PSFC [kg/W/s]</a:t>
                </a:r>
              </a:p>
            </c:rich>
          </c:tx>
          <c:layout>
            <c:manualLayout>
              <c:xMode val="edge"/>
              <c:yMode val="edge"/>
              <c:x val="1.3237586628025261E-2"/>
              <c:y val="0.34257581438683798"/>
            </c:manualLayout>
          </c:layout>
        </c:title>
        <c:numFmt formatCode="0.0E+00" sourceLinked="0"/>
        <c:tickLblPos val="nextTo"/>
        <c:crossAx val="71535232"/>
        <c:crosses val="autoZero"/>
        <c:crossBetween val="midCat"/>
        <c:majorUnit val="2.0000000000000038E-9"/>
      </c:valAx>
    </c:plotArea>
    <c:legend>
      <c:legendPos val="r"/>
      <c:layout/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0.1333797723584127"/>
          <c:y val="3.5756907198194431E-2"/>
          <c:w val="0.69957524174537755"/>
          <c:h val="0.85117767846506764"/>
        </c:manualLayout>
      </c:layout>
      <c:scatterChart>
        <c:scatterStyle val="smoothMarker"/>
        <c:ser>
          <c:idx val="0"/>
          <c:order val="0"/>
          <c:tx>
            <c:strRef>
              <c:f>'SFC calculation'!$K$51</c:f>
              <c:strCache>
                <c:ptCount val="1"/>
                <c:pt idx="0">
                  <c:v>4000,00</c:v>
                </c:pt>
              </c:strCache>
            </c:strRef>
          </c:tx>
          <c:xVal>
            <c:numRef>
              <c:f>'SFC calculation'!$K$52:$K$65</c:f>
              <c:numCache>
                <c:formatCode>0.00</c:formatCode>
                <c:ptCount val="14"/>
                <c:pt idx="0">
                  <c:v>97.373586310361418</c:v>
                </c:pt>
                <c:pt idx="1">
                  <c:v>113.60251736208831</c:v>
                </c:pt>
                <c:pt idx="2">
                  <c:v>129.83144841381522</c:v>
                </c:pt>
                <c:pt idx="3">
                  <c:v>146.06037946554213</c:v>
                </c:pt>
                <c:pt idx="4">
                  <c:v>162.28931051726903</c:v>
                </c:pt>
                <c:pt idx="5">
                  <c:v>178.51824156899596</c:v>
                </c:pt>
                <c:pt idx="6">
                  <c:v>194.74717262072284</c:v>
                </c:pt>
                <c:pt idx="7">
                  <c:v>210.97610367244974</c:v>
                </c:pt>
                <c:pt idx="8">
                  <c:v>227.20503472417661</c:v>
                </c:pt>
                <c:pt idx="9">
                  <c:v>243.43396577590354</c:v>
                </c:pt>
                <c:pt idx="10">
                  <c:v>259.66289682763045</c:v>
                </c:pt>
                <c:pt idx="11">
                  <c:v>275.89182787935732</c:v>
                </c:pt>
                <c:pt idx="12">
                  <c:v>292.12075893108425</c:v>
                </c:pt>
              </c:numCache>
            </c:numRef>
          </c:xVal>
          <c:yVal>
            <c:numRef>
              <c:f>'SFC calculation'!$C$52:$C$65</c:f>
              <c:numCache>
                <c:formatCode>0.000E+00</c:formatCode>
                <c:ptCount val="14"/>
                <c:pt idx="0">
                  <c:v>1.0479702483613627E-7</c:v>
                </c:pt>
                <c:pt idx="1">
                  <c:v>9.5305483331315002E-8</c:v>
                </c:pt>
                <c:pt idx="2">
                  <c:v>8.8556010419397497E-8</c:v>
                </c:pt>
                <c:pt idx="3">
                  <c:v>8.3674758935418197E-8</c:v>
                </c:pt>
                <c:pt idx="4">
                  <c:v>8.0145732060942938E-8</c:v>
                </c:pt>
                <c:pt idx="5">
                  <c:v>7.7650465431864714E-8</c:v>
                </c:pt>
                <c:pt idx="6">
                  <c:v>7.5988642467190543E-8</c:v>
                </c:pt>
                <c:pt idx="7">
                  <c:v>7.5036391709733089E-8</c:v>
                </c:pt>
                <c:pt idx="8">
                  <c:v>7.4723904934618123E-8</c:v>
                </c:pt>
                <c:pt idx="9">
                  <c:v>7.5024082734805996E-8</c:v>
                </c:pt>
                <c:pt idx="10">
                  <c:v>7.5948510553921812E-8</c:v>
                </c:pt>
                <c:pt idx="11">
                  <c:v>7.7549573603403762E-8</c:v>
                </c:pt>
                <c:pt idx="12">
                  <c:v>7.9929415469044095E-8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'SFC calculation'!$L$51</c:f>
              <c:strCache>
                <c:ptCount val="1"/>
                <c:pt idx="0">
                  <c:v>6000,00</c:v>
                </c:pt>
              </c:strCache>
            </c:strRef>
          </c:tx>
          <c:xVal>
            <c:numRef>
              <c:f>'SFC calculation'!$L$52:$L$65</c:f>
              <c:numCache>
                <c:formatCode>0.00</c:formatCode>
                <c:ptCount val="14"/>
                <c:pt idx="0">
                  <c:v>94.92851350775544</c:v>
                </c:pt>
                <c:pt idx="1">
                  <c:v>110.74993242571468</c:v>
                </c:pt>
                <c:pt idx="2">
                  <c:v>126.57135134367394</c:v>
                </c:pt>
                <c:pt idx="3">
                  <c:v>142.39277026163316</c:v>
                </c:pt>
                <c:pt idx="4">
                  <c:v>158.21418917959241</c:v>
                </c:pt>
                <c:pt idx="5">
                  <c:v>174.03560809755166</c:v>
                </c:pt>
                <c:pt idx="6">
                  <c:v>189.85702701551088</c:v>
                </c:pt>
                <c:pt idx="7">
                  <c:v>205.67844593347013</c:v>
                </c:pt>
                <c:pt idx="8">
                  <c:v>221.49986485142935</c:v>
                </c:pt>
                <c:pt idx="9">
                  <c:v>237.32128376938863</c:v>
                </c:pt>
                <c:pt idx="10">
                  <c:v>253.14270268734788</c:v>
                </c:pt>
                <c:pt idx="11">
                  <c:v>268.96412160530707</c:v>
                </c:pt>
                <c:pt idx="12">
                  <c:v>284.78554052326632</c:v>
                </c:pt>
              </c:numCache>
            </c:numRef>
          </c:xVal>
          <c:yVal>
            <c:numRef>
              <c:f>'SFC calculation'!$D$52:$D$65</c:f>
              <c:numCache>
                <c:formatCode>0.000E+00</c:formatCode>
                <c:ptCount val="14"/>
                <c:pt idx="0">
                  <c:v>1.0787582597349466E-7</c:v>
                </c:pt>
                <c:pt idx="1">
                  <c:v>9.7809231818243015E-8</c:v>
                </c:pt>
                <c:pt idx="2">
                  <c:v>9.0593950594957134E-8</c:v>
                </c:pt>
                <c:pt idx="3">
                  <c:v>8.5312804299196715E-8</c:v>
                </c:pt>
                <c:pt idx="4">
                  <c:v>8.1421904839942972E-8</c:v>
                </c:pt>
                <c:pt idx="5">
                  <c:v>7.8582659524263767E-8</c:v>
                </c:pt>
                <c:pt idx="6">
                  <c:v>7.6578279524670874E-8</c:v>
                </c:pt>
                <c:pt idx="7">
                  <c:v>7.5269484680899855E-8</c:v>
                </c:pt>
                <c:pt idx="8">
                  <c:v>7.4570082264728122E-8</c:v>
                </c:pt>
                <c:pt idx="9">
                  <c:v>7.4433545591892655E-8</c:v>
                </c:pt>
                <c:pt idx="10">
                  <c:v>7.4846378215670909E-8</c:v>
                </c:pt>
                <c:pt idx="11">
                  <c:v>7.582639228120836E-8</c:v>
                </c:pt>
                <c:pt idx="12">
                  <c:v>7.7425465249932436E-8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'SFC calculation'!$M$51</c:f>
              <c:strCache>
                <c:ptCount val="1"/>
                <c:pt idx="0">
                  <c:v>8000,00</c:v>
                </c:pt>
              </c:strCache>
            </c:strRef>
          </c:tx>
          <c:xVal>
            <c:numRef>
              <c:f>'SFC calculation'!$M$52:$M$65</c:f>
              <c:numCache>
                <c:formatCode>0.00</c:formatCode>
                <c:ptCount val="14"/>
                <c:pt idx="0">
                  <c:v>92.418775379480167</c:v>
                </c:pt>
                <c:pt idx="1">
                  <c:v>107.82190460939353</c:v>
                </c:pt>
                <c:pt idx="2">
                  <c:v>123.22503383930689</c:v>
                </c:pt>
                <c:pt idx="3">
                  <c:v>138.62816306922025</c:v>
                </c:pt>
                <c:pt idx="4">
                  <c:v>154.03129229913361</c:v>
                </c:pt>
                <c:pt idx="5">
                  <c:v>169.43442152904697</c:v>
                </c:pt>
                <c:pt idx="6">
                  <c:v>184.83755075896033</c:v>
                </c:pt>
                <c:pt idx="7">
                  <c:v>200.24067998887369</c:v>
                </c:pt>
                <c:pt idx="8">
                  <c:v>215.64380921878706</c:v>
                </c:pt>
                <c:pt idx="9">
                  <c:v>231.04693844870042</c:v>
                </c:pt>
                <c:pt idx="10">
                  <c:v>246.45006767861378</c:v>
                </c:pt>
                <c:pt idx="11">
                  <c:v>261.85319690852714</c:v>
                </c:pt>
                <c:pt idx="12">
                  <c:v>277.2563261384405</c:v>
                </c:pt>
              </c:numCache>
            </c:numRef>
          </c:xVal>
          <c:yVal>
            <c:numRef>
              <c:f>'SFC calculation'!$E$52:$E$65</c:f>
              <c:numCache>
                <c:formatCode>0.000E+00</c:formatCode>
                <c:ptCount val="14"/>
                <c:pt idx="0">
                  <c:v>1.1121009869616756E-7</c:v>
                </c:pt>
                <c:pt idx="1">
                  <c:v>1.0054789081989795E-7</c:v>
                </c:pt>
                <c:pt idx="2">
                  <c:v>9.2855882597691002E-8</c:v>
                </c:pt>
                <c:pt idx="3">
                  <c:v>8.717172180577052E-8</c:v>
                </c:pt>
                <c:pt idx="4">
                  <c:v>8.2923009522972819E-8</c:v>
                </c:pt>
                <c:pt idx="5">
                  <c:v>7.9751275312413202E-8</c:v>
                </c:pt>
                <c:pt idx="6">
                  <c:v>7.7424300029329808E-8</c:v>
                </c:pt>
                <c:pt idx="7">
                  <c:v>7.5789332366964323E-8</c:v>
                </c:pt>
                <c:pt idx="8">
                  <c:v>7.4746914370282021E-8</c:v>
                </c:pt>
                <c:pt idx="9">
                  <c:v>7.4235926174722383E-8</c:v>
                </c:pt>
                <c:pt idx="10">
                  <c:v>7.4225269404855465E-8</c:v>
                </c:pt>
                <c:pt idx="11">
                  <c:v>7.4709940341351703E-8</c:v>
                </c:pt>
                <c:pt idx="12">
                  <c:v>7.5710524011340318E-8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'SFC calculation'!$N$51</c:f>
              <c:strCache>
                <c:ptCount val="1"/>
                <c:pt idx="0">
                  <c:v>10000,00</c:v>
                </c:pt>
              </c:strCache>
            </c:strRef>
          </c:tx>
          <c:xVal>
            <c:numRef>
              <c:f>'SFC calculation'!$N$52:$N$65</c:f>
              <c:numCache>
                <c:formatCode>0.00</c:formatCode>
                <c:ptCount val="14"/>
                <c:pt idx="0">
                  <c:v>89.838952623533586</c:v>
                </c:pt>
                <c:pt idx="1">
                  <c:v>104.81211139412252</c:v>
                </c:pt>
                <c:pt idx="2">
                  <c:v>119.78527016471146</c:v>
                </c:pt>
                <c:pt idx="3">
                  <c:v>134.7584289353004</c:v>
                </c:pt>
                <c:pt idx="4">
                  <c:v>149.73158770588932</c:v>
                </c:pt>
                <c:pt idx="5">
                  <c:v>164.70474647647828</c:v>
                </c:pt>
                <c:pt idx="6">
                  <c:v>179.67790524706717</c:v>
                </c:pt>
                <c:pt idx="7">
                  <c:v>194.65106401765613</c:v>
                </c:pt>
                <c:pt idx="8">
                  <c:v>209.62422278824505</c:v>
                </c:pt>
                <c:pt idx="9">
                  <c:v>224.597381558834</c:v>
                </c:pt>
                <c:pt idx="10">
                  <c:v>239.57054032942293</c:v>
                </c:pt>
                <c:pt idx="11">
                  <c:v>254.54369910001185</c:v>
                </c:pt>
                <c:pt idx="12">
                  <c:v>269.5168578706008</c:v>
                </c:pt>
              </c:numCache>
            </c:numRef>
          </c:xVal>
          <c:yVal>
            <c:numRef>
              <c:f>'SFC calculation'!$F$52:$F$65</c:f>
              <c:numCache>
                <c:formatCode>0.000E+00</c:formatCode>
                <c:ptCount val="14"/>
                <c:pt idx="0">
                  <c:v>1.1482725442111757E-7</c:v>
                </c:pt>
                <c:pt idx="1">
                  <c:v>1.035426460187025E-7</c:v>
                </c:pt>
                <c:pt idx="2">
                  <c:v>9.5357440660904081E-8</c:v>
                </c:pt>
                <c:pt idx="3">
                  <c:v>8.9261719499491049E-8</c:v>
                </c:pt>
                <c:pt idx="4">
                  <c:v>8.4653485083079251E-8</c:v>
                </c:pt>
                <c:pt idx="5">
                  <c:v>8.1154147880507098E-8</c:v>
                </c:pt>
                <c:pt idx="6">
                  <c:v>7.8516494233480997E-8</c:v>
                </c:pt>
                <c:pt idx="7">
                  <c:v>7.6575410346823094E-8</c:v>
                </c:pt>
                <c:pt idx="8">
                  <c:v>7.5220081246552746E-8</c:v>
                </c:pt>
                <c:pt idx="9">
                  <c:v>7.4377775441985177E-8</c:v>
                </c:pt>
                <c:pt idx="10">
                  <c:v>7.4004330983286917E-8</c:v>
                </c:pt>
                <c:pt idx="11">
                  <c:v>7.407884627177319E-8</c:v>
                </c:pt>
                <c:pt idx="12">
                  <c:v>7.4601324238680072E-8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'SFC calculation'!$O$51</c:f>
              <c:strCache>
                <c:ptCount val="1"/>
                <c:pt idx="0">
                  <c:v>11000,00</c:v>
                </c:pt>
              </c:strCache>
            </c:strRef>
          </c:tx>
          <c:trendline>
            <c:trendlineType val="poly"/>
            <c:order val="4"/>
            <c:dispRSqr val="1"/>
            <c:dispEq val="1"/>
            <c:trendlineLbl>
              <c:layout>
                <c:manualLayout>
                  <c:x val="-1.2396260859507015E-2"/>
                  <c:y val="0.24007594459594875"/>
                </c:manualLayout>
              </c:layout>
              <c:numFmt formatCode="0.0000E+00" sourceLinked="0"/>
              <c:spPr>
                <a:solidFill>
                  <a:schemeClr val="bg1"/>
                </a:solidFill>
                <a:ln w="12700">
                  <a:solidFill>
                    <a:schemeClr val="tx1"/>
                  </a:solidFill>
                </a:ln>
              </c:spPr>
            </c:trendlineLbl>
          </c:trendline>
          <c:xVal>
            <c:numRef>
              <c:f>'SFC calculation'!$O$52:$O$65</c:f>
              <c:numCache>
                <c:formatCode>0.00</c:formatCode>
                <c:ptCount val="14"/>
                <c:pt idx="0">
                  <c:v>88.520851167501007</c:v>
                </c:pt>
                <c:pt idx="1">
                  <c:v>103.27432636208451</c:v>
                </c:pt>
                <c:pt idx="2">
                  <c:v>118.02780155666801</c:v>
                </c:pt>
                <c:pt idx="3">
                  <c:v>132.78127675125151</c:v>
                </c:pt>
                <c:pt idx="4">
                  <c:v>147.53475194583501</c:v>
                </c:pt>
                <c:pt idx="5">
                  <c:v>162.28822714041851</c:v>
                </c:pt>
                <c:pt idx="6">
                  <c:v>177.04170233500201</c:v>
                </c:pt>
                <c:pt idx="7">
                  <c:v>191.79517752958552</c:v>
                </c:pt>
                <c:pt idx="8">
                  <c:v>206.54865272416902</c:v>
                </c:pt>
                <c:pt idx="9">
                  <c:v>221.30212791875252</c:v>
                </c:pt>
                <c:pt idx="10">
                  <c:v>236.05560311333602</c:v>
                </c:pt>
                <c:pt idx="11">
                  <c:v>250.80907830791952</c:v>
                </c:pt>
                <c:pt idx="12">
                  <c:v>265.56255350250302</c:v>
                </c:pt>
              </c:numCache>
            </c:numRef>
          </c:xVal>
          <c:yVal>
            <c:numRef>
              <c:f>'SFC calculation'!$G$52:$G$65</c:f>
              <c:numCache>
                <c:formatCode>0.000E+00</c:formatCode>
                <c:ptCount val="14"/>
                <c:pt idx="0">
                  <c:v>1.1675255394714443E-7</c:v>
                </c:pt>
                <c:pt idx="1">
                  <c:v>1.0514459829796843E-7</c:v>
                </c:pt>
                <c:pt idx="2">
                  <c:v>9.6704821904459456E-8</c:v>
                </c:pt>
                <c:pt idx="3">
                  <c:v>9.0398447183185625E-8</c:v>
                </c:pt>
                <c:pt idx="4">
                  <c:v>8.5608131686363734E-8</c:v>
                </c:pt>
                <c:pt idx="5">
                  <c:v>8.1945005845078394E-8</c:v>
                </c:pt>
                <c:pt idx="6">
                  <c:v>7.9154376366376659E-8</c:v>
                </c:pt>
                <c:pt idx="7">
                  <c:v>7.7065178309061576E-8</c:v>
                </c:pt>
                <c:pt idx="8">
                  <c:v>7.5561376866855091E-8</c:v>
                </c:pt>
                <c:pt idx="9">
                  <c:v>7.4565177256885611E-8</c:v>
                </c:pt>
                <c:pt idx="10">
                  <c:v>7.4027016124160402E-8</c:v>
                </c:pt>
                <c:pt idx="11">
                  <c:v>7.3919737438284812E-8</c:v>
                </c:pt>
                <c:pt idx="12">
                  <c:v>7.4235605580886355E-8</c:v>
                </c:pt>
              </c:numCache>
            </c:numRef>
          </c:yVal>
          <c:smooth val="1"/>
        </c:ser>
        <c:axId val="340853888"/>
        <c:axId val="341176704"/>
      </c:scatterChart>
      <c:valAx>
        <c:axId val="340853888"/>
        <c:scaling>
          <c:orientation val="minMax"/>
          <c:max val="300"/>
          <c:min val="100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 sz="1200"/>
                  <a:t>Cruise Speed (TAS) [m/s]</a:t>
                </a:r>
              </a:p>
            </c:rich>
          </c:tx>
          <c:layout>
            <c:manualLayout>
              <c:xMode val="edge"/>
              <c:yMode val="edge"/>
              <c:x val="0.39833923185682851"/>
              <c:y val="0.94409412625543254"/>
            </c:manualLayout>
          </c:layout>
        </c:title>
        <c:numFmt formatCode="0" sourceLinked="0"/>
        <c:tickLblPos val="nextTo"/>
        <c:crossAx val="341176704"/>
        <c:crosses val="autoZero"/>
        <c:crossBetween val="midCat"/>
        <c:majorUnit val="20"/>
      </c:valAx>
      <c:valAx>
        <c:axId val="341176704"/>
        <c:scaling>
          <c:orientation val="minMax"/>
          <c:max val="1.0000000000000026E-7"/>
          <c:min val="5.0000000000000037E-8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200"/>
                  <a:t>PSFC [kg/W/s]</a:t>
                </a:r>
              </a:p>
            </c:rich>
          </c:tx>
          <c:layout>
            <c:manualLayout>
              <c:xMode val="edge"/>
              <c:yMode val="edge"/>
              <c:x val="1.3237586628025261E-2"/>
              <c:y val="0.34257581438683798"/>
            </c:manualLayout>
          </c:layout>
        </c:title>
        <c:numFmt formatCode="0.0E+00" sourceLinked="0"/>
        <c:tickLblPos val="nextTo"/>
        <c:crossAx val="340853888"/>
        <c:crosses val="autoZero"/>
        <c:crossBetween val="midCat"/>
        <c:majorUnit val="2.0000000000000059E-9"/>
      </c:valAx>
    </c:plotArea>
    <c:legend>
      <c:legendPos val="r"/>
      <c:layout/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0.1333797723584127"/>
          <c:y val="3.5756907198194431E-2"/>
          <c:w val="0.69957524174537755"/>
          <c:h val="0.85117767846506764"/>
        </c:manualLayout>
      </c:layout>
      <c:scatterChart>
        <c:scatterStyle val="smoothMarker"/>
        <c:ser>
          <c:idx val="0"/>
          <c:order val="0"/>
          <c:tx>
            <c:strRef>
              <c:f>'SFC calculation'!$C$127</c:f>
              <c:strCache>
                <c:ptCount val="1"/>
                <c:pt idx="0">
                  <c:v>4000</c:v>
                </c:pt>
              </c:strCache>
            </c:strRef>
          </c:tx>
          <c:xVal>
            <c:numRef>
              <c:f>'SFC calculation'!$B$128:$B$146</c:f>
              <c:numCache>
                <c:formatCode>0.00</c:formatCode>
                <c:ptCount val="19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</c:numCache>
            </c:numRef>
          </c:xVal>
          <c:yVal>
            <c:numRef>
              <c:f>'SFC calculation'!$C$128:$C$146</c:f>
              <c:numCache>
                <c:formatCode>0.000E+00</c:formatCode>
                <c:ptCount val="19"/>
                <c:pt idx="0">
                  <c:v>7.2526229825133947E-6</c:v>
                </c:pt>
                <c:pt idx="1">
                  <c:v>7.6664504139221078E-6</c:v>
                </c:pt>
                <c:pt idx="2">
                  <c:v>8.1081958891313447E-6</c:v>
                </c:pt>
                <c:pt idx="3">
                  <c:v>8.5801182313706294E-6</c:v>
                </c:pt>
                <c:pt idx="4">
                  <c:v>9.0847705760526073E-6</c:v>
                </c:pt>
                <c:pt idx="5">
                  <c:v>9.6250816743434682E-6</c:v>
                </c:pt>
                <c:pt idx="6">
                  <c:v>1.0204462142950604E-5</c:v>
                </c:pt>
                <c:pt idx="7">
                  <c:v>1.0826942824847931E-5</c:v>
                </c:pt>
                <c:pt idx="8">
                  <c:v>1.1497355098499289E-5</c:v>
                </c:pt>
                <c:pt idx="9">
                  <c:v>1.2221567041794943E-5</c:v>
                </c:pt>
                <c:pt idx="10">
                  <c:v>1.3006795597072212E-5</c:v>
                </c:pt>
                <c:pt idx="11">
                  <c:v>1.3862024545910594E-5</c:v>
                </c:pt>
                <c:pt idx="12">
                  <c:v>1.4798573271772348E-5</c:v>
                </c:pt>
                <c:pt idx="13">
                  <c:v>1.5830885556559197E-5</c:v>
                </c:pt>
                <c:pt idx="14">
                  <c:v>1.6977647415395982E-5</c:v>
                </c:pt>
                <c:pt idx="15">
                  <c:v>1.826340998883332E-5</c:v>
                </c:pt>
                <c:pt idx="16">
                  <c:v>1.9721010260175203E-5</c:v>
                </c:pt>
                <c:pt idx="17">
                  <c:v>2.1395293612707824E-5</c:v>
                </c:pt>
                <c:pt idx="18">
                  <c:v>2.3349041507735108E-5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'SFC calculation'!$D$127</c:f>
              <c:strCache>
                <c:ptCount val="1"/>
                <c:pt idx="0">
                  <c:v>6000</c:v>
                </c:pt>
              </c:strCache>
            </c:strRef>
          </c:tx>
          <c:xVal>
            <c:numRef>
              <c:f>'SFC calculation'!$B$128:$B$146</c:f>
              <c:numCache>
                <c:formatCode>0.00</c:formatCode>
                <c:ptCount val="19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</c:numCache>
            </c:numRef>
          </c:xVal>
          <c:yVal>
            <c:numRef>
              <c:f>'SFC calculation'!$D$128:$D$146</c:f>
              <c:numCache>
                <c:formatCode>0.000E+00</c:formatCode>
                <c:ptCount val="19"/>
                <c:pt idx="0">
                  <c:v>7.3945227588155977E-6</c:v>
                </c:pt>
                <c:pt idx="1">
                  <c:v>7.7975178660312806E-6</c:v>
                </c:pt>
                <c:pt idx="2">
                  <c:v>8.2262165744649443E-6</c:v>
                </c:pt>
                <c:pt idx="3">
                  <c:v>8.6825447930868781E-6</c:v>
                </c:pt>
                <c:pt idx="4">
                  <c:v>9.168663615768556E-6</c:v>
                </c:pt>
                <c:pt idx="5">
                  <c:v>9.6870326728956159E-6</c:v>
                </c:pt>
                <c:pt idx="6">
                  <c:v>1.0240491803085163E-5</c:v>
                </c:pt>
                <c:pt idx="7">
                  <c:v>1.0832365814481475E-5</c:v>
                </c:pt>
                <c:pt idx="8">
                  <c:v>1.1466598750365759E-5</c:v>
                </c:pt>
                <c:pt idx="9">
                  <c:v>1.2147926542951188E-5</c:v>
                </c:pt>
                <c:pt idx="10">
                  <c:v>1.2882100655709509E-5</c:v>
                </c:pt>
                <c:pt idx="11">
                  <c:v>1.3676180936228105E-5</c:v>
                </c:pt>
                <c:pt idx="12">
                  <c:v>1.4538924484516781E-5</c:v>
                </c:pt>
                <c:pt idx="13">
                  <c:v>1.5481310635380618E-5</c:v>
                </c:pt>
                <c:pt idx="14">
                  <c:v>1.6517263143597249E-5</c:v>
                </c:pt>
                <c:pt idx="15">
                  <c:v>1.7664664595375283E-5</c:v>
                </c:pt>
                <c:pt idx="16">
                  <c:v>1.8946814467874371E-5</c:v>
                </c:pt>
                <c:pt idx="17">
                  <c:v>2.0394578994414643E-5</c:v>
                </c:pt>
                <c:pt idx="18">
                  <c:v>2.2049652971467382E-5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'SFC calculation'!$E$127</c:f>
              <c:strCache>
                <c:ptCount val="1"/>
                <c:pt idx="0">
                  <c:v>8000</c:v>
                </c:pt>
              </c:strCache>
            </c:strRef>
          </c:tx>
          <c:xVal>
            <c:numRef>
              <c:f>'SFC calculation'!$B$128:$B$146</c:f>
              <c:numCache>
                <c:formatCode>0.00</c:formatCode>
                <c:ptCount val="19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</c:numCache>
            </c:numRef>
          </c:xVal>
          <c:yVal>
            <c:numRef>
              <c:f>'SFC calculation'!$E$128:$E$146</c:f>
              <c:numCache>
                <c:formatCode>0.000E+00</c:formatCode>
                <c:ptCount val="19"/>
                <c:pt idx="0">
                  <c:v>7.5337441292887187E-6</c:v>
                </c:pt>
                <c:pt idx="1">
                  <c:v>7.9259741240523227E-6</c:v>
                </c:pt>
                <c:pt idx="2">
                  <c:v>8.3418601628245229E-6</c:v>
                </c:pt>
                <c:pt idx="3">
                  <c:v>8.7830421561937059E-6</c:v>
                </c:pt>
                <c:pt idx="4">
                  <c:v>9.2513484104335588E-6</c:v>
                </c:pt>
                <c:pt idx="5">
                  <c:v>9.7488454084935044E-6</c:v>
                </c:pt>
                <c:pt idx="6">
                  <c:v>1.027790113133093E-5</c:v>
                </c:pt>
                <c:pt idx="7">
                  <c:v>1.0841265092658752E-5</c:v>
                </c:pt>
                <c:pt idx="8">
                  <c:v>1.1442169275279181E-5</c:v>
                </c:pt>
                <c:pt idx="9">
                  <c:v>1.2084455665515058E-5</c:v>
                </c:pt>
                <c:pt idx="10">
                  <c:v>1.2772738318156865E-5</c:v>
                </c:pt>
                <c:pt idx="11">
                  <c:v>1.3512611198762497E-5</c:v>
                </c:pt>
                <c:pt idx="12">
                  <c:v>1.4310917986648223E-5</c:v>
                </c:pt>
                <c:pt idx="13">
                  <c:v>1.5176107449063691E-5</c:v>
                </c:pt>
                <c:pt idx="14">
                  <c:v>1.6118709342158109E-5</c:v>
                </c:pt>
                <c:pt idx="15">
                  <c:v>1.7151983465573351E-5</c:v>
                </c:pt>
                <c:pt idx="16">
                  <c:v>1.829282266828997E-5</c:v>
                </c:pt>
                <c:pt idx="17">
                  <c:v>1.9563036719228283E-5</c:v>
                </c:pt>
                <c:pt idx="18">
                  <c:v>2.0991221737400403E-5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'SFC calculation'!$F$127</c:f>
              <c:strCache>
                <c:ptCount val="1"/>
                <c:pt idx="0">
                  <c:v>10000</c:v>
                </c:pt>
              </c:strCache>
            </c:strRef>
          </c:tx>
          <c:xVal>
            <c:numRef>
              <c:f>'SFC calculation'!$B$128:$B$146</c:f>
              <c:numCache>
                <c:formatCode>0.00</c:formatCode>
                <c:ptCount val="19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</c:numCache>
            </c:numRef>
          </c:xVal>
          <c:yVal>
            <c:numRef>
              <c:f>'SFC calculation'!$F$128:$F$146</c:f>
              <c:numCache>
                <c:formatCode>0.000E+00</c:formatCode>
                <c:ptCount val="19"/>
                <c:pt idx="0">
                  <c:v>7.6704300940231786E-6</c:v>
                </c:pt>
                <c:pt idx="1">
                  <c:v>8.0519096478397373E-6</c:v>
                </c:pt>
                <c:pt idx="2">
                  <c:v>8.4551412695724336E-6</c:v>
                </c:pt>
                <c:pt idx="3">
                  <c:v>8.8815177987906256E-6</c:v>
                </c:pt>
                <c:pt idx="4">
                  <c:v>9.332583296631578E-6</c:v>
                </c:pt>
                <c:pt idx="5">
                  <c:v>9.8100724897187133E-6</c:v>
                </c:pt>
                <c:pt idx="6">
                  <c:v>1.0315960269829218E-5</c:v>
                </c:pt>
                <c:pt idx="7">
                  <c:v>1.0852523348554443E-5</c:v>
                </c:pt>
                <c:pt idx="8">
                  <c:v>1.1422416791781837E-5</c:v>
                </c:pt>
                <c:pt idx="9">
                  <c:v>1.2028769083814884E-5</c:v>
                </c:pt>
                <c:pt idx="10">
                  <c:v>1.2675300726326275E-5</c:v>
                </c:pt>
                <c:pt idx="11">
                  <c:v>1.3366473352173547E-5</c:v>
                </c:pt>
                <c:pt idx="12">
                  <c:v>1.4107679211215295E-5</c:v>
                </c:pt>
                <c:pt idx="13">
                  <c:v>1.4905485101597749E-5</c:v>
                </c:pt>
                <c:pt idx="14">
                  <c:v>1.5767951069377265E-5</c:v>
                </c:pt>
                <c:pt idx="15">
                  <c:v>1.6705053610440818E-5</c:v>
                </c:pt>
                <c:pt idx="16">
                  <c:v>1.7729257560383502E-5</c:v>
                </c:pt>
                <c:pt idx="17">
                  <c:v>1.8856303555078271E-5</c:v>
                </c:pt>
                <c:pt idx="18">
                  <c:v>2.0106314501794945E-5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'SFC calculation'!$G$127</c:f>
              <c:strCache>
                <c:ptCount val="1"/>
                <c:pt idx="0">
                  <c:v>11000</c:v>
                </c:pt>
              </c:strCache>
            </c:strRef>
          </c:tx>
          <c:trendline>
            <c:trendlineType val="poly"/>
            <c:order val="4"/>
            <c:dispRSqr val="1"/>
            <c:dispEq val="1"/>
            <c:trendlineLbl>
              <c:layout>
                <c:manualLayout>
                  <c:x val="-3.9303274792232022E-2"/>
                  <c:y val="0.53191115062529271"/>
                </c:manualLayout>
              </c:layout>
              <c:numFmt formatCode="0.0000E+00" sourceLinked="0"/>
              <c:spPr>
                <a:solidFill>
                  <a:schemeClr val="bg1"/>
                </a:solidFill>
                <a:ln w="12700">
                  <a:solidFill>
                    <a:schemeClr val="tx1"/>
                  </a:solidFill>
                </a:ln>
              </c:spPr>
            </c:trendlineLbl>
          </c:trendline>
          <c:xVal>
            <c:numRef>
              <c:f>'SFC calculation'!$B$128:$B$146</c:f>
              <c:numCache>
                <c:formatCode>0.00</c:formatCode>
                <c:ptCount val="19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</c:numCache>
            </c:numRef>
          </c:xVal>
          <c:yVal>
            <c:numRef>
              <c:f>'SFC calculation'!$G$128:$G$146</c:f>
              <c:numCache>
                <c:formatCode>0.000E+00</c:formatCode>
                <c:ptCount val="19"/>
                <c:pt idx="0">
                  <c:v>7.7378636934819672E-6</c:v>
                </c:pt>
                <c:pt idx="1">
                  <c:v>8.1139578686291174E-6</c:v>
                </c:pt>
                <c:pt idx="2">
                  <c:v>8.5108997543955058E-6</c:v>
                </c:pt>
                <c:pt idx="3">
                  <c:v>8.9299712193391951E-6</c:v>
                </c:pt>
                <c:pt idx="4">
                  <c:v>9.3725897102775185E-6</c:v>
                </c:pt>
                <c:pt idx="5">
                  <c:v>9.8403434732658075E-6</c:v>
                </c:pt>
                <c:pt idx="6">
                  <c:v>1.0335035451380804E-5</c:v>
                </c:pt>
                <c:pt idx="7">
                  <c:v>1.0858737559834667E-5</c:v>
                </c:pt>
                <c:pt idx="8">
                  <c:v>1.1413857529312463E-5</c:v>
                </c:pt>
                <c:pt idx="9">
                  <c:v>1.2003221233313963E-5</c:v>
                </c:pt>
                <c:pt idx="10">
                  <c:v>1.2630174472894051E-5</c:v>
                </c:pt>
                <c:pt idx="11">
                  <c:v>1.3298709721609006E-5</c:v>
                </c:pt>
                <c:pt idx="12">
                  <c:v>1.4013625539168776E-5</c:v>
                </c:pt>
                <c:pt idx="13">
                  <c:v>1.4780729555135627E-5</c:v>
                </c:pt>
                <c:pt idx="14">
                  <c:v>1.5607100589832109E-5</c:v>
                </c:pt>
                <c:pt idx="15">
                  <c:v>1.6501432395587756E-5</c:v>
                </c:pt>
                <c:pt idx="16">
                  <c:v>1.7474491937869335E-5</c:v>
                </c:pt>
                <c:pt idx="17">
                  <c:v>1.8539741215659627E-5</c:v>
                </c:pt>
                <c:pt idx="18">
                  <c:v>1.9714196978864844E-5</c:v>
                </c:pt>
              </c:numCache>
            </c:numRef>
          </c:yVal>
          <c:smooth val="1"/>
        </c:ser>
        <c:axId val="67058304"/>
        <c:axId val="67060480"/>
      </c:scatterChart>
      <c:valAx>
        <c:axId val="67058304"/>
        <c:scaling>
          <c:orientation val="minMax"/>
          <c:max val="0.9"/>
          <c:min val="0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 sz="1200"/>
                  <a:t>Cruise Mach Number</a:t>
                </a:r>
              </a:p>
            </c:rich>
          </c:tx>
          <c:layout>
            <c:manualLayout>
              <c:xMode val="edge"/>
              <c:yMode val="edge"/>
              <c:x val="0.39833923185682851"/>
              <c:y val="0.94409412625543254"/>
            </c:manualLayout>
          </c:layout>
        </c:title>
        <c:numFmt formatCode="0.00" sourceLinked="1"/>
        <c:tickLblPos val="nextTo"/>
        <c:crossAx val="67060480"/>
        <c:crosses val="autoZero"/>
        <c:crossBetween val="midCat"/>
        <c:majorUnit val="0.1"/>
      </c:valAx>
      <c:valAx>
        <c:axId val="67060480"/>
        <c:scaling>
          <c:orientation val="minMax"/>
          <c:max val="2.5000000000000015E-5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200"/>
                  <a:t>TSFC [kg/N/s]</a:t>
                </a:r>
              </a:p>
            </c:rich>
          </c:tx>
          <c:layout>
            <c:manualLayout>
              <c:xMode val="edge"/>
              <c:yMode val="edge"/>
              <c:x val="1.3237586628025261E-2"/>
              <c:y val="0.34257581438683798"/>
            </c:manualLayout>
          </c:layout>
        </c:title>
        <c:numFmt formatCode="0.0E+00" sourceLinked="0"/>
        <c:tickLblPos val="nextTo"/>
        <c:crossAx val="67058304"/>
        <c:crosses val="autoZero"/>
        <c:crossBetween val="midCat"/>
        <c:majorUnit val="2.5000000000000015E-6"/>
      </c:valAx>
    </c:plotArea>
    <c:legend>
      <c:legendPos val="r"/>
      <c:layout/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0.13337977235841267"/>
          <c:y val="3.5756907198194431E-2"/>
          <c:w val="0.69957524174537755"/>
          <c:h val="0.85117767846506764"/>
        </c:manualLayout>
      </c:layout>
      <c:scatterChart>
        <c:scatterStyle val="smoothMarker"/>
        <c:ser>
          <c:idx val="0"/>
          <c:order val="0"/>
          <c:tx>
            <c:strRef>
              <c:f>'SFC calculation'!$K$127</c:f>
              <c:strCache>
                <c:ptCount val="1"/>
                <c:pt idx="0">
                  <c:v>4000</c:v>
                </c:pt>
              </c:strCache>
            </c:strRef>
          </c:tx>
          <c:xVal>
            <c:numRef>
              <c:f>'SFC calculation'!$K$128:$K$146</c:f>
              <c:numCache>
                <c:formatCode>0.00</c:formatCode>
                <c:ptCount val="19"/>
                <c:pt idx="0">
                  <c:v>0</c:v>
                </c:pt>
                <c:pt idx="1">
                  <c:v>16.228931051726903</c:v>
                </c:pt>
                <c:pt idx="2">
                  <c:v>32.457862103453806</c:v>
                </c:pt>
                <c:pt idx="3">
                  <c:v>48.686793155180709</c:v>
                </c:pt>
                <c:pt idx="4">
                  <c:v>64.915724206907612</c:v>
                </c:pt>
                <c:pt idx="5">
                  <c:v>81.144655258634515</c:v>
                </c:pt>
                <c:pt idx="6">
                  <c:v>97.373586310361418</c:v>
                </c:pt>
                <c:pt idx="7">
                  <c:v>113.60251736208831</c:v>
                </c:pt>
                <c:pt idx="8">
                  <c:v>129.83144841381522</c:v>
                </c:pt>
                <c:pt idx="9">
                  <c:v>146.06037946554213</c:v>
                </c:pt>
                <c:pt idx="10">
                  <c:v>162.28931051726903</c:v>
                </c:pt>
                <c:pt idx="11">
                  <c:v>178.51824156899596</c:v>
                </c:pt>
                <c:pt idx="12">
                  <c:v>194.74717262072284</c:v>
                </c:pt>
                <c:pt idx="13">
                  <c:v>210.97610367244974</c:v>
                </c:pt>
                <c:pt idx="14">
                  <c:v>227.20503472417661</c:v>
                </c:pt>
                <c:pt idx="15">
                  <c:v>243.43396577590354</c:v>
                </c:pt>
                <c:pt idx="16">
                  <c:v>259.66289682763045</c:v>
                </c:pt>
                <c:pt idx="17">
                  <c:v>275.89182787935732</c:v>
                </c:pt>
                <c:pt idx="18">
                  <c:v>292.12075893108425</c:v>
                </c:pt>
              </c:numCache>
            </c:numRef>
          </c:xVal>
          <c:yVal>
            <c:numRef>
              <c:f>'SFC calculation'!$C$128:$C$146</c:f>
              <c:numCache>
                <c:formatCode>0.000E+00</c:formatCode>
                <c:ptCount val="19"/>
                <c:pt idx="0">
                  <c:v>7.2526229825133947E-6</c:v>
                </c:pt>
                <c:pt idx="1">
                  <c:v>7.6664504139221078E-6</c:v>
                </c:pt>
                <c:pt idx="2">
                  <c:v>8.1081958891313447E-6</c:v>
                </c:pt>
                <c:pt idx="3">
                  <c:v>8.5801182313706294E-6</c:v>
                </c:pt>
                <c:pt idx="4">
                  <c:v>9.0847705760526073E-6</c:v>
                </c:pt>
                <c:pt idx="5">
                  <c:v>9.6250816743434682E-6</c:v>
                </c:pt>
                <c:pt idx="6">
                  <c:v>1.0204462142950604E-5</c:v>
                </c:pt>
                <c:pt idx="7">
                  <c:v>1.0826942824847931E-5</c:v>
                </c:pt>
                <c:pt idx="8">
                  <c:v>1.1497355098499289E-5</c:v>
                </c:pt>
                <c:pt idx="9">
                  <c:v>1.2221567041794943E-5</c:v>
                </c:pt>
                <c:pt idx="10">
                  <c:v>1.3006795597072212E-5</c:v>
                </c:pt>
                <c:pt idx="11">
                  <c:v>1.3862024545910594E-5</c:v>
                </c:pt>
                <c:pt idx="12">
                  <c:v>1.4798573271772348E-5</c:v>
                </c:pt>
                <c:pt idx="13">
                  <c:v>1.5830885556559197E-5</c:v>
                </c:pt>
                <c:pt idx="14">
                  <c:v>1.6977647415395982E-5</c:v>
                </c:pt>
                <c:pt idx="15">
                  <c:v>1.826340998883332E-5</c:v>
                </c:pt>
                <c:pt idx="16">
                  <c:v>1.9721010260175203E-5</c:v>
                </c:pt>
                <c:pt idx="17">
                  <c:v>2.1395293612707824E-5</c:v>
                </c:pt>
                <c:pt idx="18">
                  <c:v>2.3349041507735108E-5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'SFC calculation'!$L$127</c:f>
              <c:strCache>
                <c:ptCount val="1"/>
                <c:pt idx="0">
                  <c:v>6000</c:v>
                </c:pt>
              </c:strCache>
            </c:strRef>
          </c:tx>
          <c:xVal>
            <c:numRef>
              <c:f>'SFC calculation'!$L$128:$L$146</c:f>
              <c:numCache>
                <c:formatCode>0.00</c:formatCode>
                <c:ptCount val="19"/>
                <c:pt idx="0">
                  <c:v>0</c:v>
                </c:pt>
                <c:pt idx="1">
                  <c:v>15.821418917959242</c:v>
                </c:pt>
                <c:pt idx="2">
                  <c:v>31.642837835918485</c:v>
                </c:pt>
                <c:pt idx="3">
                  <c:v>47.46425675387772</c:v>
                </c:pt>
                <c:pt idx="4">
                  <c:v>63.28567567183697</c:v>
                </c:pt>
                <c:pt idx="5">
                  <c:v>79.107094589796205</c:v>
                </c:pt>
                <c:pt idx="6">
                  <c:v>94.92851350775544</c:v>
                </c:pt>
                <c:pt idx="7">
                  <c:v>110.74993242571468</c:v>
                </c:pt>
                <c:pt idx="8">
                  <c:v>126.57135134367394</c:v>
                </c:pt>
                <c:pt idx="9">
                  <c:v>142.39277026163316</c:v>
                </c:pt>
                <c:pt idx="10">
                  <c:v>158.21418917959241</c:v>
                </c:pt>
                <c:pt idx="11">
                  <c:v>174.03560809755166</c:v>
                </c:pt>
                <c:pt idx="12">
                  <c:v>189.85702701551088</c:v>
                </c:pt>
                <c:pt idx="13">
                  <c:v>205.67844593347013</c:v>
                </c:pt>
                <c:pt idx="14">
                  <c:v>221.49986485142935</c:v>
                </c:pt>
                <c:pt idx="15">
                  <c:v>237.32128376938863</c:v>
                </c:pt>
                <c:pt idx="16">
                  <c:v>253.14270268734788</c:v>
                </c:pt>
                <c:pt idx="17">
                  <c:v>268.96412160530707</c:v>
                </c:pt>
                <c:pt idx="18">
                  <c:v>284.78554052326632</c:v>
                </c:pt>
              </c:numCache>
            </c:numRef>
          </c:xVal>
          <c:yVal>
            <c:numRef>
              <c:f>'SFC calculation'!$D$128:$D$146</c:f>
              <c:numCache>
                <c:formatCode>0.000E+00</c:formatCode>
                <c:ptCount val="19"/>
                <c:pt idx="0">
                  <c:v>7.3945227588155977E-6</c:v>
                </c:pt>
                <c:pt idx="1">
                  <c:v>7.7975178660312806E-6</c:v>
                </c:pt>
                <c:pt idx="2">
                  <c:v>8.2262165744649443E-6</c:v>
                </c:pt>
                <c:pt idx="3">
                  <c:v>8.6825447930868781E-6</c:v>
                </c:pt>
                <c:pt idx="4">
                  <c:v>9.168663615768556E-6</c:v>
                </c:pt>
                <c:pt idx="5">
                  <c:v>9.6870326728956159E-6</c:v>
                </c:pt>
                <c:pt idx="6">
                  <c:v>1.0240491803085163E-5</c:v>
                </c:pt>
                <c:pt idx="7">
                  <c:v>1.0832365814481475E-5</c:v>
                </c:pt>
                <c:pt idx="8">
                  <c:v>1.1466598750365759E-5</c:v>
                </c:pt>
                <c:pt idx="9">
                  <c:v>1.2147926542951188E-5</c:v>
                </c:pt>
                <c:pt idx="10">
                  <c:v>1.2882100655709509E-5</c:v>
                </c:pt>
                <c:pt idx="11">
                  <c:v>1.3676180936228105E-5</c:v>
                </c:pt>
                <c:pt idx="12">
                  <c:v>1.4538924484516781E-5</c:v>
                </c:pt>
                <c:pt idx="13">
                  <c:v>1.5481310635380618E-5</c:v>
                </c:pt>
                <c:pt idx="14">
                  <c:v>1.6517263143597249E-5</c:v>
                </c:pt>
                <c:pt idx="15">
                  <c:v>1.7664664595375283E-5</c:v>
                </c:pt>
                <c:pt idx="16">
                  <c:v>1.8946814467874371E-5</c:v>
                </c:pt>
                <c:pt idx="17">
                  <c:v>2.0394578994414643E-5</c:v>
                </c:pt>
                <c:pt idx="18">
                  <c:v>2.2049652971467382E-5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'SFC calculation'!$M$127</c:f>
              <c:strCache>
                <c:ptCount val="1"/>
                <c:pt idx="0">
                  <c:v>8000</c:v>
                </c:pt>
              </c:strCache>
            </c:strRef>
          </c:tx>
          <c:xVal>
            <c:numRef>
              <c:f>'SFC calculation'!$M$128:$M$146</c:f>
              <c:numCache>
                <c:formatCode>0.00</c:formatCode>
                <c:ptCount val="19"/>
                <c:pt idx="0">
                  <c:v>0</c:v>
                </c:pt>
                <c:pt idx="1">
                  <c:v>15.403129229913361</c:v>
                </c:pt>
                <c:pt idx="2">
                  <c:v>30.806258459826722</c:v>
                </c:pt>
                <c:pt idx="3">
                  <c:v>46.209387689740083</c:v>
                </c:pt>
                <c:pt idx="4">
                  <c:v>61.612516919653444</c:v>
                </c:pt>
                <c:pt idx="5">
                  <c:v>77.015646149566805</c:v>
                </c:pt>
                <c:pt idx="6">
                  <c:v>92.418775379480167</c:v>
                </c:pt>
                <c:pt idx="7">
                  <c:v>107.82190460939353</c:v>
                </c:pt>
                <c:pt idx="8">
                  <c:v>123.22503383930689</c:v>
                </c:pt>
                <c:pt idx="9">
                  <c:v>138.62816306922025</c:v>
                </c:pt>
                <c:pt idx="10">
                  <c:v>154.03129229913361</c:v>
                </c:pt>
                <c:pt idx="11">
                  <c:v>169.43442152904697</c:v>
                </c:pt>
                <c:pt idx="12">
                  <c:v>184.83755075896033</c:v>
                </c:pt>
                <c:pt idx="13">
                  <c:v>200.24067998887369</c:v>
                </c:pt>
                <c:pt idx="14">
                  <c:v>215.64380921878706</c:v>
                </c:pt>
                <c:pt idx="15">
                  <c:v>231.04693844870042</c:v>
                </c:pt>
                <c:pt idx="16">
                  <c:v>246.45006767861378</c:v>
                </c:pt>
                <c:pt idx="17">
                  <c:v>261.85319690852714</c:v>
                </c:pt>
                <c:pt idx="18">
                  <c:v>277.2563261384405</c:v>
                </c:pt>
              </c:numCache>
            </c:numRef>
          </c:xVal>
          <c:yVal>
            <c:numRef>
              <c:f>'SFC calculation'!$E$128:$E$146</c:f>
              <c:numCache>
                <c:formatCode>0.000E+00</c:formatCode>
                <c:ptCount val="19"/>
                <c:pt idx="0">
                  <c:v>7.5337441292887187E-6</c:v>
                </c:pt>
                <c:pt idx="1">
                  <c:v>7.9259741240523227E-6</c:v>
                </c:pt>
                <c:pt idx="2">
                  <c:v>8.3418601628245229E-6</c:v>
                </c:pt>
                <c:pt idx="3">
                  <c:v>8.7830421561937059E-6</c:v>
                </c:pt>
                <c:pt idx="4">
                  <c:v>9.2513484104335588E-6</c:v>
                </c:pt>
                <c:pt idx="5">
                  <c:v>9.7488454084935044E-6</c:v>
                </c:pt>
                <c:pt idx="6">
                  <c:v>1.027790113133093E-5</c:v>
                </c:pt>
                <c:pt idx="7">
                  <c:v>1.0841265092658752E-5</c:v>
                </c:pt>
                <c:pt idx="8">
                  <c:v>1.1442169275279181E-5</c:v>
                </c:pt>
                <c:pt idx="9">
                  <c:v>1.2084455665515058E-5</c:v>
                </c:pt>
                <c:pt idx="10">
                  <c:v>1.2772738318156865E-5</c:v>
                </c:pt>
                <c:pt idx="11">
                  <c:v>1.3512611198762497E-5</c:v>
                </c:pt>
                <c:pt idx="12">
                  <c:v>1.4310917986648223E-5</c:v>
                </c:pt>
                <c:pt idx="13">
                  <c:v>1.5176107449063691E-5</c:v>
                </c:pt>
                <c:pt idx="14">
                  <c:v>1.6118709342158109E-5</c:v>
                </c:pt>
                <c:pt idx="15">
                  <c:v>1.7151983465573351E-5</c:v>
                </c:pt>
                <c:pt idx="16">
                  <c:v>1.829282266828997E-5</c:v>
                </c:pt>
                <c:pt idx="17">
                  <c:v>1.9563036719228283E-5</c:v>
                </c:pt>
                <c:pt idx="18">
                  <c:v>2.0991221737400403E-5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'SFC calculation'!$N$127</c:f>
              <c:strCache>
                <c:ptCount val="1"/>
                <c:pt idx="0">
                  <c:v>10000</c:v>
                </c:pt>
              </c:strCache>
            </c:strRef>
          </c:tx>
          <c:xVal>
            <c:numRef>
              <c:f>'SFC calculation'!$N$128:$N$146</c:f>
              <c:numCache>
                <c:formatCode>0.00</c:formatCode>
                <c:ptCount val="19"/>
                <c:pt idx="0">
                  <c:v>0</c:v>
                </c:pt>
                <c:pt idx="1">
                  <c:v>14.973158770588933</c:v>
                </c:pt>
                <c:pt idx="2">
                  <c:v>29.946317541177866</c:v>
                </c:pt>
                <c:pt idx="3">
                  <c:v>44.919476311766793</c:v>
                </c:pt>
                <c:pt idx="4">
                  <c:v>59.892635082355731</c:v>
                </c:pt>
                <c:pt idx="5">
                  <c:v>74.865793852944662</c:v>
                </c:pt>
                <c:pt idx="6">
                  <c:v>89.838952623533586</c:v>
                </c:pt>
                <c:pt idx="7">
                  <c:v>104.81211139412252</c:v>
                </c:pt>
                <c:pt idx="8">
                  <c:v>119.78527016471146</c:v>
                </c:pt>
                <c:pt idx="9">
                  <c:v>134.7584289353004</c:v>
                </c:pt>
                <c:pt idx="10">
                  <c:v>149.73158770588932</c:v>
                </c:pt>
                <c:pt idx="11">
                  <c:v>164.70474647647828</c:v>
                </c:pt>
                <c:pt idx="12">
                  <c:v>179.67790524706717</c:v>
                </c:pt>
                <c:pt idx="13">
                  <c:v>194.65106401765613</c:v>
                </c:pt>
                <c:pt idx="14">
                  <c:v>209.62422278824505</c:v>
                </c:pt>
                <c:pt idx="15">
                  <c:v>224.597381558834</c:v>
                </c:pt>
                <c:pt idx="16">
                  <c:v>239.57054032942293</c:v>
                </c:pt>
                <c:pt idx="17">
                  <c:v>254.54369910001185</c:v>
                </c:pt>
                <c:pt idx="18">
                  <c:v>269.5168578706008</c:v>
                </c:pt>
              </c:numCache>
            </c:numRef>
          </c:xVal>
          <c:yVal>
            <c:numRef>
              <c:f>'SFC calculation'!$F$128:$F$146</c:f>
              <c:numCache>
                <c:formatCode>0.000E+00</c:formatCode>
                <c:ptCount val="19"/>
                <c:pt idx="0">
                  <c:v>7.6704300940231786E-6</c:v>
                </c:pt>
                <c:pt idx="1">
                  <c:v>8.0519096478397373E-6</c:v>
                </c:pt>
                <c:pt idx="2">
                  <c:v>8.4551412695724336E-6</c:v>
                </c:pt>
                <c:pt idx="3">
                  <c:v>8.8815177987906256E-6</c:v>
                </c:pt>
                <c:pt idx="4">
                  <c:v>9.332583296631578E-6</c:v>
                </c:pt>
                <c:pt idx="5">
                  <c:v>9.8100724897187133E-6</c:v>
                </c:pt>
                <c:pt idx="6">
                  <c:v>1.0315960269829218E-5</c:v>
                </c:pt>
                <c:pt idx="7">
                  <c:v>1.0852523348554443E-5</c:v>
                </c:pt>
                <c:pt idx="8">
                  <c:v>1.1422416791781837E-5</c:v>
                </c:pt>
                <c:pt idx="9">
                  <c:v>1.2028769083814884E-5</c:v>
                </c:pt>
                <c:pt idx="10">
                  <c:v>1.2675300726326275E-5</c:v>
                </c:pt>
                <c:pt idx="11">
                  <c:v>1.3366473352173547E-5</c:v>
                </c:pt>
                <c:pt idx="12">
                  <c:v>1.4107679211215295E-5</c:v>
                </c:pt>
                <c:pt idx="13">
                  <c:v>1.4905485101597749E-5</c:v>
                </c:pt>
                <c:pt idx="14">
                  <c:v>1.5767951069377265E-5</c:v>
                </c:pt>
                <c:pt idx="15">
                  <c:v>1.6705053610440818E-5</c:v>
                </c:pt>
                <c:pt idx="16">
                  <c:v>1.7729257560383502E-5</c:v>
                </c:pt>
                <c:pt idx="17">
                  <c:v>1.8856303555078271E-5</c:v>
                </c:pt>
                <c:pt idx="18">
                  <c:v>2.0106314501794945E-5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'SFC calculation'!$O$127</c:f>
              <c:strCache>
                <c:ptCount val="1"/>
                <c:pt idx="0">
                  <c:v>11000</c:v>
                </c:pt>
              </c:strCache>
            </c:strRef>
          </c:tx>
          <c:trendline>
            <c:trendlineType val="poly"/>
            <c:order val="4"/>
            <c:dispRSqr val="1"/>
            <c:dispEq val="1"/>
            <c:trendlineLbl>
              <c:layout>
                <c:manualLayout>
                  <c:x val="5.5479003425011227E-2"/>
                  <c:y val="0.5287885905095564"/>
                </c:manualLayout>
              </c:layout>
              <c:numFmt formatCode="0.0000E+00" sourceLinked="0"/>
              <c:spPr>
                <a:solidFill>
                  <a:schemeClr val="bg1"/>
                </a:solidFill>
                <a:ln w="12700">
                  <a:solidFill>
                    <a:schemeClr val="tx1"/>
                  </a:solidFill>
                </a:ln>
              </c:spPr>
            </c:trendlineLbl>
          </c:trendline>
          <c:xVal>
            <c:numRef>
              <c:f>'SFC calculation'!$O$128:$O$146</c:f>
              <c:numCache>
                <c:formatCode>0.00</c:formatCode>
                <c:ptCount val="19"/>
                <c:pt idx="0">
                  <c:v>0</c:v>
                </c:pt>
                <c:pt idx="1">
                  <c:v>14.753475194583501</c:v>
                </c:pt>
                <c:pt idx="2">
                  <c:v>29.506950389167002</c:v>
                </c:pt>
                <c:pt idx="3">
                  <c:v>44.260425583750504</c:v>
                </c:pt>
                <c:pt idx="4">
                  <c:v>59.013900778334005</c:v>
                </c:pt>
                <c:pt idx="5">
                  <c:v>73.767375972917506</c:v>
                </c:pt>
                <c:pt idx="6">
                  <c:v>88.520851167501007</c:v>
                </c:pt>
                <c:pt idx="7">
                  <c:v>103.27432636208451</c:v>
                </c:pt>
                <c:pt idx="8">
                  <c:v>118.02780155666801</c:v>
                </c:pt>
                <c:pt idx="9">
                  <c:v>132.78127675125151</c:v>
                </c:pt>
                <c:pt idx="10">
                  <c:v>147.53475194583501</c:v>
                </c:pt>
                <c:pt idx="11">
                  <c:v>162.28822714041851</c:v>
                </c:pt>
                <c:pt idx="12">
                  <c:v>177.04170233500201</c:v>
                </c:pt>
                <c:pt idx="13">
                  <c:v>191.79517752958552</c:v>
                </c:pt>
                <c:pt idx="14">
                  <c:v>206.54865272416902</c:v>
                </c:pt>
                <c:pt idx="15">
                  <c:v>221.30212791875252</c:v>
                </c:pt>
                <c:pt idx="16">
                  <c:v>236.05560311333602</c:v>
                </c:pt>
                <c:pt idx="17">
                  <c:v>250.80907830791952</c:v>
                </c:pt>
                <c:pt idx="18">
                  <c:v>265.56255350250302</c:v>
                </c:pt>
              </c:numCache>
            </c:numRef>
          </c:xVal>
          <c:yVal>
            <c:numRef>
              <c:f>'SFC calculation'!$G$128:$G$146</c:f>
              <c:numCache>
                <c:formatCode>0.000E+00</c:formatCode>
                <c:ptCount val="19"/>
                <c:pt idx="0">
                  <c:v>7.7378636934819672E-6</c:v>
                </c:pt>
                <c:pt idx="1">
                  <c:v>8.1139578686291174E-6</c:v>
                </c:pt>
                <c:pt idx="2">
                  <c:v>8.5108997543955058E-6</c:v>
                </c:pt>
                <c:pt idx="3">
                  <c:v>8.9299712193391951E-6</c:v>
                </c:pt>
                <c:pt idx="4">
                  <c:v>9.3725897102775185E-6</c:v>
                </c:pt>
                <c:pt idx="5">
                  <c:v>9.8403434732658075E-6</c:v>
                </c:pt>
                <c:pt idx="6">
                  <c:v>1.0335035451380804E-5</c:v>
                </c:pt>
                <c:pt idx="7">
                  <c:v>1.0858737559834667E-5</c:v>
                </c:pt>
                <c:pt idx="8">
                  <c:v>1.1413857529312463E-5</c:v>
                </c:pt>
                <c:pt idx="9">
                  <c:v>1.2003221233313963E-5</c:v>
                </c:pt>
                <c:pt idx="10">
                  <c:v>1.2630174472894051E-5</c:v>
                </c:pt>
                <c:pt idx="11">
                  <c:v>1.3298709721609006E-5</c:v>
                </c:pt>
                <c:pt idx="12">
                  <c:v>1.4013625539168776E-5</c:v>
                </c:pt>
                <c:pt idx="13">
                  <c:v>1.4780729555135627E-5</c:v>
                </c:pt>
                <c:pt idx="14">
                  <c:v>1.5607100589832109E-5</c:v>
                </c:pt>
                <c:pt idx="15">
                  <c:v>1.6501432395587756E-5</c:v>
                </c:pt>
                <c:pt idx="16">
                  <c:v>1.7474491937869335E-5</c:v>
                </c:pt>
                <c:pt idx="17">
                  <c:v>1.8539741215659627E-5</c:v>
                </c:pt>
                <c:pt idx="18">
                  <c:v>1.9714196978864844E-5</c:v>
                </c:pt>
              </c:numCache>
            </c:numRef>
          </c:yVal>
          <c:smooth val="1"/>
        </c:ser>
        <c:axId val="69882240"/>
        <c:axId val="69884160"/>
      </c:scatterChart>
      <c:valAx>
        <c:axId val="69882240"/>
        <c:scaling>
          <c:orientation val="minMax"/>
          <c:max val="300"/>
          <c:min val="0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 sz="1200"/>
                  <a:t>Cruise Speed (TAS) [m/s]</a:t>
                </a:r>
              </a:p>
            </c:rich>
          </c:tx>
          <c:layout>
            <c:manualLayout>
              <c:xMode val="edge"/>
              <c:yMode val="edge"/>
              <c:x val="0.39833923185682862"/>
              <c:y val="0.94409412625543265"/>
            </c:manualLayout>
          </c:layout>
        </c:title>
        <c:numFmt formatCode="0" sourceLinked="0"/>
        <c:tickLblPos val="nextTo"/>
        <c:crossAx val="69884160"/>
        <c:crosses val="autoZero"/>
        <c:crossBetween val="midCat"/>
        <c:majorUnit val="20"/>
      </c:valAx>
      <c:valAx>
        <c:axId val="69884160"/>
        <c:scaling>
          <c:orientation val="minMax"/>
          <c:max val="2.5000000000000028E-5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200"/>
                  <a:t>TSFC [kg/N/s]</a:t>
                </a:r>
              </a:p>
            </c:rich>
          </c:tx>
          <c:layout>
            <c:manualLayout>
              <c:xMode val="edge"/>
              <c:yMode val="edge"/>
              <c:x val="1.3237586628025261E-2"/>
              <c:y val="0.34257581438683798"/>
            </c:manualLayout>
          </c:layout>
        </c:title>
        <c:numFmt formatCode="0.0E+00" sourceLinked="0"/>
        <c:tickLblPos val="nextTo"/>
        <c:crossAx val="69882240"/>
        <c:crosses val="autoZero"/>
        <c:crossBetween val="midCat"/>
        <c:majorUnit val="2.5000000000000036E-6"/>
      </c:valAx>
    </c:plotArea>
    <c:legend>
      <c:legendPos val="r"/>
      <c:layout/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TSFC from Roux Compared</a:t>
            </a:r>
            <a:r>
              <a:rPr lang="en-US" baseline="0"/>
              <a:t> with Herrmann</a:t>
            </a:r>
          </a:p>
        </c:rich>
      </c:tx>
      <c:layout>
        <c:manualLayout>
          <c:xMode val="edge"/>
          <c:yMode val="edge"/>
          <c:x val="0.22344556174584154"/>
          <c:y val="1.4051520520813522E-2"/>
        </c:manualLayout>
      </c:layout>
      <c:overlay val="1"/>
    </c:title>
    <c:plotArea>
      <c:layout>
        <c:manualLayout>
          <c:layoutTarget val="inner"/>
          <c:xMode val="edge"/>
          <c:yMode val="edge"/>
          <c:x val="0.13337977235841267"/>
          <c:y val="5.917607932089481E-2"/>
          <c:w val="0.69523213724302457"/>
          <c:h val="0.82775847759704502"/>
        </c:manualLayout>
      </c:layout>
      <c:scatterChart>
        <c:scatterStyle val="smoothMarker"/>
        <c:ser>
          <c:idx val="0"/>
          <c:order val="0"/>
          <c:tx>
            <c:strRef>
              <c:f>'SFC calculation'!$C$206</c:f>
              <c:strCache>
                <c:ptCount val="1"/>
                <c:pt idx="0">
                  <c:v>4000</c:v>
                </c:pt>
              </c:strCache>
            </c:strRef>
          </c:tx>
          <c:xVal>
            <c:numRef>
              <c:f>'SFC calculation'!$K$129:$K$146</c:f>
              <c:numCache>
                <c:formatCode>0.00</c:formatCode>
                <c:ptCount val="18"/>
                <c:pt idx="0">
                  <c:v>16.228931051726903</c:v>
                </c:pt>
                <c:pt idx="1">
                  <c:v>32.457862103453806</c:v>
                </c:pt>
                <c:pt idx="2">
                  <c:v>48.686793155180709</c:v>
                </c:pt>
                <c:pt idx="3">
                  <c:v>64.915724206907612</c:v>
                </c:pt>
                <c:pt idx="4">
                  <c:v>81.144655258634515</c:v>
                </c:pt>
                <c:pt idx="5">
                  <c:v>97.373586310361418</c:v>
                </c:pt>
                <c:pt idx="6">
                  <c:v>113.60251736208831</c:v>
                </c:pt>
                <c:pt idx="7">
                  <c:v>129.83144841381522</c:v>
                </c:pt>
                <c:pt idx="8">
                  <c:v>146.06037946554213</c:v>
                </c:pt>
                <c:pt idx="9">
                  <c:v>162.28931051726903</c:v>
                </c:pt>
                <c:pt idx="10">
                  <c:v>178.51824156899596</c:v>
                </c:pt>
                <c:pt idx="11">
                  <c:v>194.74717262072284</c:v>
                </c:pt>
                <c:pt idx="12">
                  <c:v>210.97610367244974</c:v>
                </c:pt>
                <c:pt idx="13">
                  <c:v>227.20503472417661</c:v>
                </c:pt>
                <c:pt idx="14">
                  <c:v>243.43396577590354</c:v>
                </c:pt>
                <c:pt idx="15">
                  <c:v>259.66289682763045</c:v>
                </c:pt>
                <c:pt idx="16">
                  <c:v>275.89182787935732</c:v>
                </c:pt>
                <c:pt idx="17">
                  <c:v>292.12075893108425</c:v>
                </c:pt>
              </c:numCache>
            </c:numRef>
          </c:xVal>
          <c:yVal>
            <c:numRef>
              <c:f>'SFC calculation'!$C$208:$C$225</c:f>
              <c:numCache>
                <c:formatCode>0.00E+00</c:formatCode>
                <c:ptCount val="18"/>
                <c:pt idx="0">
                  <c:v>1.0468155083116527E-5</c:v>
                </c:pt>
                <c:pt idx="1">
                  <c:v>1.101660056583106E-5</c:v>
                </c:pt>
                <c:pt idx="2">
                  <c:v>1.1565046048545594E-5</c:v>
                </c:pt>
                <c:pt idx="3">
                  <c:v>1.2113491531260126E-5</c:v>
                </c:pt>
                <c:pt idx="4">
                  <c:v>1.2661937013974661E-5</c:v>
                </c:pt>
                <c:pt idx="5">
                  <c:v>1.3210382496689194E-5</c:v>
                </c:pt>
                <c:pt idx="6">
                  <c:v>1.3758827979403726E-5</c:v>
                </c:pt>
                <c:pt idx="7">
                  <c:v>1.4307273462118261E-5</c:v>
                </c:pt>
                <c:pt idx="8">
                  <c:v>1.4855718944832793E-5</c:v>
                </c:pt>
                <c:pt idx="9">
                  <c:v>1.5404164427547329E-5</c:v>
                </c:pt>
                <c:pt idx="10">
                  <c:v>1.5952609910261861E-5</c:v>
                </c:pt>
                <c:pt idx="11">
                  <c:v>1.6501055392976396E-5</c:v>
                </c:pt>
                <c:pt idx="12">
                  <c:v>1.7049500875690925E-5</c:v>
                </c:pt>
                <c:pt idx="13">
                  <c:v>1.759794635840546E-5</c:v>
                </c:pt>
                <c:pt idx="14">
                  <c:v>1.8146391841119991E-5</c:v>
                </c:pt>
                <c:pt idx="15">
                  <c:v>1.8694837323834527E-5</c:v>
                </c:pt>
                <c:pt idx="16">
                  <c:v>1.9243282806549058E-5</c:v>
                </c:pt>
                <c:pt idx="17">
                  <c:v>1.9791728289263593E-5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'SFC calculation'!$D$206</c:f>
              <c:strCache>
                <c:ptCount val="1"/>
                <c:pt idx="0">
                  <c:v>6000</c:v>
                </c:pt>
              </c:strCache>
            </c:strRef>
          </c:tx>
          <c:xVal>
            <c:numRef>
              <c:f>'SFC calculation'!$L$129:$L$146</c:f>
              <c:numCache>
                <c:formatCode>0.00</c:formatCode>
                <c:ptCount val="18"/>
                <c:pt idx="0">
                  <c:v>15.821418917959242</c:v>
                </c:pt>
                <c:pt idx="1">
                  <c:v>31.642837835918485</c:v>
                </c:pt>
                <c:pt idx="2">
                  <c:v>47.46425675387772</c:v>
                </c:pt>
                <c:pt idx="3">
                  <c:v>63.28567567183697</c:v>
                </c:pt>
                <c:pt idx="4">
                  <c:v>79.107094589796205</c:v>
                </c:pt>
                <c:pt idx="5">
                  <c:v>94.92851350775544</c:v>
                </c:pt>
                <c:pt idx="6">
                  <c:v>110.74993242571468</c:v>
                </c:pt>
                <c:pt idx="7">
                  <c:v>126.57135134367394</c:v>
                </c:pt>
                <c:pt idx="8">
                  <c:v>142.39277026163316</c:v>
                </c:pt>
                <c:pt idx="9">
                  <c:v>158.21418917959241</c:v>
                </c:pt>
                <c:pt idx="10">
                  <c:v>174.03560809755166</c:v>
                </c:pt>
                <c:pt idx="11">
                  <c:v>189.85702701551088</c:v>
                </c:pt>
                <c:pt idx="12">
                  <c:v>205.67844593347013</c:v>
                </c:pt>
                <c:pt idx="13">
                  <c:v>221.49986485142935</c:v>
                </c:pt>
                <c:pt idx="14">
                  <c:v>237.32128376938863</c:v>
                </c:pt>
                <c:pt idx="15">
                  <c:v>253.14270268734788</c:v>
                </c:pt>
                <c:pt idx="16">
                  <c:v>268.96412160530707</c:v>
                </c:pt>
                <c:pt idx="17">
                  <c:v>284.78554052326632</c:v>
                </c:pt>
              </c:numCache>
            </c:numRef>
          </c:xVal>
          <c:yVal>
            <c:numRef>
              <c:f>'SFC calculation'!$D$208:$D$225</c:f>
              <c:numCache>
                <c:formatCode>0.00E+00</c:formatCode>
                <c:ptCount val="18"/>
                <c:pt idx="0">
                  <c:v>1.0205297338454552E-5</c:v>
                </c:pt>
                <c:pt idx="1">
                  <c:v>1.073997123090206E-5</c:v>
                </c:pt>
                <c:pt idx="2">
                  <c:v>1.1274645123349563E-5</c:v>
                </c:pt>
                <c:pt idx="3">
                  <c:v>1.1809319015797069E-5</c:v>
                </c:pt>
                <c:pt idx="4">
                  <c:v>1.2343992908244573E-5</c:v>
                </c:pt>
                <c:pt idx="5">
                  <c:v>1.2878666800692077E-5</c:v>
                </c:pt>
                <c:pt idx="6">
                  <c:v>1.3413340693139582E-5</c:v>
                </c:pt>
                <c:pt idx="7">
                  <c:v>1.394801458558709E-5</c:v>
                </c:pt>
                <c:pt idx="8">
                  <c:v>1.4482688478034592E-5</c:v>
                </c:pt>
                <c:pt idx="9">
                  <c:v>1.50173623704821E-5</c:v>
                </c:pt>
                <c:pt idx="10">
                  <c:v>1.5552036262929603E-5</c:v>
                </c:pt>
                <c:pt idx="11">
                  <c:v>1.6086710155377109E-5</c:v>
                </c:pt>
                <c:pt idx="12">
                  <c:v>1.6621384047824611E-5</c:v>
                </c:pt>
                <c:pt idx="13">
                  <c:v>1.7156057940272121E-5</c:v>
                </c:pt>
                <c:pt idx="14">
                  <c:v>1.7690731832719623E-5</c:v>
                </c:pt>
                <c:pt idx="15">
                  <c:v>1.8225405725167129E-5</c:v>
                </c:pt>
                <c:pt idx="16">
                  <c:v>1.8760079617614632E-5</c:v>
                </c:pt>
                <c:pt idx="17">
                  <c:v>1.9294753510062138E-5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'SFC calculation'!$E$206</c:f>
              <c:strCache>
                <c:ptCount val="1"/>
                <c:pt idx="0">
                  <c:v>8000</c:v>
                </c:pt>
              </c:strCache>
            </c:strRef>
          </c:tx>
          <c:xVal>
            <c:numRef>
              <c:f>'SFC calculation'!$M$129:$M$145</c:f>
              <c:numCache>
                <c:formatCode>0.00</c:formatCode>
                <c:ptCount val="17"/>
                <c:pt idx="0">
                  <c:v>15.403129229913361</c:v>
                </c:pt>
                <c:pt idx="1">
                  <c:v>30.806258459826722</c:v>
                </c:pt>
                <c:pt idx="2">
                  <c:v>46.209387689740083</c:v>
                </c:pt>
                <c:pt idx="3">
                  <c:v>61.612516919653444</c:v>
                </c:pt>
                <c:pt idx="4">
                  <c:v>77.015646149566805</c:v>
                </c:pt>
                <c:pt idx="5">
                  <c:v>92.418775379480167</c:v>
                </c:pt>
                <c:pt idx="6">
                  <c:v>107.82190460939353</c:v>
                </c:pt>
                <c:pt idx="7">
                  <c:v>123.22503383930689</c:v>
                </c:pt>
                <c:pt idx="8">
                  <c:v>138.62816306922025</c:v>
                </c:pt>
                <c:pt idx="9">
                  <c:v>154.03129229913361</c:v>
                </c:pt>
                <c:pt idx="10">
                  <c:v>169.43442152904697</c:v>
                </c:pt>
                <c:pt idx="11">
                  <c:v>184.83755075896033</c:v>
                </c:pt>
                <c:pt idx="12">
                  <c:v>200.24067998887369</c:v>
                </c:pt>
                <c:pt idx="13">
                  <c:v>215.64380921878706</c:v>
                </c:pt>
                <c:pt idx="14">
                  <c:v>231.04693844870042</c:v>
                </c:pt>
                <c:pt idx="15">
                  <c:v>246.45006767861378</c:v>
                </c:pt>
                <c:pt idx="16">
                  <c:v>261.85319690852714</c:v>
                </c:pt>
              </c:numCache>
            </c:numRef>
          </c:xVal>
          <c:yVal>
            <c:numRef>
              <c:f>'SFC calculation'!$E$208:$E$225</c:f>
              <c:numCache>
                <c:formatCode>0.00E+00</c:formatCode>
                <c:ptCount val="18"/>
                <c:pt idx="0">
                  <c:v>9.9354877428517194E-6</c:v>
                </c:pt>
                <c:pt idx="1">
                  <c:v>1.0456025825051241E-5</c:v>
                </c:pt>
                <c:pt idx="2">
                  <c:v>1.097656390725076E-5</c:v>
                </c:pt>
                <c:pt idx="3">
                  <c:v>1.149710198945028E-5</c:v>
                </c:pt>
                <c:pt idx="4">
                  <c:v>1.2017640071649801E-5</c:v>
                </c:pt>
                <c:pt idx="5">
                  <c:v>1.2538178153849323E-5</c:v>
                </c:pt>
                <c:pt idx="6">
                  <c:v>1.3058716236048842E-5</c:v>
                </c:pt>
                <c:pt idx="7">
                  <c:v>1.3579254318248364E-5</c:v>
                </c:pt>
                <c:pt idx="8">
                  <c:v>1.4099792400447884E-5</c:v>
                </c:pt>
                <c:pt idx="9">
                  <c:v>1.4620330482647407E-5</c:v>
                </c:pt>
                <c:pt idx="10">
                  <c:v>1.5140868564846923E-5</c:v>
                </c:pt>
                <c:pt idx="11">
                  <c:v>1.5661406647046448E-5</c:v>
                </c:pt>
                <c:pt idx="12">
                  <c:v>1.6181944729245967E-5</c:v>
                </c:pt>
                <c:pt idx="13">
                  <c:v>1.670248281144549E-5</c:v>
                </c:pt>
                <c:pt idx="14">
                  <c:v>1.7223020893645007E-5</c:v>
                </c:pt>
                <c:pt idx="15">
                  <c:v>1.774355897584453E-5</c:v>
                </c:pt>
                <c:pt idx="16">
                  <c:v>1.8264097058044049E-5</c:v>
                </c:pt>
                <c:pt idx="17">
                  <c:v>1.8784635140243569E-5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'SFC calculation'!$F$206</c:f>
              <c:strCache>
                <c:ptCount val="1"/>
                <c:pt idx="0">
                  <c:v>10000</c:v>
                </c:pt>
              </c:strCache>
            </c:strRef>
          </c:tx>
          <c:xVal>
            <c:numRef>
              <c:f>'SFC calculation'!$N$129:$N$146</c:f>
              <c:numCache>
                <c:formatCode>0.00</c:formatCode>
                <c:ptCount val="18"/>
                <c:pt idx="0">
                  <c:v>14.973158770588933</c:v>
                </c:pt>
                <c:pt idx="1">
                  <c:v>29.946317541177866</c:v>
                </c:pt>
                <c:pt idx="2">
                  <c:v>44.919476311766793</c:v>
                </c:pt>
                <c:pt idx="3">
                  <c:v>59.892635082355731</c:v>
                </c:pt>
                <c:pt idx="4">
                  <c:v>74.865793852944662</c:v>
                </c:pt>
                <c:pt idx="5">
                  <c:v>89.838952623533586</c:v>
                </c:pt>
                <c:pt idx="6">
                  <c:v>104.81211139412252</c:v>
                </c:pt>
                <c:pt idx="7">
                  <c:v>119.78527016471146</c:v>
                </c:pt>
                <c:pt idx="8">
                  <c:v>134.7584289353004</c:v>
                </c:pt>
                <c:pt idx="9">
                  <c:v>149.73158770588932</c:v>
                </c:pt>
                <c:pt idx="10">
                  <c:v>164.70474647647828</c:v>
                </c:pt>
                <c:pt idx="11">
                  <c:v>179.67790524706717</c:v>
                </c:pt>
                <c:pt idx="12">
                  <c:v>194.65106401765613</c:v>
                </c:pt>
                <c:pt idx="13">
                  <c:v>209.62422278824505</c:v>
                </c:pt>
                <c:pt idx="14">
                  <c:v>224.597381558834</c:v>
                </c:pt>
                <c:pt idx="15">
                  <c:v>239.57054032942293</c:v>
                </c:pt>
                <c:pt idx="16">
                  <c:v>254.54369910001185</c:v>
                </c:pt>
                <c:pt idx="17">
                  <c:v>269.5168578706008</c:v>
                </c:pt>
              </c:numCache>
            </c:numRef>
          </c:xVal>
          <c:yVal>
            <c:numRef>
              <c:f>'SFC calculation'!$F$208:$F$225</c:f>
              <c:numCache>
                <c:formatCode>0.00E+00</c:formatCode>
                <c:ptCount val="18"/>
                <c:pt idx="0">
                  <c:v>9.6581436938184946E-6</c:v>
                </c:pt>
                <c:pt idx="1">
                  <c:v>1.016415122219623E-5</c:v>
                </c:pt>
                <c:pt idx="2">
                  <c:v>1.0670158750573964E-5</c:v>
                </c:pt>
                <c:pt idx="3">
                  <c:v>1.1176166278951697E-5</c:v>
                </c:pt>
                <c:pt idx="4">
                  <c:v>1.1682173807329432E-5</c:v>
                </c:pt>
                <c:pt idx="5">
                  <c:v>1.2188181335707166E-5</c:v>
                </c:pt>
                <c:pt idx="6">
                  <c:v>1.2694188864084901E-5</c:v>
                </c:pt>
                <c:pt idx="7">
                  <c:v>1.3200196392462637E-5</c:v>
                </c:pt>
                <c:pt idx="8">
                  <c:v>1.370620392084037E-5</c:v>
                </c:pt>
                <c:pt idx="9">
                  <c:v>1.4212211449218105E-5</c:v>
                </c:pt>
                <c:pt idx="10">
                  <c:v>1.4718218977595839E-5</c:v>
                </c:pt>
                <c:pt idx="11">
                  <c:v>1.5224226505973573E-5</c:v>
                </c:pt>
                <c:pt idx="12">
                  <c:v>1.5730234034351306E-5</c:v>
                </c:pt>
                <c:pt idx="13">
                  <c:v>1.6236241562729043E-5</c:v>
                </c:pt>
                <c:pt idx="14">
                  <c:v>1.6742249091106777E-5</c:v>
                </c:pt>
                <c:pt idx="15">
                  <c:v>1.724825661948451E-5</c:v>
                </c:pt>
                <c:pt idx="16">
                  <c:v>1.7754264147862244E-5</c:v>
                </c:pt>
                <c:pt idx="17">
                  <c:v>1.8260271676239978E-5</c:v>
                </c:pt>
              </c:numCache>
            </c:numRef>
          </c:yVal>
          <c:smooth val="1"/>
        </c:ser>
        <c:ser>
          <c:idx val="5"/>
          <c:order val="4"/>
          <c:tx>
            <c:strRef>
              <c:f>'SFC calculation'!$G$206</c:f>
              <c:strCache>
                <c:ptCount val="1"/>
                <c:pt idx="0">
                  <c:v>11000</c:v>
                </c:pt>
              </c:strCache>
            </c:strRef>
          </c:tx>
          <c:xVal>
            <c:numRef>
              <c:f>'SFC calculation'!$O$129:$O$146</c:f>
              <c:numCache>
                <c:formatCode>0.00</c:formatCode>
                <c:ptCount val="18"/>
                <c:pt idx="0">
                  <c:v>14.753475194583501</c:v>
                </c:pt>
                <c:pt idx="1">
                  <c:v>29.506950389167002</c:v>
                </c:pt>
                <c:pt idx="2">
                  <c:v>44.260425583750504</c:v>
                </c:pt>
                <c:pt idx="3">
                  <c:v>59.013900778334005</c:v>
                </c:pt>
                <c:pt idx="4">
                  <c:v>73.767375972917506</c:v>
                </c:pt>
                <c:pt idx="5">
                  <c:v>88.520851167501007</c:v>
                </c:pt>
                <c:pt idx="6">
                  <c:v>103.27432636208451</c:v>
                </c:pt>
                <c:pt idx="7">
                  <c:v>118.02780155666801</c:v>
                </c:pt>
                <c:pt idx="8">
                  <c:v>132.78127675125151</c:v>
                </c:pt>
                <c:pt idx="9">
                  <c:v>147.53475194583501</c:v>
                </c:pt>
                <c:pt idx="10">
                  <c:v>162.28822714041851</c:v>
                </c:pt>
                <c:pt idx="11">
                  <c:v>177.04170233500201</c:v>
                </c:pt>
                <c:pt idx="12">
                  <c:v>191.79517752958552</c:v>
                </c:pt>
                <c:pt idx="13">
                  <c:v>206.54865272416902</c:v>
                </c:pt>
                <c:pt idx="14">
                  <c:v>221.30212791875252</c:v>
                </c:pt>
                <c:pt idx="15">
                  <c:v>236.05560311333602</c:v>
                </c:pt>
                <c:pt idx="16">
                  <c:v>250.80907830791952</c:v>
                </c:pt>
                <c:pt idx="17">
                  <c:v>265.56255350250302</c:v>
                </c:pt>
              </c:numCache>
            </c:numRef>
          </c:xVal>
          <c:yVal>
            <c:numRef>
              <c:f>'SFC calculation'!$G$208:$G$225</c:f>
              <c:numCache>
                <c:formatCode>0.00E+00</c:formatCode>
                <c:ptCount val="18"/>
                <c:pt idx="0">
                  <c:v>9.516441092734749E-6</c:v>
                </c:pt>
                <c:pt idx="1">
                  <c:v>1.0015024566841581E-5</c:v>
                </c:pt>
                <c:pt idx="2">
                  <c:v>1.0513608040948413E-5</c:v>
                </c:pt>
                <c:pt idx="3">
                  <c:v>1.1012191515055244E-5</c:v>
                </c:pt>
                <c:pt idx="4">
                  <c:v>1.1510774989162076E-5</c:v>
                </c:pt>
                <c:pt idx="5">
                  <c:v>1.200935846326891E-5</c:v>
                </c:pt>
                <c:pt idx="6">
                  <c:v>1.2507941937375741E-5</c:v>
                </c:pt>
                <c:pt idx="7">
                  <c:v>1.3006525411482573E-5</c:v>
                </c:pt>
                <c:pt idx="8">
                  <c:v>1.3505108885589405E-5</c:v>
                </c:pt>
                <c:pt idx="9">
                  <c:v>1.4003692359696238E-5</c:v>
                </c:pt>
                <c:pt idx="10">
                  <c:v>1.4502275833803067E-5</c:v>
                </c:pt>
                <c:pt idx="11">
                  <c:v>1.5000859307909902E-5</c:v>
                </c:pt>
                <c:pt idx="12">
                  <c:v>1.5499442782016732E-5</c:v>
                </c:pt>
                <c:pt idx="13">
                  <c:v>1.5998026256123566E-5</c:v>
                </c:pt>
                <c:pt idx="14">
                  <c:v>1.6496609730230396E-5</c:v>
                </c:pt>
                <c:pt idx="15">
                  <c:v>1.6995193204337229E-5</c:v>
                </c:pt>
                <c:pt idx="16">
                  <c:v>1.7493776678444063E-5</c:v>
                </c:pt>
                <c:pt idx="17">
                  <c:v>1.7992360152550893E-5</c:v>
                </c:pt>
              </c:numCache>
            </c:numRef>
          </c:yVal>
          <c:smooth val="1"/>
        </c:ser>
        <c:ser>
          <c:idx val="4"/>
          <c:order val="5"/>
          <c:tx>
            <c:v>11000 Herrmann</c:v>
          </c:tx>
          <c:xVal>
            <c:numRef>
              <c:f>'SFC calculation'!$O$128:$O$146</c:f>
              <c:numCache>
                <c:formatCode>0.00</c:formatCode>
                <c:ptCount val="19"/>
                <c:pt idx="0">
                  <c:v>0</c:v>
                </c:pt>
                <c:pt idx="1">
                  <c:v>14.753475194583501</c:v>
                </c:pt>
                <c:pt idx="2">
                  <c:v>29.506950389167002</c:v>
                </c:pt>
                <c:pt idx="3">
                  <c:v>44.260425583750504</c:v>
                </c:pt>
                <c:pt idx="4">
                  <c:v>59.013900778334005</c:v>
                </c:pt>
                <c:pt idx="5">
                  <c:v>73.767375972917506</c:v>
                </c:pt>
                <c:pt idx="6">
                  <c:v>88.520851167501007</c:v>
                </c:pt>
                <c:pt idx="7">
                  <c:v>103.27432636208451</c:v>
                </c:pt>
                <c:pt idx="8">
                  <c:v>118.02780155666801</c:v>
                </c:pt>
                <c:pt idx="9">
                  <c:v>132.78127675125151</c:v>
                </c:pt>
                <c:pt idx="10">
                  <c:v>147.53475194583501</c:v>
                </c:pt>
                <c:pt idx="11">
                  <c:v>162.28822714041851</c:v>
                </c:pt>
                <c:pt idx="12">
                  <c:v>177.04170233500201</c:v>
                </c:pt>
                <c:pt idx="13">
                  <c:v>191.79517752958552</c:v>
                </c:pt>
                <c:pt idx="14">
                  <c:v>206.54865272416902</c:v>
                </c:pt>
                <c:pt idx="15">
                  <c:v>221.30212791875252</c:v>
                </c:pt>
                <c:pt idx="16">
                  <c:v>236.05560311333602</c:v>
                </c:pt>
                <c:pt idx="17">
                  <c:v>250.80907830791952</c:v>
                </c:pt>
                <c:pt idx="18">
                  <c:v>265.56255350250302</c:v>
                </c:pt>
              </c:numCache>
            </c:numRef>
          </c:xVal>
          <c:yVal>
            <c:numRef>
              <c:f>'SFC calculation'!$G$128:$G$146</c:f>
              <c:numCache>
                <c:formatCode>0.000E+00</c:formatCode>
                <c:ptCount val="19"/>
                <c:pt idx="0">
                  <c:v>7.7378636934819672E-6</c:v>
                </c:pt>
                <c:pt idx="1">
                  <c:v>8.1139578686291174E-6</c:v>
                </c:pt>
                <c:pt idx="2">
                  <c:v>8.5108997543955058E-6</c:v>
                </c:pt>
                <c:pt idx="3">
                  <c:v>8.9299712193391951E-6</c:v>
                </c:pt>
                <c:pt idx="4">
                  <c:v>9.3725897102775185E-6</c:v>
                </c:pt>
                <c:pt idx="5">
                  <c:v>9.8403434732658075E-6</c:v>
                </c:pt>
                <c:pt idx="6">
                  <c:v>1.0335035451380804E-5</c:v>
                </c:pt>
                <c:pt idx="7">
                  <c:v>1.0858737559834667E-5</c:v>
                </c:pt>
                <c:pt idx="8">
                  <c:v>1.1413857529312463E-5</c:v>
                </c:pt>
                <c:pt idx="9">
                  <c:v>1.2003221233313963E-5</c:v>
                </c:pt>
                <c:pt idx="10">
                  <c:v>1.2630174472894051E-5</c:v>
                </c:pt>
                <c:pt idx="11">
                  <c:v>1.3298709721609006E-5</c:v>
                </c:pt>
                <c:pt idx="12">
                  <c:v>1.4013625539168776E-5</c:v>
                </c:pt>
                <c:pt idx="13">
                  <c:v>1.4780729555135627E-5</c:v>
                </c:pt>
                <c:pt idx="14">
                  <c:v>1.5607100589832109E-5</c:v>
                </c:pt>
                <c:pt idx="15">
                  <c:v>1.6501432395587756E-5</c:v>
                </c:pt>
                <c:pt idx="16">
                  <c:v>1.7474491937869335E-5</c:v>
                </c:pt>
                <c:pt idx="17">
                  <c:v>1.8539741215659627E-5</c:v>
                </c:pt>
                <c:pt idx="18">
                  <c:v>1.9714196978864844E-5</c:v>
                </c:pt>
              </c:numCache>
            </c:numRef>
          </c:yVal>
          <c:smooth val="1"/>
        </c:ser>
        <c:axId val="70158208"/>
        <c:axId val="70275072"/>
      </c:scatterChart>
      <c:valAx>
        <c:axId val="70158208"/>
        <c:scaling>
          <c:orientation val="minMax"/>
          <c:max val="300"/>
          <c:min val="0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 sz="1200"/>
                  <a:t>Cruise Speed (TAS) [m/s]</a:t>
                </a:r>
              </a:p>
            </c:rich>
          </c:tx>
          <c:layout>
            <c:manualLayout>
              <c:xMode val="edge"/>
              <c:yMode val="edge"/>
              <c:x val="0.39833923185682873"/>
              <c:y val="0.94409412625543265"/>
            </c:manualLayout>
          </c:layout>
        </c:title>
        <c:numFmt formatCode="0" sourceLinked="0"/>
        <c:tickLblPos val="nextTo"/>
        <c:crossAx val="70275072"/>
        <c:crosses val="autoZero"/>
        <c:crossBetween val="midCat"/>
        <c:majorUnit val="20"/>
      </c:valAx>
      <c:valAx>
        <c:axId val="70275072"/>
        <c:scaling>
          <c:orientation val="minMax"/>
          <c:max val="2.5000000000000045E-5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200"/>
                  <a:t>TSFC [kg/N/s]</a:t>
                </a:r>
              </a:p>
            </c:rich>
          </c:tx>
          <c:layout>
            <c:manualLayout>
              <c:xMode val="edge"/>
              <c:yMode val="edge"/>
              <c:x val="1.3237586628025261E-2"/>
              <c:y val="0.34257581438683798"/>
            </c:manualLayout>
          </c:layout>
        </c:title>
        <c:numFmt formatCode="0.0E+00" sourceLinked="0"/>
        <c:tickLblPos val="nextTo"/>
        <c:crossAx val="70158208"/>
        <c:crosses val="autoZero"/>
        <c:crossBetween val="midCat"/>
        <c:majorUnit val="2.5000000000000053E-6"/>
      </c:valAx>
    </c:plotArea>
    <c:legend>
      <c:legendPos val="r"/>
      <c:layout/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gif"/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14.emf"/><Relationship Id="rId3" Type="http://schemas.openxmlformats.org/officeDocument/2006/relationships/image" Target="../media/image9.emf"/><Relationship Id="rId7" Type="http://schemas.openxmlformats.org/officeDocument/2006/relationships/image" Target="../media/image13.emf"/><Relationship Id="rId2" Type="http://schemas.openxmlformats.org/officeDocument/2006/relationships/image" Target="../media/image8.emf"/><Relationship Id="rId1" Type="http://schemas.openxmlformats.org/officeDocument/2006/relationships/image" Target="../media/image7.emf"/><Relationship Id="rId6" Type="http://schemas.openxmlformats.org/officeDocument/2006/relationships/image" Target="../media/image12.emf"/><Relationship Id="rId11" Type="http://schemas.openxmlformats.org/officeDocument/2006/relationships/image" Target="../media/image17.emf"/><Relationship Id="rId5" Type="http://schemas.openxmlformats.org/officeDocument/2006/relationships/image" Target="../media/image11.emf"/><Relationship Id="rId10" Type="http://schemas.openxmlformats.org/officeDocument/2006/relationships/image" Target="../media/image16.emf"/><Relationship Id="rId4" Type="http://schemas.openxmlformats.org/officeDocument/2006/relationships/image" Target="../media/image10.emf"/><Relationship Id="rId9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152398</xdr:colOff>
      <xdr:row>66</xdr:row>
      <xdr:rowOff>152399</xdr:rowOff>
    </xdr:from>
    <xdr:to>
      <xdr:col>7</xdr:col>
      <xdr:colOff>571499</xdr:colOff>
      <xdr:row>117</xdr:row>
      <xdr:rowOff>28575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67</xdr:row>
      <xdr:rowOff>0</xdr:rowOff>
    </xdr:from>
    <xdr:to>
      <xdr:col>20</xdr:col>
      <xdr:colOff>228601</xdr:colOff>
      <xdr:row>117</xdr:row>
      <xdr:rowOff>38101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152400</xdr:colOff>
      <xdr:row>147</xdr:row>
      <xdr:rowOff>142875</xdr:rowOff>
    </xdr:from>
    <xdr:to>
      <xdr:col>7</xdr:col>
      <xdr:colOff>571501</xdr:colOff>
      <xdr:row>198</xdr:row>
      <xdr:rowOff>19051</xdr:rowOff>
    </xdr:to>
    <xdr:graphicFrame macro="">
      <xdr:nvGraphicFramePr>
        <xdr:cNvPr id="5" name="Diagramm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752475</xdr:colOff>
      <xdr:row>147</xdr:row>
      <xdr:rowOff>123825</xdr:rowOff>
    </xdr:from>
    <xdr:to>
      <xdr:col>20</xdr:col>
      <xdr:colOff>285751</xdr:colOff>
      <xdr:row>198</xdr:row>
      <xdr:rowOff>1</xdr:rowOff>
    </xdr:to>
    <xdr:graphicFrame macro="">
      <xdr:nvGraphicFramePr>
        <xdr:cNvPr id="6" name="Diagramm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0</xdr:colOff>
      <xdr:row>202</xdr:row>
      <xdr:rowOff>0</xdr:rowOff>
    </xdr:from>
    <xdr:to>
      <xdr:col>20</xdr:col>
      <xdr:colOff>295276</xdr:colOff>
      <xdr:row>252</xdr:row>
      <xdr:rowOff>38101</xdr:rowOff>
    </xdr:to>
    <xdr:graphicFrame macro="">
      <xdr:nvGraphicFramePr>
        <xdr:cNvPr id="10" name="Diagramm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2</xdr:row>
      <xdr:rowOff>9525</xdr:rowOff>
    </xdr:from>
    <xdr:to>
      <xdr:col>10</xdr:col>
      <xdr:colOff>38100</xdr:colOff>
      <xdr:row>31</xdr:row>
      <xdr:rowOff>85725</xdr:rowOff>
    </xdr:to>
    <xdr:pic>
      <xdr:nvPicPr>
        <xdr:cNvPr id="9" name="Grafik 8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7150" y="400050"/>
          <a:ext cx="7600950" cy="4772025"/>
        </a:xfrm>
        <a:prstGeom prst="rect">
          <a:avLst/>
        </a:prstGeom>
      </xdr:spPr>
    </xdr:pic>
    <xdr:clientData/>
  </xdr:twoCellAnchor>
  <xdr:twoCellAnchor editAs="oneCell">
    <xdr:from>
      <xdr:col>0</xdr:col>
      <xdr:colOff>66675</xdr:colOff>
      <xdr:row>58</xdr:row>
      <xdr:rowOff>104775</xdr:rowOff>
    </xdr:from>
    <xdr:to>
      <xdr:col>10</xdr:col>
      <xdr:colOff>28575</xdr:colOff>
      <xdr:row>64</xdr:row>
      <xdr:rowOff>76200</xdr:rowOff>
    </xdr:to>
    <xdr:pic>
      <xdr:nvPicPr>
        <xdr:cNvPr id="11" name="Grafik 10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6675" y="9563100"/>
          <a:ext cx="7581900" cy="942975"/>
        </a:xfrm>
        <a:prstGeom prst="rect">
          <a:avLst/>
        </a:prstGeom>
      </xdr:spPr>
    </xdr:pic>
    <xdr:clientData/>
  </xdr:twoCellAnchor>
  <xdr:twoCellAnchor editAs="oneCell">
    <xdr:from>
      <xdr:col>0</xdr:col>
      <xdr:colOff>66675</xdr:colOff>
      <xdr:row>32</xdr:row>
      <xdr:rowOff>47625</xdr:rowOff>
    </xdr:from>
    <xdr:to>
      <xdr:col>10</xdr:col>
      <xdr:colOff>31518</xdr:colOff>
      <xdr:row>57</xdr:row>
      <xdr:rowOff>133350</xdr:rowOff>
    </xdr:to>
    <xdr:pic>
      <xdr:nvPicPr>
        <xdr:cNvPr id="3074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66675" y="5295900"/>
          <a:ext cx="7584843" cy="4133850"/>
        </a:xfrm>
        <a:prstGeom prst="rect">
          <a:avLst/>
        </a:prstGeom>
        <a:noFill/>
        <a:ln w="1">
          <a:solidFill>
            <a:schemeClr val="tx1"/>
          </a:solidFill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27</xdr:row>
      <xdr:rowOff>133350</xdr:rowOff>
    </xdr:from>
    <xdr:to>
      <xdr:col>2</xdr:col>
      <xdr:colOff>276225</xdr:colOff>
      <xdr:row>30</xdr:row>
      <xdr:rowOff>133350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lum/>
        </a:blip>
        <a:srcRect/>
        <a:stretch>
          <a:fillRect/>
        </a:stretch>
      </xdr:blipFill>
      <xdr:spPr bwMode="auto">
        <a:xfrm>
          <a:off x="142875" y="4572000"/>
          <a:ext cx="1657350" cy="485775"/>
        </a:xfrm>
        <a:prstGeom prst="rect">
          <a:avLst/>
        </a:prstGeom>
        <a:noFill/>
        <a:ln w="38100">
          <a:solidFill>
            <a:srgbClr val="FF0000"/>
          </a:solidFill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9</xdr:col>
      <xdr:colOff>333375</xdr:colOff>
      <xdr:row>2</xdr:row>
      <xdr:rowOff>0</xdr:rowOff>
    </xdr:from>
    <xdr:to>
      <xdr:col>16</xdr:col>
      <xdr:colOff>209550</xdr:colOff>
      <xdr:row>49</xdr:row>
      <xdr:rowOff>104775</xdr:rowOff>
    </xdr:to>
    <xdr:pic>
      <xdr:nvPicPr>
        <xdr:cNvPr id="2059" name="Picture 1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91375" y="390525"/>
          <a:ext cx="5210175" cy="7715250"/>
        </a:xfrm>
        <a:prstGeom prst="rect">
          <a:avLst/>
        </a:prstGeom>
        <a:noFill/>
        <a:ln w="1">
          <a:solidFill>
            <a:schemeClr val="tx1"/>
          </a:solidFill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0</xdr:col>
      <xdr:colOff>114300</xdr:colOff>
      <xdr:row>3</xdr:row>
      <xdr:rowOff>35671</xdr:rowOff>
    </xdr:from>
    <xdr:to>
      <xdr:col>5</xdr:col>
      <xdr:colOff>466725</xdr:colOff>
      <xdr:row>8</xdr:row>
      <xdr:rowOff>5430</xdr:rowOff>
    </xdr:to>
    <xdr:pic>
      <xdr:nvPicPr>
        <xdr:cNvPr id="2062" name="Picture 14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4300" y="588121"/>
          <a:ext cx="4162425" cy="779384"/>
        </a:xfrm>
        <a:prstGeom prst="rect">
          <a:avLst/>
        </a:prstGeom>
        <a:noFill/>
        <a:ln w="1">
          <a:solidFill>
            <a:schemeClr val="tx1"/>
          </a:solidFill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4.bin"/><Relationship Id="rId13" Type="http://schemas.openxmlformats.org/officeDocument/2006/relationships/oleObject" Target="../embeddings/oleObject9.bin"/><Relationship Id="rId3" Type="http://schemas.openxmlformats.org/officeDocument/2006/relationships/drawing" Target="../drawings/drawing3.xml"/><Relationship Id="rId7" Type="http://schemas.openxmlformats.org/officeDocument/2006/relationships/oleObject" Target="../embeddings/oleObject3.bin"/><Relationship Id="rId12" Type="http://schemas.openxmlformats.org/officeDocument/2006/relationships/oleObject" Target="../embeddings/oleObject8.bin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elodieroux.com/ReportFiles/ModelesMoteurVersionPublique.pdf" TargetMode="External"/><Relationship Id="rId6" Type="http://schemas.openxmlformats.org/officeDocument/2006/relationships/oleObject" Target="../embeddings/oleObject2.bin"/><Relationship Id="rId11" Type="http://schemas.openxmlformats.org/officeDocument/2006/relationships/oleObject" Target="../embeddings/oleObject7.bin"/><Relationship Id="rId5" Type="http://schemas.openxmlformats.org/officeDocument/2006/relationships/oleObject" Target="../embeddings/oleObject1.bin"/><Relationship Id="rId15" Type="http://schemas.openxmlformats.org/officeDocument/2006/relationships/oleObject" Target="../embeddings/oleObject11.bin"/><Relationship Id="rId10" Type="http://schemas.openxmlformats.org/officeDocument/2006/relationships/oleObject" Target="../embeddings/oleObject6.bin"/><Relationship Id="rId4" Type="http://schemas.openxmlformats.org/officeDocument/2006/relationships/vmlDrawing" Target="../drawings/vmlDrawing1.vml"/><Relationship Id="rId9" Type="http://schemas.openxmlformats.org/officeDocument/2006/relationships/oleObject" Target="../embeddings/oleObject5.bin"/><Relationship Id="rId14" Type="http://schemas.openxmlformats.org/officeDocument/2006/relationships/oleObject" Target="../embeddings/oleObject10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D225"/>
  <sheetViews>
    <sheetView tabSelected="1" zoomScaleNormal="100" workbookViewId="0">
      <selection activeCell="C3" sqref="C3"/>
    </sheetView>
  </sheetViews>
  <sheetFormatPr baseColWidth="10" defaultRowHeight="12.75"/>
  <cols>
    <col min="1" max="1" width="51.85546875" customWidth="1"/>
    <col min="2" max="2" width="12.42578125" bestFit="1" customWidth="1"/>
    <col min="3" max="3" width="12.28515625" style="1" bestFit="1" customWidth="1"/>
    <col min="4" max="4" width="13.7109375" bestFit="1" customWidth="1"/>
    <col min="6" max="6" width="12.42578125" bestFit="1" customWidth="1"/>
    <col min="7" max="7" width="13.42578125" bestFit="1" customWidth="1"/>
    <col min="16" max="16" width="16.85546875" bestFit="1" customWidth="1"/>
    <col min="17" max="18" width="15.5703125" bestFit="1" customWidth="1"/>
    <col min="19" max="25" width="16.7109375" bestFit="1" customWidth="1"/>
    <col min="26" max="26" width="12.85546875" customWidth="1"/>
    <col min="27" max="29" width="16.7109375" bestFit="1" customWidth="1"/>
  </cols>
  <sheetData>
    <row r="1" spans="1:30" ht="18">
      <c r="A1" s="18" t="s">
        <v>107</v>
      </c>
    </row>
    <row r="2" spans="1:30">
      <c r="D2" s="2"/>
      <c r="P2" s="2"/>
    </row>
    <row r="3" spans="1:30" ht="15.75" customHeight="1">
      <c r="A3" s="23" t="s">
        <v>0</v>
      </c>
      <c r="B3" s="23" t="s">
        <v>1</v>
      </c>
      <c r="C3" s="24">
        <v>0.8</v>
      </c>
      <c r="D3" s="25"/>
      <c r="E3" s="9" t="s">
        <v>64</v>
      </c>
      <c r="G3" s="75" t="s">
        <v>96</v>
      </c>
      <c r="H3" s="76"/>
      <c r="I3" s="77"/>
    </row>
    <row r="4" spans="1:30" ht="15.75">
      <c r="A4" s="23" t="s">
        <v>2</v>
      </c>
      <c r="B4" s="23" t="s">
        <v>3</v>
      </c>
      <c r="C4" s="26">
        <v>11000</v>
      </c>
      <c r="D4" s="23" t="s">
        <v>4</v>
      </c>
      <c r="E4" s="9" t="s">
        <v>64</v>
      </c>
      <c r="G4" s="78"/>
      <c r="H4" s="79"/>
      <c r="I4" s="80"/>
    </row>
    <row r="5" spans="1:30">
      <c r="A5" s="23" t="s">
        <v>5</v>
      </c>
      <c r="B5" s="23" t="s">
        <v>6</v>
      </c>
      <c r="C5" s="24">
        <v>6</v>
      </c>
      <c r="D5" s="25"/>
      <c r="E5" s="9" t="s">
        <v>64</v>
      </c>
      <c r="F5" s="17" t="s">
        <v>95</v>
      </c>
      <c r="G5" s="78"/>
      <c r="H5" s="79"/>
      <c r="I5" s="80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</row>
    <row r="6" spans="1:30" ht="15.75">
      <c r="A6" s="23" t="s">
        <v>7</v>
      </c>
      <c r="B6" s="23" t="s">
        <v>8</v>
      </c>
      <c r="C6" s="24">
        <v>100</v>
      </c>
      <c r="D6" s="23" t="s">
        <v>9</v>
      </c>
      <c r="E6" s="9" t="s">
        <v>64</v>
      </c>
      <c r="F6" s="17" t="s">
        <v>57</v>
      </c>
      <c r="G6" s="81"/>
      <c r="H6" s="82"/>
      <c r="I6" s="83"/>
    </row>
    <row r="7" spans="1:30">
      <c r="A7" s="23" t="s">
        <v>10</v>
      </c>
      <c r="B7" s="23" t="s">
        <v>11</v>
      </c>
      <c r="C7" s="27">
        <f ca="1">0.0266785*TTO+3.5168*BPR+0.0556628</f>
        <v>23.824312800000001</v>
      </c>
      <c r="D7" s="25"/>
      <c r="E7" s="19" t="s">
        <v>65</v>
      </c>
      <c r="F7" s="1"/>
      <c r="G7" s="1"/>
      <c r="H7" s="21" t="s">
        <v>129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</row>
    <row r="8" spans="1:30">
      <c r="A8" s="23" t="s">
        <v>12</v>
      </c>
      <c r="B8" s="23" t="s">
        <v>13</v>
      </c>
      <c r="C8" s="27">
        <f>-8000/TTO+1520</f>
        <v>1440</v>
      </c>
      <c r="D8" s="25" t="s">
        <v>22</v>
      </c>
      <c r="E8" s="19" t="s">
        <v>65</v>
      </c>
      <c r="F8" s="1"/>
      <c r="G8" s="1"/>
      <c r="H8" s="21" t="s">
        <v>69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</row>
    <row r="9" spans="1:30">
      <c r="A9" s="23" t="s">
        <v>14</v>
      </c>
      <c r="B9" s="25" t="s">
        <v>15</v>
      </c>
      <c r="C9" s="28">
        <v>0.02</v>
      </c>
      <c r="D9" s="25"/>
      <c r="E9" s="4" t="s">
        <v>67</v>
      </c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ht="15.75">
      <c r="A10" s="23" t="s">
        <v>16</v>
      </c>
      <c r="B10" s="29" t="s">
        <v>17</v>
      </c>
      <c r="C10" s="30">
        <f>1-(1.3+0.25*BPR)*DPP</f>
        <v>0.94399999999999995</v>
      </c>
      <c r="D10" s="25"/>
      <c r="E10" s="21" t="s">
        <v>68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</row>
    <row r="11" spans="1:30" ht="15.75">
      <c r="A11" s="25" t="s">
        <v>58</v>
      </c>
      <c r="B11" s="31" t="s">
        <v>59</v>
      </c>
      <c r="C11" s="30">
        <f>-5.978/(5.978+TTO)-MCR*0.1479-0.133498/(0.133498+BPR)+1.05489</f>
        <v>0.85839667237054762</v>
      </c>
      <c r="D11" s="25"/>
      <c r="E11" s="21" t="s">
        <v>70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</row>
    <row r="12" spans="1:30" ht="15.75">
      <c r="A12" s="23" t="s">
        <v>18</v>
      </c>
      <c r="B12" s="31" t="s">
        <v>60</v>
      </c>
      <c r="C12" s="30">
        <f>-2/(2+TTO)-0.1171127/(0.1171127+BPR)-MCR*0.0541+0.9407245</f>
        <v>0.85869156247859224</v>
      </c>
      <c r="D12" s="25"/>
      <c r="E12" s="21" t="s">
        <v>71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</row>
    <row r="13" spans="1:30" ht="15.75">
      <c r="A13" s="23" t="s">
        <v>19</v>
      </c>
      <c r="B13" s="31" t="s">
        <v>61</v>
      </c>
      <c r="C13" s="30">
        <f>-3.403/(3.403+TTO)+1.04826-MCR*0.15533</f>
        <v>0.89108592969256206</v>
      </c>
      <c r="D13" s="25"/>
      <c r="E13" s="21" t="s">
        <v>72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</row>
    <row r="14" spans="1:30" ht="15.75">
      <c r="A14" s="23" t="s">
        <v>20</v>
      </c>
      <c r="B14" s="31" t="s">
        <v>62</v>
      </c>
      <c r="C14" s="30">
        <f>-2.0319/(2.0319+TTO)+1.00764-MCR*0.009868</f>
        <v>0.97983123988321308</v>
      </c>
      <c r="D14" s="25"/>
      <c r="E14" s="21" t="s">
        <v>73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</row>
    <row r="15" spans="1:30" ht="15.75">
      <c r="A15" s="25" t="s">
        <v>53</v>
      </c>
      <c r="B15" s="32" t="s">
        <v>21</v>
      </c>
      <c r="C15" s="33">
        <v>288.14999999999998</v>
      </c>
      <c r="D15" s="23" t="s">
        <v>22</v>
      </c>
      <c r="E15" s="20" t="s">
        <v>63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</row>
    <row r="16" spans="1:30">
      <c r="A16" s="23" t="s">
        <v>23</v>
      </c>
      <c r="B16" s="32" t="s">
        <v>24</v>
      </c>
      <c r="C16" s="33">
        <f>6.5/1000</f>
        <v>6.4999999999999997E-3</v>
      </c>
      <c r="D16" s="34" t="s">
        <v>25</v>
      </c>
      <c r="E16" s="20" t="s">
        <v>63</v>
      </c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</row>
    <row r="17" spans="1:30" ht="15.75">
      <c r="A17" s="42" t="s">
        <v>54</v>
      </c>
      <c r="B17" s="25" t="s">
        <v>40</v>
      </c>
      <c r="C17" s="38">
        <v>216.65</v>
      </c>
      <c r="D17" s="25" t="s">
        <v>22</v>
      </c>
      <c r="E17" s="20" t="s">
        <v>63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</row>
    <row r="18" spans="1:30">
      <c r="A18" s="23" t="s">
        <v>26</v>
      </c>
      <c r="B18" s="35" t="s">
        <v>27</v>
      </c>
      <c r="C18" s="30">
        <f>IF(T0-L*HCR&lt;TS,TS,T0-L*HCR)</f>
        <v>216.64999999999998</v>
      </c>
      <c r="D18" s="23" t="s">
        <v>22</v>
      </c>
      <c r="E18" s="21" t="s">
        <v>84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</row>
    <row r="19" spans="1:30">
      <c r="A19" s="23" t="s">
        <v>28</v>
      </c>
      <c r="B19" s="36" t="s">
        <v>29</v>
      </c>
      <c r="C19" s="30">
        <f>TET/T</f>
        <v>6.6466651280867763</v>
      </c>
      <c r="D19" s="25"/>
      <c r="E19" s="21" t="s">
        <v>74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</row>
    <row r="20" spans="1:30">
      <c r="A20" s="25" t="s">
        <v>30</v>
      </c>
      <c r="B20" s="37" t="s">
        <v>31</v>
      </c>
      <c r="C20" s="38">
        <v>1.4</v>
      </c>
      <c r="D20" s="25"/>
      <c r="E20" s="20" t="s">
        <v>63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</row>
    <row r="21" spans="1:30">
      <c r="A21" s="23" t="s">
        <v>32</v>
      </c>
      <c r="B21" s="37" t="s">
        <v>76</v>
      </c>
      <c r="C21" s="30">
        <f>1+(gam-1)/2*MCR^2</f>
        <v>1.1280000000000001</v>
      </c>
      <c r="D21" s="25"/>
      <c r="E21" s="21" t="s">
        <v>75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</row>
    <row r="22" spans="1:30">
      <c r="A22" s="23" t="s">
        <v>33</v>
      </c>
      <c r="B22" s="39" t="s">
        <v>50</v>
      </c>
      <c r="C22" s="30">
        <f ca="1">theta*(OAPR^((gam-1)/gam)-1)</f>
        <v>1.5696622310290109</v>
      </c>
      <c r="D22" s="25"/>
      <c r="E22" s="21" t="s">
        <v>77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</row>
    <row r="23" spans="1:30" ht="15.75">
      <c r="A23" s="23" t="s">
        <v>34</v>
      </c>
      <c r="B23" s="32" t="s">
        <v>35</v>
      </c>
      <c r="C23" s="30">
        <f>1-(0.7*MCR^2*(1-eta_inlet))/(1+0.2*MCR^2)</f>
        <v>0.97775886524822697</v>
      </c>
      <c r="D23" s="25"/>
      <c r="E23" s="21" t="s">
        <v>78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</row>
    <row r="24" spans="1:30">
      <c r="A24" s="23" t="s">
        <v>36</v>
      </c>
      <c r="B24" s="32" t="s">
        <v>37</v>
      </c>
      <c r="C24" s="30">
        <f ca="1">(phi-chi/eta_comp)*(1-1.01/(eta_gasgen^((gam-1)/gam)*(chi+theta)*(1-chi/phi/eta_comp/eta_turb)))</f>
        <v>2.1923791633972542</v>
      </c>
      <c r="D24" s="25"/>
      <c r="E24" s="21" t="s">
        <v>79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</row>
    <row r="25" spans="1:30">
      <c r="A25" s="25" t="s">
        <v>51</v>
      </c>
      <c r="B25" s="25" t="s">
        <v>47</v>
      </c>
      <c r="C25" s="30">
        <f ca="1">(0.697*SQRT(T/T0)*(phi-theta-chi/eta_comp))/(SQRT(5*eta_noz*(1+eta_fan*eta_turb*BPR)*(G+0.2*MCR^2*BPR*eta_comp/eta_fan/eta_turb))-MCR*(1+BPR))</f>
        <v>0.62908170976329603</v>
      </c>
      <c r="D25" s="25" t="s">
        <v>38</v>
      </c>
      <c r="E25" s="21" t="s">
        <v>80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</row>
    <row r="26" spans="1:30">
      <c r="A26" s="40" t="s">
        <v>51</v>
      </c>
      <c r="B26" s="25" t="s">
        <v>47</v>
      </c>
      <c r="C26" s="41">
        <f ca="1">C25*1/36000</f>
        <v>1.7474491937869335E-5</v>
      </c>
      <c r="D26" s="25" t="s">
        <v>39</v>
      </c>
      <c r="E26" s="8" t="s">
        <v>66</v>
      </c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</row>
    <row r="27" spans="1:30">
      <c r="A27" s="45"/>
      <c r="B27" s="45"/>
      <c r="C27" s="52"/>
      <c r="D27" s="45"/>
      <c r="E27" s="45"/>
      <c r="F27" s="45"/>
      <c r="G27" s="45"/>
    </row>
    <row r="28" spans="1:30">
      <c r="A28" s="42" t="s">
        <v>55</v>
      </c>
      <c r="B28" s="25" t="s">
        <v>41</v>
      </c>
      <c r="C28" s="43">
        <v>340.29399999999998</v>
      </c>
      <c r="D28" s="25" t="s">
        <v>42</v>
      </c>
      <c r="E28" s="20" t="s">
        <v>63</v>
      </c>
    </row>
    <row r="29" spans="1:30">
      <c r="A29" s="25" t="s">
        <v>45</v>
      </c>
      <c r="B29" s="25" t="s">
        <v>43</v>
      </c>
      <c r="C29" s="30">
        <f>a0*SQRT(T/T0)</f>
        <v>295.06950389167002</v>
      </c>
      <c r="D29" s="25" t="s">
        <v>42</v>
      </c>
      <c r="E29" s="22" t="s">
        <v>81</v>
      </c>
    </row>
    <row r="30" spans="1:30" ht="15.75">
      <c r="A30" s="25" t="s">
        <v>46</v>
      </c>
      <c r="B30" s="25" t="s">
        <v>44</v>
      </c>
      <c r="C30" s="30">
        <f>MCR*a</f>
        <v>236.05560311333602</v>
      </c>
      <c r="D30" s="25" t="s">
        <v>42</v>
      </c>
      <c r="E30" s="22" t="s">
        <v>82</v>
      </c>
    </row>
    <row r="31" spans="1:30" ht="15.75">
      <c r="A31" s="40" t="s">
        <v>52</v>
      </c>
      <c r="B31" s="25" t="s">
        <v>56</v>
      </c>
      <c r="C31" s="41">
        <f ca="1">TSFC/VCR</f>
        <v>7.4027016124160402E-8</v>
      </c>
      <c r="D31" s="25" t="s">
        <v>48</v>
      </c>
      <c r="E31" s="8" t="s">
        <v>66</v>
      </c>
      <c r="F31" s="22" t="s">
        <v>83</v>
      </c>
    </row>
    <row r="32" spans="1:30">
      <c r="A32" s="66"/>
      <c r="B32" s="67"/>
      <c r="C32" s="68"/>
      <c r="D32" s="67"/>
      <c r="E32" s="69"/>
      <c r="F32" s="70"/>
      <c r="G32" s="11"/>
    </row>
    <row r="33" spans="1:9">
      <c r="A33" s="65"/>
      <c r="B33" s="56"/>
      <c r="C33" s="61"/>
      <c r="D33" s="56"/>
      <c r="E33" s="8"/>
      <c r="F33" s="22"/>
    </row>
    <row r="34" spans="1:9" ht="15.75">
      <c r="A34" s="54" t="s">
        <v>108</v>
      </c>
    </row>
    <row r="36" spans="1:9" ht="15.75">
      <c r="A36" s="25" t="s">
        <v>101</v>
      </c>
      <c r="B36" s="30" t="s">
        <v>113</v>
      </c>
      <c r="C36" s="59">
        <v>1.15E-5</v>
      </c>
      <c r="D36" s="25" t="s">
        <v>100</v>
      </c>
      <c r="E36" s="60" t="s">
        <v>63</v>
      </c>
    </row>
    <row r="37" spans="1:9" ht="15.75">
      <c r="A37" s="25" t="s">
        <v>101</v>
      </c>
      <c r="B37" s="30" t="s">
        <v>102</v>
      </c>
      <c r="C37" s="59">
        <f>cabase/a0</f>
        <v>3.3794307275473564E-8</v>
      </c>
      <c r="D37" s="25" t="s">
        <v>99</v>
      </c>
      <c r="E37" s="60" t="s">
        <v>63</v>
      </c>
    </row>
    <row r="38" spans="1:9" ht="15.75">
      <c r="A38" s="25" t="s">
        <v>101</v>
      </c>
      <c r="B38" s="30" t="s">
        <v>103</v>
      </c>
      <c r="C38" s="59">
        <v>1.04E-5</v>
      </c>
      <c r="D38" s="25" t="s">
        <v>100</v>
      </c>
      <c r="E38" s="60" t="s">
        <v>63</v>
      </c>
    </row>
    <row r="39" spans="1:9" ht="15.75">
      <c r="A39" s="25" t="s">
        <v>101</v>
      </c>
      <c r="B39" s="30" t="s">
        <v>114</v>
      </c>
      <c r="C39" s="72">
        <f>cbbase*SQRT(T/T0)</f>
        <v>9.0178576186279173E-6</v>
      </c>
      <c r="D39" s="25" t="s">
        <v>100</v>
      </c>
      <c r="E39" s="22" t="s">
        <v>115</v>
      </c>
      <c r="I39" s="14" t="s">
        <v>124</v>
      </c>
    </row>
    <row r="40" spans="1:9">
      <c r="A40" s="40" t="s">
        <v>51</v>
      </c>
      <c r="B40" s="25" t="s">
        <v>47</v>
      </c>
      <c r="C40" s="41">
        <f>ca*VCR+cb</f>
        <v>1.6995193204337229E-5</v>
      </c>
      <c r="D40" s="25" t="s">
        <v>39</v>
      </c>
      <c r="E40" s="8" t="s">
        <v>66</v>
      </c>
      <c r="F40" s="22" t="s">
        <v>116</v>
      </c>
      <c r="G40" s="22" t="s">
        <v>123</v>
      </c>
      <c r="I40" s="44">
        <f>C43*VCR</f>
        <v>1.6995193204337229E-5</v>
      </c>
    </row>
    <row r="41" spans="1:9">
      <c r="A41" s="62" t="s">
        <v>104</v>
      </c>
      <c r="B41" s="25"/>
      <c r="C41" s="63">
        <f ca="1">(C40-TSFC)/TSFC</f>
        <v>-2.7428478907212634E-2</v>
      </c>
      <c r="D41" s="25"/>
      <c r="E41" s="64" t="s">
        <v>66</v>
      </c>
      <c r="F41" s="22"/>
    </row>
    <row r="43" spans="1:9" ht="15.75">
      <c r="A43" s="40" t="s">
        <v>52</v>
      </c>
      <c r="B43" s="25" t="s">
        <v>56</v>
      </c>
      <c r="C43" s="41">
        <f>C40/VCR</f>
        <v>7.1996567673834982E-8</v>
      </c>
      <c r="D43" s="25" t="s">
        <v>48</v>
      </c>
      <c r="E43" s="8" t="s">
        <v>66</v>
      </c>
      <c r="F43" s="22" t="s">
        <v>83</v>
      </c>
      <c r="G43" s="22" t="s">
        <v>117</v>
      </c>
      <c r="I43" s="44">
        <f>cabase/a0+cbbase/a0/MCR</f>
        <v>7.1996567673834982E-8</v>
      </c>
    </row>
    <row r="44" spans="1:9">
      <c r="A44" s="62" t="s">
        <v>104</v>
      </c>
      <c r="B44" s="25"/>
      <c r="C44" s="63">
        <f ca="1">(C43-PSFC)/PSFC</f>
        <v>-2.7428478907212592E-2</v>
      </c>
      <c r="D44" s="25"/>
      <c r="E44" s="64" t="s">
        <v>66</v>
      </c>
    </row>
    <row r="45" spans="1:9">
      <c r="A45" s="71"/>
      <c r="B45" s="11"/>
      <c r="C45" s="12"/>
      <c r="D45" s="11"/>
      <c r="E45" s="11"/>
      <c r="F45" s="11"/>
      <c r="G45" s="11"/>
    </row>
    <row r="46" spans="1:9">
      <c r="A46" s="55"/>
    </row>
    <row r="47" spans="1:9" ht="15.75">
      <c r="A47" s="54" t="s">
        <v>110</v>
      </c>
    </row>
    <row r="48" spans="1:9">
      <c r="A48" s="56"/>
    </row>
    <row r="49" spans="1:15" ht="15.75">
      <c r="A49" s="56"/>
      <c r="C49" s="74" t="s">
        <v>49</v>
      </c>
      <c r="D49" s="74"/>
      <c r="E49" s="74"/>
      <c r="K49" s="74" t="s">
        <v>92</v>
      </c>
      <c r="L49" s="74"/>
      <c r="M49" s="74"/>
    </row>
    <row r="50" spans="1:15">
      <c r="C50"/>
    </row>
    <row r="51" spans="1:15">
      <c r="B51" s="14">
        <f ca="1">PSFC</f>
        <v>7.4027016124160402E-8</v>
      </c>
      <c r="C51" s="14">
        <v>4000</v>
      </c>
      <c r="D51" s="14">
        <v>6000</v>
      </c>
      <c r="E51" s="14">
        <v>8000</v>
      </c>
      <c r="F51" s="14">
        <v>10000</v>
      </c>
      <c r="G51" s="14">
        <v>11000</v>
      </c>
      <c r="H51" s="14" t="s">
        <v>118</v>
      </c>
      <c r="I51" s="15"/>
      <c r="J51" s="51">
        <f>VCR</f>
        <v>236.05560311333602</v>
      </c>
      <c r="K51" s="51">
        <v>4000</v>
      </c>
      <c r="L51" s="51">
        <v>6000</v>
      </c>
      <c r="M51" s="51">
        <v>8000</v>
      </c>
      <c r="N51" s="51">
        <v>10000</v>
      </c>
      <c r="O51" s="51">
        <v>11000</v>
      </c>
    </row>
    <row r="52" spans="1:15">
      <c r="B52" s="1">
        <v>0.3</v>
      </c>
      <c r="C52" s="44">
        <f t="dataTable" ref="C52:G64" dt2D="1" dtr="1" r1="C4" r2="C3" ca="1"/>
        <v>1.0479702483613627E-7</v>
      </c>
      <c r="D52" s="44">
        <v>1.0787582597349466E-7</v>
      </c>
      <c r="E52" s="44">
        <v>1.1121009869616756E-7</v>
      </c>
      <c r="F52" s="44">
        <v>1.1482725442111757E-7</v>
      </c>
      <c r="G52" s="44">
        <v>1.1675255394714443E-7</v>
      </c>
      <c r="H52" s="16">
        <f t="shared" ref="H52:H64" si="0">cabase/a0+cbbase/a0/B52</f>
        <v>1.3566700167110402E-7</v>
      </c>
      <c r="I52" s="16"/>
      <c r="J52" s="1">
        <v>0.3</v>
      </c>
      <c r="K52" s="1">
        <f t="dataTable" ref="K52:O64" dt2D="1" dtr="1" r1="C4" r2="C3" ca="1"/>
        <v>97.373586310361418</v>
      </c>
      <c r="L52" s="1">
        <v>94.92851350775544</v>
      </c>
      <c r="M52" s="1">
        <v>92.418775379480167</v>
      </c>
      <c r="N52" s="1">
        <v>89.838952623533586</v>
      </c>
      <c r="O52" s="1">
        <v>88.520851167501007</v>
      </c>
    </row>
    <row r="53" spans="1:15">
      <c r="A53" s="15"/>
      <c r="B53" s="1">
        <v>0.35</v>
      </c>
      <c r="C53" s="44">
        <v>9.5305483331315002E-8</v>
      </c>
      <c r="D53" s="44">
        <v>9.7809231818243015E-8</v>
      </c>
      <c r="E53" s="44">
        <v>1.0054789081989795E-7</v>
      </c>
      <c r="F53" s="44">
        <v>1.035426460187025E-7</v>
      </c>
      <c r="G53" s="44">
        <v>1.0514459829796843E-7</v>
      </c>
      <c r="H53" s="16">
        <f t="shared" si="0"/>
        <v>1.2111375961458538E-7</v>
      </c>
      <c r="I53" s="16"/>
      <c r="J53" s="1">
        <v>0.35</v>
      </c>
      <c r="K53" s="1">
        <v>113.60251736208831</v>
      </c>
      <c r="L53" s="1">
        <v>110.74993242571468</v>
      </c>
      <c r="M53" s="1">
        <v>107.82190460939353</v>
      </c>
      <c r="N53" s="1">
        <v>104.81211139412252</v>
      </c>
      <c r="O53" s="1">
        <v>103.27432636208451</v>
      </c>
    </row>
    <row r="54" spans="1:15">
      <c r="B54" s="1">
        <v>0.4</v>
      </c>
      <c r="C54" s="44">
        <v>8.8556010419397497E-8</v>
      </c>
      <c r="D54" s="44">
        <v>9.0593950594957134E-8</v>
      </c>
      <c r="E54" s="44">
        <v>9.2855882597691002E-8</v>
      </c>
      <c r="F54" s="44">
        <v>9.5357440660904081E-8</v>
      </c>
      <c r="G54" s="44">
        <v>9.6704821904459456E-8</v>
      </c>
      <c r="H54" s="16">
        <f t="shared" si="0"/>
        <v>1.1019882807219641E-7</v>
      </c>
      <c r="I54" s="16"/>
      <c r="J54" s="1">
        <v>0.4</v>
      </c>
      <c r="K54" s="1">
        <v>129.83144841381522</v>
      </c>
      <c r="L54" s="1">
        <v>126.57135134367394</v>
      </c>
      <c r="M54" s="1">
        <v>123.22503383930689</v>
      </c>
      <c r="N54" s="1">
        <v>119.78527016471146</v>
      </c>
      <c r="O54" s="1">
        <v>118.02780155666801</v>
      </c>
    </row>
    <row r="55" spans="1:15">
      <c r="B55" s="1">
        <v>0.45</v>
      </c>
      <c r="C55" s="44">
        <v>8.3674758935418197E-8</v>
      </c>
      <c r="D55" s="44">
        <v>8.5312804299196715E-8</v>
      </c>
      <c r="E55" s="44">
        <v>8.717172180577052E-8</v>
      </c>
      <c r="F55" s="44">
        <v>8.9261719499491049E-8</v>
      </c>
      <c r="G55" s="44">
        <v>9.0398447183185625E-8</v>
      </c>
      <c r="H55" s="16">
        <f t="shared" si="0"/>
        <v>1.0170943687256053E-7</v>
      </c>
      <c r="I55" s="16"/>
      <c r="J55" s="1">
        <v>0.45</v>
      </c>
      <c r="K55" s="1">
        <v>146.06037946554213</v>
      </c>
      <c r="L55" s="1">
        <v>142.39277026163316</v>
      </c>
      <c r="M55" s="1">
        <v>138.62816306922025</v>
      </c>
      <c r="N55" s="1">
        <v>134.7584289353004</v>
      </c>
      <c r="O55" s="1">
        <v>132.78127675125151</v>
      </c>
    </row>
    <row r="56" spans="1:15">
      <c r="B56" s="1">
        <v>0.5</v>
      </c>
      <c r="C56" s="44">
        <v>8.0145732060942938E-8</v>
      </c>
      <c r="D56" s="44">
        <v>8.1421904839942972E-8</v>
      </c>
      <c r="E56" s="44">
        <v>8.2923009522972819E-8</v>
      </c>
      <c r="F56" s="44">
        <v>8.4653485083079251E-8</v>
      </c>
      <c r="G56" s="44">
        <v>8.5608131686363734E-8</v>
      </c>
      <c r="H56" s="16">
        <f t="shared" si="0"/>
        <v>9.4917923912851843E-8</v>
      </c>
      <c r="I56" s="16"/>
      <c r="J56" s="1">
        <v>0.5</v>
      </c>
      <c r="K56" s="1">
        <v>162.28931051726903</v>
      </c>
      <c r="L56" s="1">
        <v>158.21418917959241</v>
      </c>
      <c r="M56" s="1">
        <v>154.03129229913361</v>
      </c>
      <c r="N56" s="1">
        <v>149.73158770588932</v>
      </c>
      <c r="O56" s="1">
        <v>147.53475194583501</v>
      </c>
    </row>
    <row r="57" spans="1:15">
      <c r="B57" s="1">
        <v>0.55000000000000004</v>
      </c>
      <c r="C57" s="44">
        <v>7.7650465431864714E-8</v>
      </c>
      <c r="D57" s="44">
        <v>7.8582659524263767E-8</v>
      </c>
      <c r="E57" s="44">
        <v>7.9751275312413202E-8</v>
      </c>
      <c r="F57" s="44">
        <v>8.1154147880507098E-8</v>
      </c>
      <c r="G57" s="44">
        <v>8.1945005845078394E-8</v>
      </c>
      <c r="H57" s="16">
        <f t="shared" si="0"/>
        <v>8.9361231491271982E-8</v>
      </c>
      <c r="I57" s="16"/>
      <c r="J57" s="1">
        <v>0.55000000000000004</v>
      </c>
      <c r="K57" s="1">
        <v>178.51824156899596</v>
      </c>
      <c r="L57" s="1">
        <v>174.03560809755166</v>
      </c>
      <c r="M57" s="1">
        <v>169.43442152904697</v>
      </c>
      <c r="N57" s="1">
        <v>164.70474647647828</v>
      </c>
      <c r="O57" s="1">
        <v>162.28822714041851</v>
      </c>
    </row>
    <row r="58" spans="1:15">
      <c r="B58" s="1">
        <v>0.6</v>
      </c>
      <c r="C58" s="48">
        <v>7.5988642467190543E-8</v>
      </c>
      <c r="D58" s="48">
        <v>7.6578279524670874E-8</v>
      </c>
      <c r="E58" s="44">
        <v>7.7424300029329808E-8</v>
      </c>
      <c r="F58" s="44">
        <v>7.8516494233480997E-8</v>
      </c>
      <c r="G58" s="44">
        <v>7.9154376366376659E-8</v>
      </c>
      <c r="H58" s="16">
        <f t="shared" si="0"/>
        <v>8.47306544732888E-8</v>
      </c>
      <c r="I58" s="16"/>
      <c r="J58" s="1">
        <v>0.6</v>
      </c>
      <c r="K58" s="52">
        <v>194.74717262072284</v>
      </c>
      <c r="L58" s="52">
        <v>189.85702701551088</v>
      </c>
      <c r="M58" s="1">
        <v>184.83755075896033</v>
      </c>
      <c r="N58" s="1">
        <v>179.67790524706717</v>
      </c>
      <c r="O58" s="1">
        <v>177.04170233500201</v>
      </c>
    </row>
    <row r="59" spans="1:15">
      <c r="B59" s="1">
        <v>0.65</v>
      </c>
      <c r="C59" s="48">
        <v>7.5036391709733089E-8</v>
      </c>
      <c r="D59" s="48">
        <v>7.5269484680899855E-8</v>
      </c>
      <c r="E59" s="44">
        <v>7.5789332366964323E-8</v>
      </c>
      <c r="F59" s="44">
        <v>7.6575410346823094E-8</v>
      </c>
      <c r="G59" s="44">
        <v>7.7065178309061576E-8</v>
      </c>
      <c r="H59" s="16">
        <f t="shared" si="0"/>
        <v>8.0812473919610692E-8</v>
      </c>
      <c r="I59" s="16"/>
      <c r="J59" s="1">
        <v>0.65</v>
      </c>
      <c r="K59" s="52">
        <v>210.97610367244974</v>
      </c>
      <c r="L59" s="52">
        <v>205.67844593347013</v>
      </c>
      <c r="M59" s="1">
        <v>200.24067998887369</v>
      </c>
      <c r="N59" s="1">
        <v>194.65106401765613</v>
      </c>
      <c r="O59" s="1">
        <v>191.79517752958552</v>
      </c>
    </row>
    <row r="60" spans="1:15">
      <c r="B60" s="1">
        <v>0.7</v>
      </c>
      <c r="C60" s="48">
        <v>7.4723904934618123E-8</v>
      </c>
      <c r="D60" s="48">
        <v>7.4570082264728122E-8</v>
      </c>
      <c r="E60" s="44">
        <v>7.4746914370282021E-8</v>
      </c>
      <c r="F60" s="44">
        <v>7.5220081246552746E-8</v>
      </c>
      <c r="G60" s="44">
        <v>7.5561376866855091E-8</v>
      </c>
      <c r="H60" s="16">
        <f t="shared" si="0"/>
        <v>7.7454033445029483E-8</v>
      </c>
      <c r="I60" s="16"/>
      <c r="J60" s="1">
        <v>0.7</v>
      </c>
      <c r="K60" s="52">
        <v>227.20503472417661</v>
      </c>
      <c r="L60" s="52">
        <v>221.49986485142935</v>
      </c>
      <c r="M60" s="1">
        <v>215.64380921878706</v>
      </c>
      <c r="N60" s="1">
        <v>209.62422278824505</v>
      </c>
      <c r="O60" s="1">
        <v>206.54865272416902</v>
      </c>
    </row>
    <row r="61" spans="1:15">
      <c r="B61" s="1">
        <v>0.75</v>
      </c>
      <c r="C61" s="48">
        <v>7.5024082734805996E-8</v>
      </c>
      <c r="D61" s="48">
        <v>7.4433545591892655E-8</v>
      </c>
      <c r="E61" s="44">
        <v>7.4235926174722383E-8</v>
      </c>
      <c r="F61" s="44">
        <v>7.4377775441985177E-8</v>
      </c>
      <c r="G61" s="44">
        <v>7.4565177256885611E-8</v>
      </c>
      <c r="H61" s="16">
        <f t="shared" si="0"/>
        <v>7.4543385033725743E-8</v>
      </c>
      <c r="I61" s="16"/>
      <c r="J61" s="1">
        <v>0.75</v>
      </c>
      <c r="K61" s="52">
        <v>243.43396577590354</v>
      </c>
      <c r="L61" s="52">
        <v>237.32128376938863</v>
      </c>
      <c r="M61" s="1">
        <v>231.04693844870042</v>
      </c>
      <c r="N61" s="1">
        <v>224.597381558834</v>
      </c>
      <c r="O61" s="1">
        <v>221.30212791875252</v>
      </c>
    </row>
    <row r="62" spans="1:15">
      <c r="B62" s="1">
        <v>0.8</v>
      </c>
      <c r="C62" s="48">
        <v>7.5948510553921812E-8</v>
      </c>
      <c r="D62" s="48">
        <v>7.4846378215670909E-8</v>
      </c>
      <c r="E62" s="44">
        <v>7.4225269404855465E-8</v>
      </c>
      <c r="F62" s="44">
        <v>7.4004330983286917E-8</v>
      </c>
      <c r="G62" s="44">
        <v>7.4027016124160402E-8</v>
      </c>
      <c r="H62" s="16">
        <f t="shared" si="0"/>
        <v>7.1996567673834982E-8</v>
      </c>
      <c r="I62" s="16"/>
      <c r="J62" s="1">
        <v>0.8</v>
      </c>
      <c r="K62" s="52">
        <v>259.66289682763045</v>
      </c>
      <c r="L62" s="52">
        <v>253.14270268734788</v>
      </c>
      <c r="M62" s="1">
        <v>246.45006767861378</v>
      </c>
      <c r="N62" s="1">
        <v>239.57054032942293</v>
      </c>
      <c r="O62" s="1">
        <v>236.05560311333602</v>
      </c>
    </row>
    <row r="63" spans="1:15">
      <c r="B63" s="1">
        <v>0.85</v>
      </c>
      <c r="C63" s="48">
        <v>7.7549573603403762E-8</v>
      </c>
      <c r="D63" s="48">
        <v>7.582639228120836E-8</v>
      </c>
      <c r="E63" s="44">
        <v>7.4709940341351703E-8</v>
      </c>
      <c r="F63" s="44">
        <v>7.407884627177319E-8</v>
      </c>
      <c r="G63" s="44">
        <v>7.3919737438284812E-8</v>
      </c>
      <c r="H63" s="16">
        <f t="shared" si="0"/>
        <v>6.9749375885696079E-8</v>
      </c>
      <c r="I63" s="16"/>
      <c r="J63" s="1">
        <v>0.85</v>
      </c>
      <c r="K63" s="52">
        <v>275.89182787935732</v>
      </c>
      <c r="L63" s="52">
        <v>268.96412160530707</v>
      </c>
      <c r="M63" s="1">
        <v>261.85319690852714</v>
      </c>
      <c r="N63" s="1">
        <v>254.54369910001185</v>
      </c>
      <c r="O63" s="1">
        <v>250.80907830791952</v>
      </c>
    </row>
    <row r="64" spans="1:15">
      <c r="B64" s="1">
        <v>0.9</v>
      </c>
      <c r="C64" s="48">
        <v>7.9929415469044095E-8</v>
      </c>
      <c r="D64" s="48">
        <v>7.7425465249932436E-8</v>
      </c>
      <c r="E64" s="44">
        <v>7.5710524011340318E-8</v>
      </c>
      <c r="F64" s="44">
        <v>7.4601324238680072E-8</v>
      </c>
      <c r="G64" s="44">
        <v>7.4235605580886355E-8</v>
      </c>
      <c r="H64" s="16">
        <f t="shared" si="0"/>
        <v>6.7751872074017043E-8</v>
      </c>
      <c r="I64" s="16"/>
      <c r="J64" s="1">
        <v>0.9</v>
      </c>
      <c r="K64" s="52">
        <v>292.12075893108425</v>
      </c>
      <c r="L64" s="52">
        <v>284.78554052326632</v>
      </c>
      <c r="M64" s="1">
        <v>277.2563261384405</v>
      </c>
      <c r="N64" s="1">
        <v>269.5168578706008</v>
      </c>
      <c r="O64" s="1">
        <v>265.56255350250302</v>
      </c>
    </row>
    <row r="65" spans="1:15">
      <c r="A65" s="46" t="s">
        <v>93</v>
      </c>
      <c r="B65" s="1"/>
      <c r="C65" s="48"/>
      <c r="D65" s="48"/>
      <c r="E65" s="44"/>
      <c r="F65" s="44"/>
      <c r="G65" s="44"/>
      <c r="H65" s="16"/>
      <c r="I65" s="16"/>
      <c r="J65" s="1"/>
      <c r="K65" s="52"/>
      <c r="L65" s="52"/>
      <c r="M65" s="1"/>
      <c r="N65" s="1"/>
      <c r="O65" s="1"/>
    </row>
    <row r="66" spans="1:15">
      <c r="A66" s="49">
        <f>BPR</f>
        <v>6</v>
      </c>
    </row>
    <row r="69" spans="1:15">
      <c r="I69" t="s">
        <v>122</v>
      </c>
    </row>
    <row r="70" spans="1:15">
      <c r="I70" t="s">
        <v>119</v>
      </c>
      <c r="J70">
        <v>0.75</v>
      </c>
    </row>
    <row r="71" spans="1:15">
      <c r="I71" t="s">
        <v>120</v>
      </c>
      <c r="J71">
        <v>10000</v>
      </c>
      <c r="K71" t="s">
        <v>4</v>
      </c>
    </row>
    <row r="72" spans="1:15">
      <c r="I72" t="s">
        <v>6</v>
      </c>
      <c r="J72">
        <v>6</v>
      </c>
    </row>
    <row r="73" spans="1:15">
      <c r="I73" t="s">
        <v>121</v>
      </c>
      <c r="J73">
        <v>100</v>
      </c>
      <c r="K73" t="s">
        <v>9</v>
      </c>
    </row>
    <row r="74" spans="1:15">
      <c r="I74" t="s">
        <v>11</v>
      </c>
      <c r="J74" s="1">
        <v>21.153130650000001</v>
      </c>
    </row>
    <row r="75" spans="1:15">
      <c r="I75" t="s">
        <v>13</v>
      </c>
      <c r="J75">
        <v>1440</v>
      </c>
      <c r="K75" t="s">
        <v>22</v>
      </c>
    </row>
    <row r="77" spans="1:15" ht="15.75">
      <c r="I77" t="s">
        <v>128</v>
      </c>
    </row>
    <row r="78" spans="1:15">
      <c r="I78" t="s">
        <v>127</v>
      </c>
    </row>
    <row r="90" spans="10:10">
      <c r="J90" s="53" t="s">
        <v>87</v>
      </c>
    </row>
    <row r="91" spans="10:10">
      <c r="J91" s="53" t="s">
        <v>88</v>
      </c>
    </row>
    <row r="92" spans="10:10">
      <c r="J92" s="53" t="s">
        <v>86</v>
      </c>
    </row>
    <row r="93" spans="10:10">
      <c r="J93" s="53" t="s">
        <v>125</v>
      </c>
    </row>
    <row r="100" spans="1:10">
      <c r="J100" s="53" t="s">
        <v>89</v>
      </c>
    </row>
    <row r="101" spans="1:10">
      <c r="J101" s="53" t="s">
        <v>90</v>
      </c>
    </row>
    <row r="102" spans="1:10">
      <c r="J102" s="53" t="s">
        <v>91</v>
      </c>
    </row>
    <row r="112" spans="1:10">
      <c r="A112" s="47"/>
    </row>
    <row r="116" spans="1:17">
      <c r="G116" s="16"/>
    </row>
    <row r="118" spans="1:17">
      <c r="G118" s="16"/>
    </row>
    <row r="119" spans="1:17">
      <c r="A119" s="46" t="s">
        <v>85</v>
      </c>
    </row>
    <row r="122" spans="1:17">
      <c r="G122" s="13"/>
    </row>
    <row r="123" spans="1:17" ht="15.75">
      <c r="A123" s="54" t="s">
        <v>111</v>
      </c>
    </row>
    <row r="125" spans="1:17" ht="15.75">
      <c r="C125" s="74" t="s">
        <v>94</v>
      </c>
      <c r="D125" s="74"/>
      <c r="E125" s="74"/>
      <c r="K125" s="74" t="s">
        <v>92</v>
      </c>
      <c r="L125" s="74"/>
      <c r="M125" s="74"/>
      <c r="Q125" s="50" t="s">
        <v>49</v>
      </c>
    </row>
    <row r="126" spans="1:17">
      <c r="C126"/>
    </row>
    <row r="127" spans="1:17">
      <c r="B127" s="57">
        <f ca="1">TSFC</f>
        <v>1.7474491937869335E-5</v>
      </c>
      <c r="C127" s="14">
        <v>4000</v>
      </c>
      <c r="D127" s="14">
        <v>6000</v>
      </c>
      <c r="E127" s="14">
        <v>8000</v>
      </c>
      <c r="F127" s="14">
        <v>10000</v>
      </c>
      <c r="G127" s="14">
        <v>11000</v>
      </c>
      <c r="J127" s="51">
        <f>VCR</f>
        <v>236.05560311333602</v>
      </c>
      <c r="K127" s="14">
        <v>4000</v>
      </c>
      <c r="L127" s="14">
        <v>6000</v>
      </c>
      <c r="M127" s="14">
        <v>8000</v>
      </c>
      <c r="N127" s="14">
        <v>10000</v>
      </c>
      <c r="O127" s="14">
        <v>11000</v>
      </c>
      <c r="Q127" s="14" t="s">
        <v>118</v>
      </c>
    </row>
    <row r="128" spans="1:17">
      <c r="B128" s="1">
        <v>0</v>
      </c>
      <c r="C128" s="58">
        <f t="dataTable" ref="C128:G146" dt2D="1" dtr="1" r1="C4" r2="C3" ca="1"/>
        <v>7.2526229825133947E-6</v>
      </c>
      <c r="D128" s="58">
        <v>7.3945227588155977E-6</v>
      </c>
      <c r="E128" s="58">
        <v>7.5337441292887187E-6</v>
      </c>
      <c r="F128" s="58">
        <v>7.6704300940231786E-6</v>
      </c>
      <c r="G128" s="58">
        <v>7.7378636934819672E-6</v>
      </c>
      <c r="J128" s="1">
        <v>0</v>
      </c>
      <c r="K128" s="1">
        <f t="dataTable" ref="K128:O146" dt2D="1" dtr="1" r1="C4" r2="C3" ca="1"/>
        <v>0</v>
      </c>
      <c r="L128" s="1">
        <v>0</v>
      </c>
      <c r="M128" s="1">
        <v>0</v>
      </c>
      <c r="N128" s="1">
        <v>0</v>
      </c>
      <c r="O128" s="1">
        <v>0</v>
      </c>
      <c r="Q128" s="16"/>
    </row>
    <row r="129" spans="2:17">
      <c r="B129" s="1">
        <v>0.05</v>
      </c>
      <c r="C129" s="58">
        <v>7.6664504139221078E-6</v>
      </c>
      <c r="D129" s="58">
        <v>7.7975178660312806E-6</v>
      </c>
      <c r="E129" s="58">
        <v>7.9259741240523227E-6</v>
      </c>
      <c r="F129" s="58">
        <v>8.0519096478397373E-6</v>
      </c>
      <c r="G129" s="58">
        <v>8.1139578686291174E-6</v>
      </c>
      <c r="J129" s="1">
        <v>0.05</v>
      </c>
      <c r="K129" s="1">
        <v>16.228931051726903</v>
      </c>
      <c r="L129" s="1">
        <v>15.821418917959242</v>
      </c>
      <c r="M129" s="1">
        <v>15.403129229913361</v>
      </c>
      <c r="N129" s="1">
        <v>14.973158770588933</v>
      </c>
      <c r="O129" s="1">
        <v>14.753475194583501</v>
      </c>
      <c r="Q129" s="16">
        <f t="shared" ref="Q129:Q146" si="1">cabase/a0+cbbase/a0/J129</f>
        <v>6.4503047364925623E-7</v>
      </c>
    </row>
    <row r="130" spans="2:17">
      <c r="B130" s="1">
        <v>0.1</v>
      </c>
      <c r="C130" s="58">
        <v>8.1081958891313447E-6</v>
      </c>
      <c r="D130" s="58">
        <v>8.2262165744649443E-6</v>
      </c>
      <c r="E130" s="58">
        <v>8.3418601628245229E-6</v>
      </c>
      <c r="F130" s="58">
        <v>8.4551412695724336E-6</v>
      </c>
      <c r="G130" s="58">
        <v>8.5108997543955058E-6</v>
      </c>
      <c r="J130" s="1">
        <v>0.1</v>
      </c>
      <c r="K130" s="1">
        <v>32.457862103453806</v>
      </c>
      <c r="L130" s="1">
        <v>31.642837835918485</v>
      </c>
      <c r="M130" s="1">
        <v>30.806258459826722</v>
      </c>
      <c r="N130" s="1">
        <v>29.946317541177866</v>
      </c>
      <c r="O130" s="1">
        <v>29.506950389167002</v>
      </c>
      <c r="Q130" s="16">
        <f t="shared" si="1"/>
        <v>3.3941239046236493E-7</v>
      </c>
    </row>
    <row r="131" spans="2:17">
      <c r="B131" s="1">
        <v>0.15</v>
      </c>
      <c r="C131" s="58">
        <v>8.5801182313706294E-6</v>
      </c>
      <c r="D131" s="58">
        <v>8.6825447930868781E-6</v>
      </c>
      <c r="E131" s="58">
        <v>8.7830421561937059E-6</v>
      </c>
      <c r="F131" s="58">
        <v>8.8815177987906256E-6</v>
      </c>
      <c r="G131" s="58">
        <v>8.9299712193391951E-6</v>
      </c>
      <c r="J131" s="1">
        <v>0.15</v>
      </c>
      <c r="K131" s="1">
        <v>48.686793155180709</v>
      </c>
      <c r="L131" s="1">
        <v>47.46425675387772</v>
      </c>
      <c r="M131" s="1">
        <v>46.209387689740083</v>
      </c>
      <c r="N131" s="1">
        <v>44.919476311766793</v>
      </c>
      <c r="O131" s="1">
        <v>44.260425583750504</v>
      </c>
      <c r="Q131" s="16">
        <f t="shared" si="1"/>
        <v>2.3753969606673447E-7</v>
      </c>
    </row>
    <row r="132" spans="2:17">
      <c r="B132" s="1">
        <v>0.2</v>
      </c>
      <c r="C132" s="58">
        <v>9.0847705760526073E-6</v>
      </c>
      <c r="D132" s="58">
        <v>9.168663615768556E-6</v>
      </c>
      <c r="E132" s="58">
        <v>9.2513484104335588E-6</v>
      </c>
      <c r="F132" s="58">
        <v>9.332583296631578E-6</v>
      </c>
      <c r="G132" s="58">
        <v>9.3725897102775185E-6</v>
      </c>
      <c r="J132" s="1">
        <v>0.2</v>
      </c>
      <c r="K132" s="1">
        <v>64.915724206907612</v>
      </c>
      <c r="L132" s="1">
        <v>63.28567567183697</v>
      </c>
      <c r="M132" s="1">
        <v>61.612516919653444</v>
      </c>
      <c r="N132" s="1">
        <v>59.892635082355731</v>
      </c>
      <c r="O132" s="1">
        <v>59.013900778334005</v>
      </c>
      <c r="Q132" s="16">
        <f t="shared" si="1"/>
        <v>1.8660334886891923E-7</v>
      </c>
    </row>
    <row r="133" spans="2:17">
      <c r="B133" s="1">
        <v>0.25</v>
      </c>
      <c r="C133" s="58">
        <v>9.6250816743434682E-6</v>
      </c>
      <c r="D133" s="58">
        <v>9.6870326728956159E-6</v>
      </c>
      <c r="E133" s="58">
        <v>9.7488454084935044E-6</v>
      </c>
      <c r="F133" s="58">
        <v>9.8100724897187133E-6</v>
      </c>
      <c r="G133" s="58">
        <v>9.8403434732658075E-6</v>
      </c>
      <c r="J133" s="1">
        <v>0.25</v>
      </c>
      <c r="K133" s="1">
        <v>81.144655258634515</v>
      </c>
      <c r="L133" s="1">
        <v>79.107094589796205</v>
      </c>
      <c r="M133" s="1">
        <v>77.015646149566805</v>
      </c>
      <c r="N133" s="1">
        <v>74.865793852944662</v>
      </c>
      <c r="O133" s="1">
        <v>73.767375972917506</v>
      </c>
      <c r="Q133" s="16">
        <f t="shared" si="1"/>
        <v>1.560415405502301E-7</v>
      </c>
    </row>
    <row r="134" spans="2:17">
      <c r="B134" s="1">
        <v>0.3</v>
      </c>
      <c r="C134" s="44">
        <v>1.0204462142950604E-5</v>
      </c>
      <c r="D134" s="44">
        <v>1.0240491803085163E-5</v>
      </c>
      <c r="E134" s="44">
        <v>1.027790113133093E-5</v>
      </c>
      <c r="F134" s="44">
        <v>1.0315960269829218E-5</v>
      </c>
      <c r="G134" s="44">
        <v>1.0335035451380804E-5</v>
      </c>
      <c r="J134" s="1">
        <v>0.3</v>
      </c>
      <c r="K134" s="52">
        <v>97.373586310361418</v>
      </c>
      <c r="L134" s="52">
        <v>94.92851350775544</v>
      </c>
      <c r="M134" s="1">
        <v>92.418775379480167</v>
      </c>
      <c r="N134" s="1">
        <v>89.838952623533586</v>
      </c>
      <c r="O134" s="1">
        <v>88.520851167501007</v>
      </c>
      <c r="Q134" s="16">
        <f t="shared" si="1"/>
        <v>1.3566700167110402E-7</v>
      </c>
    </row>
    <row r="135" spans="2:17">
      <c r="B135" s="1">
        <v>0.35</v>
      </c>
      <c r="C135" s="44">
        <v>1.0826942824847931E-5</v>
      </c>
      <c r="D135" s="44">
        <v>1.0832365814481475E-5</v>
      </c>
      <c r="E135" s="44">
        <v>1.0841265092658752E-5</v>
      </c>
      <c r="F135" s="44">
        <v>1.0852523348554443E-5</v>
      </c>
      <c r="G135" s="44">
        <v>1.0858737559834667E-5</v>
      </c>
      <c r="J135" s="1">
        <v>0.35</v>
      </c>
      <c r="K135" s="52">
        <v>113.60251736208831</v>
      </c>
      <c r="L135" s="52">
        <v>110.74993242571468</v>
      </c>
      <c r="M135" s="1">
        <v>107.82190460939353</v>
      </c>
      <c r="N135" s="1">
        <v>104.81211139412252</v>
      </c>
      <c r="O135" s="1">
        <v>103.27432636208451</v>
      </c>
      <c r="Q135" s="16">
        <f t="shared" si="1"/>
        <v>1.2111375961458538E-7</v>
      </c>
    </row>
    <row r="136" spans="2:17">
      <c r="B136" s="1">
        <v>0.4</v>
      </c>
      <c r="C136" s="44">
        <v>1.1497355098499289E-5</v>
      </c>
      <c r="D136" s="44">
        <v>1.1466598750365759E-5</v>
      </c>
      <c r="E136" s="44">
        <v>1.1442169275279181E-5</v>
      </c>
      <c r="F136" s="44">
        <v>1.1422416791781837E-5</v>
      </c>
      <c r="G136" s="44">
        <v>1.1413857529312463E-5</v>
      </c>
      <c r="J136" s="1">
        <v>0.4</v>
      </c>
      <c r="K136" s="52">
        <v>129.83144841381522</v>
      </c>
      <c r="L136" s="52">
        <v>126.57135134367394</v>
      </c>
      <c r="M136" s="1">
        <v>123.22503383930689</v>
      </c>
      <c r="N136" s="1">
        <v>119.78527016471146</v>
      </c>
      <c r="O136" s="1">
        <v>118.02780155666801</v>
      </c>
      <c r="Q136" s="16">
        <f t="shared" si="1"/>
        <v>1.1019882807219641E-7</v>
      </c>
    </row>
    <row r="137" spans="2:17">
      <c r="B137" s="1">
        <v>0.45</v>
      </c>
      <c r="C137" s="44">
        <v>1.2221567041794943E-5</v>
      </c>
      <c r="D137" s="44">
        <v>1.2147926542951188E-5</v>
      </c>
      <c r="E137" s="44">
        <v>1.2084455665515058E-5</v>
      </c>
      <c r="F137" s="44">
        <v>1.2028769083814884E-5</v>
      </c>
      <c r="G137" s="44">
        <v>1.2003221233313963E-5</v>
      </c>
      <c r="J137" s="1">
        <v>0.45</v>
      </c>
      <c r="K137" s="52">
        <v>146.06037946554213</v>
      </c>
      <c r="L137" s="52">
        <v>142.39277026163316</v>
      </c>
      <c r="M137" s="1">
        <v>138.62816306922025</v>
      </c>
      <c r="N137" s="1">
        <v>134.7584289353004</v>
      </c>
      <c r="O137" s="1">
        <v>132.78127675125151</v>
      </c>
      <c r="Q137" s="16">
        <f t="shared" si="1"/>
        <v>1.0170943687256053E-7</v>
      </c>
    </row>
    <row r="138" spans="2:17">
      <c r="B138" s="1">
        <v>0.5</v>
      </c>
      <c r="C138" s="44">
        <v>1.3006795597072212E-5</v>
      </c>
      <c r="D138" s="44">
        <v>1.2882100655709509E-5</v>
      </c>
      <c r="E138" s="44">
        <v>1.2772738318156865E-5</v>
      </c>
      <c r="F138" s="44">
        <v>1.2675300726326275E-5</v>
      </c>
      <c r="G138" s="44">
        <v>1.2630174472894051E-5</v>
      </c>
      <c r="J138" s="1">
        <v>0.5</v>
      </c>
      <c r="K138" s="52">
        <v>162.28931051726903</v>
      </c>
      <c r="L138" s="52">
        <v>158.21418917959241</v>
      </c>
      <c r="M138" s="1">
        <v>154.03129229913361</v>
      </c>
      <c r="N138" s="1">
        <v>149.73158770588932</v>
      </c>
      <c r="O138" s="1">
        <v>147.53475194583501</v>
      </c>
      <c r="Q138" s="16">
        <f t="shared" si="1"/>
        <v>9.4917923912851843E-8</v>
      </c>
    </row>
    <row r="139" spans="2:17">
      <c r="B139" s="1">
        <v>0.55000000000000004</v>
      </c>
      <c r="C139" s="44">
        <v>1.3862024545910594E-5</v>
      </c>
      <c r="D139" s="44">
        <v>1.3676180936228105E-5</v>
      </c>
      <c r="E139" s="44">
        <v>1.3512611198762497E-5</v>
      </c>
      <c r="F139" s="44">
        <v>1.3366473352173547E-5</v>
      </c>
      <c r="G139" s="44">
        <v>1.3298709721609006E-5</v>
      </c>
      <c r="J139" s="1">
        <v>0.55000000000000004</v>
      </c>
      <c r="K139" s="52">
        <v>178.51824156899596</v>
      </c>
      <c r="L139" s="52">
        <v>174.03560809755166</v>
      </c>
      <c r="M139" s="1">
        <v>169.43442152904697</v>
      </c>
      <c r="N139" s="1">
        <v>164.70474647647828</v>
      </c>
      <c r="O139" s="1">
        <v>162.28822714041851</v>
      </c>
      <c r="Q139" s="16">
        <f t="shared" si="1"/>
        <v>8.9361231491271982E-8</v>
      </c>
    </row>
    <row r="140" spans="2:17">
      <c r="B140" s="1">
        <v>0.6</v>
      </c>
      <c r="C140" s="48">
        <v>1.4798573271772348E-5</v>
      </c>
      <c r="D140" s="48">
        <v>1.4538924484516781E-5</v>
      </c>
      <c r="E140" s="44">
        <v>1.4310917986648223E-5</v>
      </c>
      <c r="F140" s="44">
        <v>1.4107679211215295E-5</v>
      </c>
      <c r="G140" s="44">
        <v>1.4013625539168776E-5</v>
      </c>
      <c r="J140" s="1">
        <v>0.6</v>
      </c>
      <c r="K140" s="52">
        <v>194.74717262072284</v>
      </c>
      <c r="L140" s="52">
        <v>189.85702701551088</v>
      </c>
      <c r="M140" s="1">
        <v>184.83755075896033</v>
      </c>
      <c r="N140" s="1">
        <v>179.67790524706717</v>
      </c>
      <c r="O140" s="1">
        <v>177.04170233500201</v>
      </c>
      <c r="Q140" s="16">
        <f t="shared" si="1"/>
        <v>8.47306544732888E-8</v>
      </c>
    </row>
    <row r="141" spans="2:17">
      <c r="B141" s="1">
        <v>0.65</v>
      </c>
      <c r="C141" s="48">
        <v>1.5830885556559197E-5</v>
      </c>
      <c r="D141" s="48">
        <v>1.5481310635380618E-5</v>
      </c>
      <c r="E141" s="44">
        <v>1.5176107449063691E-5</v>
      </c>
      <c r="F141" s="44">
        <v>1.4905485101597749E-5</v>
      </c>
      <c r="G141" s="44">
        <v>1.4780729555135627E-5</v>
      </c>
      <c r="J141" s="1">
        <v>0.65</v>
      </c>
      <c r="K141" s="52">
        <v>210.97610367244974</v>
      </c>
      <c r="L141" s="52">
        <v>205.67844593347013</v>
      </c>
      <c r="M141" s="1">
        <v>200.24067998887369</v>
      </c>
      <c r="N141" s="1">
        <v>194.65106401765613</v>
      </c>
      <c r="O141" s="1">
        <v>191.79517752958552</v>
      </c>
      <c r="Q141" s="16">
        <f t="shared" si="1"/>
        <v>8.0812473919610692E-8</v>
      </c>
    </row>
    <row r="142" spans="2:17">
      <c r="B142" s="1">
        <v>0.7</v>
      </c>
      <c r="C142" s="48">
        <v>1.6977647415395982E-5</v>
      </c>
      <c r="D142" s="48">
        <v>1.6517263143597249E-5</v>
      </c>
      <c r="E142" s="44">
        <v>1.6118709342158109E-5</v>
      </c>
      <c r="F142" s="44">
        <v>1.5767951069377265E-5</v>
      </c>
      <c r="G142" s="44">
        <v>1.5607100589832109E-5</v>
      </c>
      <c r="J142" s="1">
        <v>0.7</v>
      </c>
      <c r="K142" s="1">
        <v>227.20503472417661</v>
      </c>
      <c r="L142" s="1">
        <v>221.49986485142935</v>
      </c>
      <c r="M142" s="1">
        <v>215.64380921878706</v>
      </c>
      <c r="N142" s="1">
        <v>209.62422278824505</v>
      </c>
      <c r="O142" s="1">
        <v>206.54865272416902</v>
      </c>
      <c r="Q142" s="16">
        <f t="shared" si="1"/>
        <v>7.7454033445029483E-8</v>
      </c>
    </row>
    <row r="143" spans="2:17">
      <c r="B143" s="1">
        <v>0.75</v>
      </c>
      <c r="C143" s="48">
        <v>1.826340998883332E-5</v>
      </c>
      <c r="D143" s="48">
        <v>1.7664664595375283E-5</v>
      </c>
      <c r="E143" s="44">
        <v>1.7151983465573351E-5</v>
      </c>
      <c r="F143" s="44">
        <v>1.6705053610440818E-5</v>
      </c>
      <c r="G143" s="44">
        <v>1.6501432395587756E-5</v>
      </c>
      <c r="J143" s="1">
        <v>0.75</v>
      </c>
      <c r="K143" s="1">
        <v>243.43396577590354</v>
      </c>
      <c r="L143" s="1">
        <v>237.32128376938863</v>
      </c>
      <c r="M143" s="1">
        <v>231.04693844870042</v>
      </c>
      <c r="N143" s="1">
        <v>224.597381558834</v>
      </c>
      <c r="O143" s="1">
        <v>221.30212791875252</v>
      </c>
      <c r="Q143" s="16">
        <f t="shared" si="1"/>
        <v>7.4543385033725743E-8</v>
      </c>
    </row>
    <row r="144" spans="2:17">
      <c r="B144" s="1">
        <v>0.8</v>
      </c>
      <c r="C144" s="48">
        <v>1.9721010260175203E-5</v>
      </c>
      <c r="D144" s="48">
        <v>1.8946814467874371E-5</v>
      </c>
      <c r="E144" s="44">
        <v>1.829282266828997E-5</v>
      </c>
      <c r="F144" s="44">
        <v>1.7729257560383502E-5</v>
      </c>
      <c r="G144" s="44">
        <v>1.7474491937869335E-5</v>
      </c>
      <c r="J144" s="1">
        <v>0.8</v>
      </c>
      <c r="K144" s="1">
        <v>259.66289682763045</v>
      </c>
      <c r="L144" s="1">
        <v>253.14270268734788</v>
      </c>
      <c r="M144" s="1">
        <v>246.45006767861378</v>
      </c>
      <c r="N144" s="1">
        <v>239.57054032942293</v>
      </c>
      <c r="O144" s="1">
        <v>236.05560311333602</v>
      </c>
      <c r="Q144" s="16">
        <f t="shared" si="1"/>
        <v>7.1996567673834982E-8</v>
      </c>
    </row>
    <row r="145" spans="2:17">
      <c r="B145" s="1">
        <v>0.85</v>
      </c>
      <c r="C145" s="48">
        <v>2.1395293612707824E-5</v>
      </c>
      <c r="D145" s="48">
        <v>2.0394578994414643E-5</v>
      </c>
      <c r="E145" s="44">
        <v>1.9563036719228283E-5</v>
      </c>
      <c r="F145" s="44">
        <v>1.8856303555078271E-5</v>
      </c>
      <c r="G145" s="44">
        <v>1.8539741215659627E-5</v>
      </c>
      <c r="J145" s="1">
        <v>0.85</v>
      </c>
      <c r="K145" s="1">
        <v>275.89182787935732</v>
      </c>
      <c r="L145" s="1">
        <v>268.96412160530707</v>
      </c>
      <c r="M145" s="1">
        <v>261.85319690852714</v>
      </c>
      <c r="N145" s="1">
        <v>254.54369910001185</v>
      </c>
      <c r="O145" s="1">
        <v>250.80907830791952</v>
      </c>
      <c r="Q145" s="16">
        <f t="shared" si="1"/>
        <v>6.9749375885696079E-8</v>
      </c>
    </row>
    <row r="146" spans="2:17">
      <c r="B146" s="1">
        <v>0.9</v>
      </c>
      <c r="C146" s="48">
        <v>2.3349041507735108E-5</v>
      </c>
      <c r="D146" s="48">
        <v>2.2049652971467382E-5</v>
      </c>
      <c r="E146" s="44">
        <v>2.0991221737400403E-5</v>
      </c>
      <c r="F146" s="44">
        <v>2.0106314501794945E-5</v>
      </c>
      <c r="G146" s="44">
        <v>1.9714196978864844E-5</v>
      </c>
      <c r="J146" s="1">
        <v>0.9</v>
      </c>
      <c r="K146" s="1">
        <v>292.12075893108425</v>
      </c>
      <c r="L146" s="1">
        <v>284.78554052326632</v>
      </c>
      <c r="M146" s="1">
        <v>277.2563261384405</v>
      </c>
      <c r="N146" s="1">
        <v>269.5168578706008</v>
      </c>
      <c r="O146" s="1">
        <v>265.56255350250302</v>
      </c>
      <c r="Q146" s="16">
        <f t="shared" si="1"/>
        <v>6.7751872074017043E-8</v>
      </c>
    </row>
    <row r="147" spans="2:17">
      <c r="B147" s="1"/>
      <c r="C147" s="48"/>
      <c r="D147" s="48"/>
      <c r="E147" s="44"/>
      <c r="F147" s="44"/>
      <c r="G147" s="44"/>
    </row>
    <row r="170" spans="10:10">
      <c r="J170" s="53" t="s">
        <v>97</v>
      </c>
    </row>
    <row r="171" spans="10:10">
      <c r="J171" s="53" t="s">
        <v>88</v>
      </c>
    </row>
    <row r="172" spans="10:10">
      <c r="J172" s="53" t="s">
        <v>86</v>
      </c>
    </row>
    <row r="180" spans="10:10">
      <c r="J180" s="53" t="s">
        <v>98</v>
      </c>
    </row>
    <row r="181" spans="10:10">
      <c r="J181" s="53" t="s">
        <v>90</v>
      </c>
    </row>
    <row r="182" spans="10:10">
      <c r="J182" s="53" t="s">
        <v>91</v>
      </c>
    </row>
    <row r="202" spans="1:7" ht="15.75">
      <c r="A202" s="54" t="s">
        <v>126</v>
      </c>
    </row>
    <row r="204" spans="1:7">
      <c r="C204" s="74" t="s">
        <v>94</v>
      </c>
      <c r="D204" s="74"/>
      <c r="E204" s="74"/>
    </row>
    <row r="205" spans="1:7">
      <c r="C205"/>
    </row>
    <row r="206" spans="1:7">
      <c r="B206" s="57"/>
      <c r="C206" s="14">
        <v>4000</v>
      </c>
      <c r="D206" s="14">
        <v>6000</v>
      </c>
      <c r="E206" s="14">
        <v>8000</v>
      </c>
      <c r="F206" s="14">
        <v>10000</v>
      </c>
      <c r="G206" s="14">
        <v>11000</v>
      </c>
    </row>
    <row r="207" spans="1:7">
      <c r="B207" s="1">
        <v>0</v>
      </c>
      <c r="C207" s="73"/>
      <c r="D207" s="73"/>
      <c r="E207" s="73"/>
      <c r="F207" s="73"/>
      <c r="G207" s="73"/>
    </row>
    <row r="208" spans="1:7">
      <c r="B208" s="1">
        <v>0.05</v>
      </c>
      <c r="C208" s="73">
        <f>$Q129*K129</f>
        <v>1.0468155083116527E-5</v>
      </c>
      <c r="D208" s="73">
        <f t="shared" ref="D208:G208" si="2">$Q129*L129</f>
        <v>1.0205297338454552E-5</v>
      </c>
      <c r="E208" s="73">
        <f t="shared" si="2"/>
        <v>9.9354877428517194E-6</v>
      </c>
      <c r="F208" s="73">
        <f t="shared" si="2"/>
        <v>9.6581436938184946E-6</v>
      </c>
      <c r="G208" s="73">
        <f t="shared" si="2"/>
        <v>9.516441092734749E-6</v>
      </c>
    </row>
    <row r="209" spans="2:7">
      <c r="B209" s="1">
        <v>0.1</v>
      </c>
      <c r="C209" s="73">
        <f t="shared" ref="C209:C225" si="3">$Q130*K130</f>
        <v>1.101660056583106E-5</v>
      </c>
      <c r="D209" s="73">
        <f t="shared" ref="D209:D225" si="4">$Q130*L130</f>
        <v>1.073997123090206E-5</v>
      </c>
      <c r="E209" s="73">
        <f t="shared" ref="E209:E225" si="5">$Q130*M130</f>
        <v>1.0456025825051241E-5</v>
      </c>
      <c r="F209" s="73">
        <f t="shared" ref="F209:F225" si="6">$Q130*N130</f>
        <v>1.016415122219623E-5</v>
      </c>
      <c r="G209" s="73">
        <f t="shared" ref="G209:G225" si="7">$Q130*O130</f>
        <v>1.0015024566841581E-5</v>
      </c>
    </row>
    <row r="210" spans="2:7">
      <c r="B210" s="1">
        <v>0.15</v>
      </c>
      <c r="C210" s="73">
        <f t="shared" si="3"/>
        <v>1.1565046048545594E-5</v>
      </c>
      <c r="D210" s="73">
        <f t="shared" si="4"/>
        <v>1.1274645123349563E-5</v>
      </c>
      <c r="E210" s="73">
        <f t="shared" si="5"/>
        <v>1.097656390725076E-5</v>
      </c>
      <c r="F210" s="73">
        <f t="shared" si="6"/>
        <v>1.0670158750573964E-5</v>
      </c>
      <c r="G210" s="73">
        <f t="shared" si="7"/>
        <v>1.0513608040948413E-5</v>
      </c>
    </row>
    <row r="211" spans="2:7">
      <c r="B211" s="1">
        <v>0.2</v>
      </c>
      <c r="C211" s="73">
        <f t="shared" si="3"/>
        <v>1.2113491531260126E-5</v>
      </c>
      <c r="D211" s="73">
        <f t="shared" si="4"/>
        <v>1.1809319015797069E-5</v>
      </c>
      <c r="E211" s="73">
        <f t="shared" si="5"/>
        <v>1.149710198945028E-5</v>
      </c>
      <c r="F211" s="73">
        <f t="shared" si="6"/>
        <v>1.1176166278951697E-5</v>
      </c>
      <c r="G211" s="73">
        <f t="shared" si="7"/>
        <v>1.1012191515055244E-5</v>
      </c>
    </row>
    <row r="212" spans="2:7">
      <c r="B212" s="1">
        <v>0.25</v>
      </c>
      <c r="C212" s="73">
        <f t="shared" si="3"/>
        <v>1.2661937013974661E-5</v>
      </c>
      <c r="D212" s="73">
        <f t="shared" si="4"/>
        <v>1.2343992908244573E-5</v>
      </c>
      <c r="E212" s="73">
        <f t="shared" si="5"/>
        <v>1.2017640071649801E-5</v>
      </c>
      <c r="F212" s="73">
        <f t="shared" si="6"/>
        <v>1.1682173807329432E-5</v>
      </c>
      <c r="G212" s="73">
        <f t="shared" si="7"/>
        <v>1.1510774989162076E-5</v>
      </c>
    </row>
    <row r="213" spans="2:7">
      <c r="B213" s="1">
        <v>0.3</v>
      </c>
      <c r="C213" s="73">
        <f t="shared" si="3"/>
        <v>1.3210382496689194E-5</v>
      </c>
      <c r="D213" s="73">
        <f t="shared" si="4"/>
        <v>1.2878666800692077E-5</v>
      </c>
      <c r="E213" s="73">
        <f t="shared" si="5"/>
        <v>1.2538178153849323E-5</v>
      </c>
      <c r="F213" s="73">
        <f t="shared" si="6"/>
        <v>1.2188181335707166E-5</v>
      </c>
      <c r="G213" s="73">
        <f t="shared" si="7"/>
        <v>1.200935846326891E-5</v>
      </c>
    </row>
    <row r="214" spans="2:7">
      <c r="B214" s="1">
        <v>0.35</v>
      </c>
      <c r="C214" s="73">
        <f t="shared" si="3"/>
        <v>1.3758827979403726E-5</v>
      </c>
      <c r="D214" s="73">
        <f t="shared" si="4"/>
        <v>1.3413340693139582E-5</v>
      </c>
      <c r="E214" s="73">
        <f t="shared" si="5"/>
        <v>1.3058716236048842E-5</v>
      </c>
      <c r="F214" s="73">
        <f t="shared" si="6"/>
        <v>1.2694188864084901E-5</v>
      </c>
      <c r="G214" s="73">
        <f t="shared" si="7"/>
        <v>1.2507941937375741E-5</v>
      </c>
    </row>
    <row r="215" spans="2:7">
      <c r="B215" s="1">
        <v>0.4</v>
      </c>
      <c r="C215" s="73">
        <f t="shared" si="3"/>
        <v>1.4307273462118261E-5</v>
      </c>
      <c r="D215" s="73">
        <f t="shared" si="4"/>
        <v>1.394801458558709E-5</v>
      </c>
      <c r="E215" s="73">
        <f t="shared" si="5"/>
        <v>1.3579254318248364E-5</v>
      </c>
      <c r="F215" s="73">
        <f t="shared" si="6"/>
        <v>1.3200196392462637E-5</v>
      </c>
      <c r="G215" s="73">
        <f t="shared" si="7"/>
        <v>1.3006525411482573E-5</v>
      </c>
    </row>
    <row r="216" spans="2:7">
      <c r="B216" s="1">
        <v>0.45</v>
      </c>
      <c r="C216" s="73">
        <f t="shared" si="3"/>
        <v>1.4855718944832793E-5</v>
      </c>
      <c r="D216" s="73">
        <f t="shared" si="4"/>
        <v>1.4482688478034592E-5</v>
      </c>
      <c r="E216" s="73">
        <f t="shared" si="5"/>
        <v>1.4099792400447884E-5</v>
      </c>
      <c r="F216" s="73">
        <f t="shared" si="6"/>
        <v>1.370620392084037E-5</v>
      </c>
      <c r="G216" s="73">
        <f t="shared" si="7"/>
        <v>1.3505108885589405E-5</v>
      </c>
    </row>
    <row r="217" spans="2:7">
      <c r="B217" s="1">
        <v>0.5</v>
      </c>
      <c r="C217" s="73">
        <f t="shared" si="3"/>
        <v>1.5404164427547329E-5</v>
      </c>
      <c r="D217" s="73">
        <f t="shared" si="4"/>
        <v>1.50173623704821E-5</v>
      </c>
      <c r="E217" s="73">
        <f t="shared" si="5"/>
        <v>1.4620330482647407E-5</v>
      </c>
      <c r="F217" s="73">
        <f t="shared" si="6"/>
        <v>1.4212211449218105E-5</v>
      </c>
      <c r="G217" s="73">
        <f t="shared" si="7"/>
        <v>1.4003692359696238E-5</v>
      </c>
    </row>
    <row r="218" spans="2:7">
      <c r="B218" s="1">
        <v>0.55000000000000004</v>
      </c>
      <c r="C218" s="73">
        <f t="shared" si="3"/>
        <v>1.5952609910261861E-5</v>
      </c>
      <c r="D218" s="73">
        <f t="shared" si="4"/>
        <v>1.5552036262929603E-5</v>
      </c>
      <c r="E218" s="73">
        <f t="shared" si="5"/>
        <v>1.5140868564846923E-5</v>
      </c>
      <c r="F218" s="73">
        <f t="shared" si="6"/>
        <v>1.4718218977595839E-5</v>
      </c>
      <c r="G218" s="73">
        <f t="shared" si="7"/>
        <v>1.4502275833803067E-5</v>
      </c>
    </row>
    <row r="219" spans="2:7">
      <c r="B219" s="1">
        <v>0.6</v>
      </c>
      <c r="C219" s="73">
        <f t="shared" si="3"/>
        <v>1.6501055392976396E-5</v>
      </c>
      <c r="D219" s="73">
        <f t="shared" si="4"/>
        <v>1.6086710155377109E-5</v>
      </c>
      <c r="E219" s="73">
        <f t="shared" si="5"/>
        <v>1.5661406647046448E-5</v>
      </c>
      <c r="F219" s="73">
        <f t="shared" si="6"/>
        <v>1.5224226505973573E-5</v>
      </c>
      <c r="G219" s="73">
        <f t="shared" si="7"/>
        <v>1.5000859307909902E-5</v>
      </c>
    </row>
    <row r="220" spans="2:7">
      <c r="B220" s="1">
        <v>0.65</v>
      </c>
      <c r="C220" s="73">
        <f t="shared" si="3"/>
        <v>1.7049500875690925E-5</v>
      </c>
      <c r="D220" s="73">
        <f t="shared" si="4"/>
        <v>1.6621384047824611E-5</v>
      </c>
      <c r="E220" s="73">
        <f t="shared" si="5"/>
        <v>1.6181944729245967E-5</v>
      </c>
      <c r="F220" s="73">
        <f t="shared" si="6"/>
        <v>1.5730234034351306E-5</v>
      </c>
      <c r="G220" s="73">
        <f t="shared" si="7"/>
        <v>1.5499442782016732E-5</v>
      </c>
    </row>
    <row r="221" spans="2:7">
      <c r="B221" s="1">
        <v>0.7</v>
      </c>
      <c r="C221" s="73">
        <f t="shared" si="3"/>
        <v>1.759794635840546E-5</v>
      </c>
      <c r="D221" s="73">
        <f t="shared" si="4"/>
        <v>1.7156057940272121E-5</v>
      </c>
      <c r="E221" s="73">
        <f t="shared" si="5"/>
        <v>1.670248281144549E-5</v>
      </c>
      <c r="F221" s="73">
        <f t="shared" si="6"/>
        <v>1.6236241562729043E-5</v>
      </c>
      <c r="G221" s="73">
        <f t="shared" si="7"/>
        <v>1.5998026256123566E-5</v>
      </c>
    </row>
    <row r="222" spans="2:7">
      <c r="B222" s="1">
        <v>0.75</v>
      </c>
      <c r="C222" s="73">
        <f t="shared" si="3"/>
        <v>1.8146391841119991E-5</v>
      </c>
      <c r="D222" s="73">
        <f t="shared" si="4"/>
        <v>1.7690731832719623E-5</v>
      </c>
      <c r="E222" s="73">
        <f t="shared" si="5"/>
        <v>1.7223020893645007E-5</v>
      </c>
      <c r="F222" s="73">
        <f t="shared" si="6"/>
        <v>1.6742249091106777E-5</v>
      </c>
      <c r="G222" s="73">
        <f t="shared" si="7"/>
        <v>1.6496609730230396E-5</v>
      </c>
    </row>
    <row r="223" spans="2:7">
      <c r="B223" s="1">
        <v>0.8</v>
      </c>
      <c r="C223" s="73">
        <f t="shared" si="3"/>
        <v>1.8694837323834527E-5</v>
      </c>
      <c r="D223" s="73">
        <f t="shared" si="4"/>
        <v>1.8225405725167129E-5</v>
      </c>
      <c r="E223" s="73">
        <f t="shared" si="5"/>
        <v>1.774355897584453E-5</v>
      </c>
      <c r="F223" s="73">
        <f t="shared" si="6"/>
        <v>1.724825661948451E-5</v>
      </c>
      <c r="G223" s="73">
        <f t="shared" si="7"/>
        <v>1.6995193204337229E-5</v>
      </c>
    </row>
    <row r="224" spans="2:7">
      <c r="B224" s="1">
        <v>0.85</v>
      </c>
      <c r="C224" s="73">
        <f t="shared" si="3"/>
        <v>1.9243282806549058E-5</v>
      </c>
      <c r="D224" s="73">
        <f t="shared" si="4"/>
        <v>1.8760079617614632E-5</v>
      </c>
      <c r="E224" s="73">
        <f t="shared" si="5"/>
        <v>1.8264097058044049E-5</v>
      </c>
      <c r="F224" s="73">
        <f t="shared" si="6"/>
        <v>1.7754264147862244E-5</v>
      </c>
      <c r="G224" s="73">
        <f t="shared" si="7"/>
        <v>1.7493776678444063E-5</v>
      </c>
    </row>
    <row r="225" spans="2:7">
      <c r="B225" s="1">
        <v>0.9</v>
      </c>
      <c r="C225" s="73">
        <f t="shared" si="3"/>
        <v>1.9791728289263593E-5</v>
      </c>
      <c r="D225" s="73">
        <f t="shared" si="4"/>
        <v>1.9294753510062138E-5</v>
      </c>
      <c r="E225" s="73">
        <f t="shared" si="5"/>
        <v>1.8784635140243569E-5</v>
      </c>
      <c r="F225" s="73">
        <f t="shared" si="6"/>
        <v>1.8260271676239978E-5</v>
      </c>
      <c r="G225" s="73">
        <f t="shared" si="7"/>
        <v>1.7992360152550893E-5</v>
      </c>
    </row>
  </sheetData>
  <mergeCells count="6">
    <mergeCell ref="C204:E204"/>
    <mergeCell ref="C49:E49"/>
    <mergeCell ref="K49:M49"/>
    <mergeCell ref="C125:E125"/>
    <mergeCell ref="G3:I6"/>
    <mergeCell ref="K125:M125"/>
  </mergeCells>
  <pageMargins left="0.70866141732283472" right="0.70866141732283472" top="0.31496062992125984" bottom="0.31496062992125984" header="0.31496062992125984" footer="0.31496062992125984"/>
  <pageSetup paperSize="9" scale="33" orientation="landscape" verticalDpi="0" r:id="rId1"/>
  <rowBreaks count="2" manualBreakCount="2">
    <brk id="45" max="16383" man="1"/>
    <brk id="120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topLeftCell="A25" workbookViewId="0">
      <selection activeCell="H67" sqref="H67"/>
    </sheetView>
  </sheetViews>
  <sheetFormatPr baseColWidth="10" defaultRowHeight="12.75"/>
  <sheetData>
    <row r="1" spans="1:1" ht="18">
      <c r="A1" s="18" t="s">
        <v>105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51"/>
  <sheetViews>
    <sheetView workbookViewId="0">
      <selection activeCell="A2" sqref="A2"/>
    </sheetView>
  </sheetViews>
  <sheetFormatPr baseColWidth="10" defaultRowHeight="12.75"/>
  <sheetData>
    <row r="1" spans="1:1" ht="18">
      <c r="A1" s="18" t="s">
        <v>106</v>
      </c>
    </row>
    <row r="3" spans="1:1">
      <c r="A3" t="s">
        <v>112</v>
      </c>
    </row>
    <row r="32" spans="1:9">
      <c r="A32" s="11"/>
      <c r="B32" s="11"/>
      <c r="C32" s="11"/>
      <c r="D32" s="11"/>
      <c r="E32" s="11"/>
      <c r="F32" s="11"/>
      <c r="G32" s="11"/>
      <c r="H32" s="11"/>
      <c r="I32" s="11"/>
    </row>
    <row r="51" spans="11:11">
      <c r="K51" s="10" t="s">
        <v>109</v>
      </c>
    </row>
  </sheetData>
  <hyperlinks>
    <hyperlink ref="K51" r:id="rId1"/>
  </hyperlinks>
  <pageMargins left="0.7" right="0.7" top="0.78740157499999996" bottom="0.78740157499999996" header="0.3" footer="0.3"/>
  <pageSetup paperSize="9" orientation="portrait" verticalDpi="0" r:id="rId2"/>
  <drawing r:id="rId3"/>
  <legacyDrawing r:id="rId4"/>
  <oleObjects>
    <oleObject progId="Equation.3" shapeId="2051" r:id="rId5"/>
    <oleObject progId="Equation.3" shapeId="2052" r:id="rId6"/>
    <oleObject progId="Equation.3" shapeId="2053" r:id="rId7"/>
    <oleObject progId="Equation.3" shapeId="2054" r:id="rId8"/>
    <oleObject progId="Equation.3" shapeId="2055" r:id="rId9"/>
    <oleObject progId="Equation.3" shapeId="2058" r:id="rId10"/>
    <oleObject progId="Equation.3" shapeId="2061" r:id="rId11"/>
    <oleObject progId="Equation.3" shapeId="2064" r:id="rId12"/>
    <oleObject progId="Equation.3" shapeId="2065" r:id="rId13"/>
    <oleObject progId="Equation.3" shapeId="2066" r:id="rId14"/>
    <oleObject progId="Equation.3" shapeId="2067" r:id="rId15"/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32</vt:i4>
      </vt:variant>
    </vt:vector>
  </HeadingPairs>
  <TitlesOfParts>
    <vt:vector size="35" baseType="lpstr">
      <vt:lpstr>SFC calculation</vt:lpstr>
      <vt:lpstr>Equations Herrmann</vt:lpstr>
      <vt:lpstr>Equations Roux-Scholz</vt:lpstr>
      <vt:lpstr>a</vt:lpstr>
      <vt:lpstr>a0</vt:lpstr>
      <vt:lpstr>BPR</vt:lpstr>
      <vt:lpstr>ca</vt:lpstr>
      <vt:lpstr>cabase</vt:lpstr>
      <vt:lpstr>cb</vt:lpstr>
      <vt:lpstr>cbbase</vt:lpstr>
      <vt:lpstr>chi</vt:lpstr>
      <vt:lpstr>DPP</vt:lpstr>
      <vt:lpstr>'SFC calculation'!Druckbereich</vt:lpstr>
      <vt:lpstr>eta_comp</vt:lpstr>
      <vt:lpstr>eta_fan</vt:lpstr>
      <vt:lpstr>eta_gasgen</vt:lpstr>
      <vt:lpstr>eta_inlet</vt:lpstr>
      <vt:lpstr>eta_noz</vt:lpstr>
      <vt:lpstr>eta_turb</vt:lpstr>
      <vt:lpstr>G</vt:lpstr>
      <vt:lpstr>gam</vt:lpstr>
      <vt:lpstr>HCR</vt:lpstr>
      <vt:lpstr>L</vt:lpstr>
      <vt:lpstr>MCR</vt:lpstr>
      <vt:lpstr>OAPR</vt:lpstr>
      <vt:lpstr>phi</vt:lpstr>
      <vt:lpstr>PSFC</vt:lpstr>
      <vt:lpstr>T</vt:lpstr>
      <vt:lpstr>T0</vt:lpstr>
      <vt:lpstr>TET</vt:lpstr>
      <vt:lpstr>theta</vt:lpstr>
      <vt:lpstr>TS</vt:lpstr>
      <vt:lpstr>TSFC</vt:lpstr>
      <vt:lpstr>TTO</vt:lpstr>
      <vt:lpstr>VCR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Scholz</dc:creator>
  <cp:lastModifiedBy>Dieter SCHOLZ</cp:lastModifiedBy>
  <cp:lastPrinted>2017-07-15T18:38:18Z</cp:lastPrinted>
  <dcterms:created xsi:type="dcterms:W3CDTF">2016-11-11T20:33:45Z</dcterms:created>
  <dcterms:modified xsi:type="dcterms:W3CDTF">2019-04-19T13:19:52Z</dcterms:modified>
</cp:coreProperties>
</file>