
<file path=[Content_Types].xml><?xml version="1.0" encoding="utf-8"?>
<Types xmlns="http://schemas.openxmlformats.org/package/2006/content-types">
  <Default Extension="bin" ContentType="application/vnd.openxmlformats-officedocument.oleObject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printerSettings/printerSettings1.bin" ContentType="application/vnd.openxmlformats-officedocument.spreadsheetml.printerSettings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Homepage\materialFE\"/>
    </mc:Choice>
  </mc:AlternateContent>
  <xr:revisionPtr revIDLastSave="0" documentId="13_ncr:1_{30A42875-C391-4222-B3E2-80ACC6096B5F}" xr6:coauthVersionLast="47" xr6:coauthVersionMax="47" xr10:uidLastSave="{00000000-0000-0000-0000-000000000000}"/>
  <bookViews>
    <workbookView xWindow="-120" yWindow="-120" windowWidth="19440" windowHeight="14880" tabRatio="732" xr2:uid="{00000000-000D-0000-FFFF-FFFF00000000}"/>
  </bookViews>
  <sheets>
    <sheet name="Abstract" sheetId="26" r:id="rId1"/>
    <sheet name="Preliminary Sizing I" sheetId="2" r:id="rId2"/>
    <sheet name="Max. Glide Ratio in Cruise" sheetId="17" r:id="rId3"/>
    <sheet name="Propeller Efficiency" sheetId="27" r:id="rId4"/>
    <sheet name="Preliminary Sizing II" sheetId="3" r:id="rId5"/>
    <sheet name="Matching Chart" sheetId="4" r:id="rId6"/>
    <sheet name="Parameters-Statistics" sheetId="24" r:id="rId7"/>
    <sheet name="Help" sheetId="29" r:id="rId8"/>
    <sheet name="(c)" sheetId="30" r:id="rId9"/>
    <sheet name="Tabelle5" sheetId="5" state="hidden" r:id="rId10"/>
    <sheet name="Tabelle6" sheetId="6" state="hidden" r:id="rId11"/>
    <sheet name="Tabelle7" sheetId="7" state="hidden" r:id="rId12"/>
    <sheet name="Tabelle8" sheetId="8" state="hidden" r:id="rId13"/>
    <sheet name="Tabelle9" sheetId="9" state="hidden" r:id="rId14"/>
    <sheet name="Tabelle10" sheetId="10" state="hidden" r:id="rId15"/>
    <sheet name="Tabelle11" sheetId="11" state="hidden" r:id="rId16"/>
    <sheet name="Tabelle12" sheetId="12" state="hidden" r:id="rId17"/>
    <sheet name="Tabelle13" sheetId="13" state="hidden" r:id="rId18"/>
    <sheet name="Tabelle14" sheetId="14" state="hidden" r:id="rId19"/>
    <sheet name="Tabelle15" sheetId="15" state="hidden" r:id="rId20"/>
    <sheet name="Tabelle16" sheetId="16" state="hidden" r:id="rId21"/>
  </sheets>
  <externalReferences>
    <externalReference r:id="rId22"/>
    <externalReference r:id="rId23"/>
    <externalReference r:id="rId24"/>
    <externalReference r:id="rId25"/>
    <externalReference r:id="rId26"/>
  </externalReferences>
  <definedNames>
    <definedName name="_z">'[1]Input Data'!$E$12</definedName>
    <definedName name="A" localSheetId="8">'[1]Input Data'!$E$47</definedName>
    <definedName name="A">[2]Inputs_Outputs!$B$4</definedName>
    <definedName name="a_sound">[2]Inputs_Outputs!$J$5</definedName>
    <definedName name="Acoef">'Preliminary Sizing II'!$I$19</definedName>
    <definedName name="Airfoil">'[1]Input Data'!$I$27</definedName>
    <definedName name="Airfoil_transition">[3]Results!$Q$14</definedName>
    <definedName name="AirfoilTransition">'[1]Input Data'!#REF!</definedName>
    <definedName name="Alpha_min">'[1]Subroutine Xi'!$B$3</definedName>
    <definedName name="AOA_EpsilonMax_NACA0012">[1]Airfoils!$L$5</definedName>
    <definedName name="AOA_EpsilonMax_NACA0015">[1]Airfoils!$D$5</definedName>
    <definedName name="AOA_EpsilonMax_NACA0018">[1]Airfoils!$T$5</definedName>
    <definedName name="Beta0">'[1]Input Data'!$M$12</definedName>
    <definedName name="BetaS">'[1]Input Data'!$M$14</definedName>
    <definedName name="Betat">'[1]Input Data'!$M$10</definedName>
    <definedName name="BPR">[2]Inputs_Outputs!$F$3</definedName>
    <definedName name="c_dw">[2]Fuel!$C$23</definedName>
    <definedName name="Cd">[2]Fuel!$C$31</definedName>
    <definedName name="Cd0">[2]Fuel!$C$28</definedName>
    <definedName name="Cdoc">[2]DOC!$C$92</definedName>
    <definedName name="CF_AIC">[2]Environmental!$C$65</definedName>
    <definedName name="CF_NOx">[2]Environmental!$C$64</definedName>
    <definedName name="CL" localSheetId="8">[2]Fuel!$C$29</definedName>
    <definedName name="CL">'Preliminary Sizing II'!$G$9</definedName>
    <definedName name="CL_m" localSheetId="8">#REF!</definedName>
    <definedName name="CL_m">'Preliminary Sizing II'!$C$11</definedName>
    <definedName name="d_f">[2]Inputs_Outputs!#REF!</definedName>
    <definedName name="Delta_R">'[1]Input Data'!$E$22</definedName>
    <definedName name="Delta_Theta">'[1]Input Data'!$E$20</definedName>
    <definedName name="df">[2]Inputs_Outputs!#REF!</definedName>
    <definedName name="DmG">'[4]Schneeballfaktor '!$B$32</definedName>
    <definedName name="DmL">'[4]Schneeballfaktor '!$B$4</definedName>
    <definedName name="e" localSheetId="8">[2]Fuel!$C$15</definedName>
    <definedName name="e">'Preliminary Sizing II'!$C$23</definedName>
    <definedName name="E_glide">[2]Fuel!$C$33</definedName>
    <definedName name="EI_NOx">[2]Environmental!$C$50</definedName>
    <definedName name="euler">'Preliminary Sizing II'!$C$23</definedName>
    <definedName name="FL">'[2]Flight time'!$B$167</definedName>
    <definedName name="fuel_km">[2]Fuel!$I$41</definedName>
    <definedName name="fuel_mile">[2]Fuel!$I$42</definedName>
    <definedName name="g" localSheetId="8">[2]Inputs_Outputs!$N$2</definedName>
    <definedName name="g">'Preliminary Sizing II'!$C$21</definedName>
    <definedName name="gamma" localSheetId="8">#REF!</definedName>
    <definedName name="gamma">'Preliminary Sizing II'!$C$20</definedName>
    <definedName name="H">[2]Inputs_Outputs!$J$3</definedName>
    <definedName name="Hft">[2]Inputs_Outputs!$J$4</definedName>
    <definedName name="k_inf">[2]DOC!$C$10</definedName>
    <definedName name="Kappa">'[1]Input Data'!$H$4</definedName>
    <definedName name="L" localSheetId="8">'[1]Input Data'!$E$8</definedName>
    <definedName name="L">'Preliminary Sizing II'!$C$24</definedName>
    <definedName name="L_D" localSheetId="8">#REF!</definedName>
    <definedName name="L_D">'Preliminary Sizing II'!$G$10</definedName>
    <definedName name="L_D_max" localSheetId="8">#REF!</definedName>
    <definedName name="L_D_max">'Preliminary Sizing II'!$C$7</definedName>
    <definedName name="L0">'[1]Input Data'!$E$10</definedName>
    <definedName name="M" localSheetId="8">[2]Inputs_Outputs!$J$2</definedName>
    <definedName name="M">'Preliminary Sizing II'!$C$12</definedName>
    <definedName name="m_e">[2]Inputs_Outputs!$F$8</definedName>
    <definedName name="M_opt">[2]Inputs_Outputs!$B$13</definedName>
    <definedName name="m_PL">[2]DOC!$C$84</definedName>
    <definedName name="m_PLmax">[2]Inputs_Outputs!$B$10</definedName>
    <definedName name="mcoef">'Preliminary Sizing II'!$I$20</definedName>
    <definedName name="mF">'[4]Schneeballfaktor '!$B$9</definedName>
    <definedName name="Mff">[2]DOC!$C$43</definedName>
    <definedName name="mFmMTO">'[4]Schneeballfaktor '!$B$8</definedName>
    <definedName name="mFOB">[2]DOC!$C$50</definedName>
    <definedName name="mMPL">'[4]Schneeballfaktor '!$B$10</definedName>
    <definedName name="mMTO" localSheetId="8">'[4]Schneeballfaktor '!$B$5</definedName>
    <definedName name="mMTO">[5]Tabelle1!$B$17</definedName>
    <definedName name="mMTOG">'[4]Schneeballfaktor '!$B$13</definedName>
    <definedName name="mOE" localSheetId="8">'[4]Schneeballfaktor '!$B$7</definedName>
    <definedName name="mOE">[5]Tabelle1!$B$18</definedName>
    <definedName name="mOEmMTO">'[4]Schneeballfaktor '!$B$6</definedName>
    <definedName name="mPL">[5]Tabelle1!$B$19</definedName>
    <definedName name="MTOW">[2]Inputs_Outputs!$B$2</definedName>
    <definedName name="MZFW">[2]Inputs_Outputs!$B$6</definedName>
    <definedName name="n_E">[2]Inputs_Outputs!$F$2</definedName>
    <definedName name="n_PAX">[2]Inputs_Outputs!$B$11</definedName>
    <definedName name="n_shafts">[2]Inputs_Outputs!$F$7</definedName>
    <definedName name="n_stages">[2]Inputs_Outputs!$F$6</definedName>
    <definedName name="nacas">'[1]Input Data'!$F$30:$F$32</definedName>
    <definedName name="ncoef">'Preliminary Sizing II'!$I$21</definedName>
    <definedName name="nt_a">[2]DOC!$C$40</definedName>
    <definedName name="OAPR">[2]Inputs_Outputs!$F$5</definedName>
    <definedName name="OEW">[2]Inputs_Outputs!$B$9</definedName>
    <definedName name="on_off">[1]Airfoils!$AB$50:$AB$51</definedName>
    <definedName name="p">[2]Inputs_Outputs!$J$7</definedName>
    <definedName name="p_t">[2]Inputs_Outputs!$N$9</definedName>
    <definedName name="p0" localSheetId="8">[2]Inputs_Outputs!$N$6</definedName>
    <definedName name="p0">'Preliminary Sizing II'!$C$22</definedName>
    <definedName name="phi">[2]Inputs_Outputs!$B$7</definedName>
    <definedName name="phi_rad">[2]Inputs_Outputs!$B$8</definedName>
    <definedName name="price_fuel">[2]DOC!$C$7</definedName>
    <definedName name="Prop_eff_formula">'Propeller Efficiency'!$C$5</definedName>
    <definedName name="propefcruise">'Preliminary Sizing II'!$C$17</definedName>
    <definedName name="Q">'[1]Input Data'!$E$39</definedName>
    <definedName name="R_const">[2]Inputs_Outputs!$N$3</definedName>
    <definedName name="Radius">'[1]Input Data'!$E$41</definedName>
    <definedName name="range" localSheetId="8">[2]Inputs_Outputs!$J$12</definedName>
    <definedName name="Range">#REF!</definedName>
    <definedName name="range_added">'[2]Flight time'!$B$170</definedName>
    <definedName name="range_mile">[2]DOC!$D$41</definedName>
    <definedName name="Rconstant">'Preliminary Sizing II'!$C$25</definedName>
    <definedName name="Res">#REF!</definedName>
    <definedName name="Reynolds">[1]Airfoils!$AB$46:$AB$48</definedName>
    <definedName name="rho">[2]Inputs_Outputs!$J$8</definedName>
    <definedName name="rho_t">[2]Inputs_Outputs!$N$10</definedName>
    <definedName name="rho0">[2]Inputs_Outputs!$N$7</definedName>
    <definedName name="Root">[1]Results!#REF!</definedName>
    <definedName name="Rt">'[1]Input Data'!$E$37</definedName>
    <definedName name="solver_eng" localSheetId="4" hidden="1">1</definedName>
    <definedName name="solver_lin" localSheetId="4" hidden="1">2</definedName>
    <definedName name="solver_neg" localSheetId="4" hidden="1">1</definedName>
    <definedName name="solver_num" localSheetId="4" hidden="1">0</definedName>
    <definedName name="solver_opt" localSheetId="4" hidden="1">'Preliminary Sizing II'!$L$58</definedName>
    <definedName name="solver_typ" localSheetId="4" hidden="1">1</definedName>
    <definedName name="solver_val" localSheetId="4" hidden="1">0</definedName>
    <definedName name="solver_ver" localSheetId="4" hidden="1">2</definedName>
    <definedName name="SS">[2]Inputs_Outputs!$B$3</definedName>
    <definedName name="Swet">[2]Inputs_Outputs!#REF!</definedName>
    <definedName name="t" localSheetId="8">'[1]Input Data'!$E$43</definedName>
    <definedName name="T">[2]Inputs_Outputs!$J$6</definedName>
    <definedName name="T_t">[2]Inputs_Outputs!$N$8</definedName>
    <definedName name="T_to">[2]Inputs_Outputs!$F$4</definedName>
    <definedName name="t0" localSheetId="8">'[1]Input Data'!$M$6</definedName>
    <definedName name="T0">'Preliminary Sizing II'!$C$26</definedName>
    <definedName name="TAS">[2]Inputs_Outputs!$J$10</definedName>
    <definedName name="TAS_regulated">'[2]Flight time'!$B$166</definedName>
    <definedName name="Tau">'[1]Input Data'!$H$6</definedName>
    <definedName name="tb">[2]DOC!$C$79</definedName>
    <definedName name="tf">[2]DOC!$C$59</definedName>
    <definedName name="tf_added">'[2]Flight time'!$B$168</definedName>
    <definedName name="TSFC">[2]Fuel!$I$35</definedName>
    <definedName name="tt">'[1]Input Data'!$R$4</definedName>
    <definedName name="U">'[1]Input Data'!$E$45</definedName>
    <definedName name="Uaf">[2]DOC!$C$96</definedName>
    <definedName name="V_CR">#REF!</definedName>
    <definedName name="Vcr_Vmd">[5]Tabelle1!$B$23</definedName>
    <definedName name="Vcruise">#REF!</definedName>
    <definedName name="w">'[1]Input Data'!$H$14</definedName>
    <definedName name="w_co2">[2]Inputs_Outputs!$B$164</definedName>
    <definedName name="w_doc">[2]Inputs_Outputs!$B$157</definedName>
    <definedName name="w_env">[2]Inputs_Outputs!$B$158</definedName>
    <definedName name="w_resource">[2]Inputs_Outputs!$B$163</definedName>
    <definedName name="Xn">#REF!</definedName>
    <definedName name="xxxx">#REF!</definedName>
    <definedName name="xxxxx">#REF!</definedName>
    <definedName name="YA">#REF!</definedName>
    <definedName name="ρ0">#REF!</definedName>
  </definedNames>
  <calcPr calcId="191029" iterate="1" iterateCount="75" iterateDelta="0.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27" l="1"/>
  <c r="C5" i="27"/>
  <c r="D19" i="29" s="1"/>
  <c r="F133" i="3"/>
  <c r="J21" i="24"/>
  <c r="C122" i="3"/>
  <c r="C116" i="3" l="1"/>
  <c r="C118" i="3" s="1"/>
  <c r="C16" i="2"/>
  <c r="C39" i="2"/>
  <c r="D97" i="24"/>
  <c r="D96" i="24"/>
  <c r="D95" i="24"/>
  <c r="D94" i="24"/>
  <c r="D93" i="24"/>
  <c r="D92" i="24"/>
  <c r="D91" i="24"/>
  <c r="D90" i="24"/>
  <c r="D89" i="24"/>
  <c r="D88" i="24"/>
  <c r="D87" i="24"/>
  <c r="D86" i="24"/>
  <c r="E37" i="24"/>
  <c r="J60" i="24"/>
  <c r="M80" i="24"/>
  <c r="E7" i="24"/>
  <c r="H7" i="24"/>
  <c r="I7" i="24" s="1"/>
  <c r="J7" i="24" s="1"/>
  <c r="G8" i="24"/>
  <c r="H8" i="24"/>
  <c r="G9" i="24"/>
  <c r="H9" i="24"/>
  <c r="G10" i="24"/>
  <c r="H10" i="24"/>
  <c r="G11" i="24"/>
  <c r="H11" i="24"/>
  <c r="I11" i="24" s="1"/>
  <c r="J11" i="24" s="1"/>
  <c r="G12" i="24"/>
  <c r="H12" i="24"/>
  <c r="G13" i="24"/>
  <c r="H13" i="24"/>
  <c r="G14" i="24"/>
  <c r="H14" i="24"/>
  <c r="G15" i="24"/>
  <c r="H15" i="24"/>
  <c r="G16" i="24"/>
  <c r="H16" i="24"/>
  <c r="H17" i="24"/>
  <c r="I17" i="24" s="1"/>
  <c r="J17" i="24" s="1"/>
  <c r="G18" i="24"/>
  <c r="H18" i="24"/>
  <c r="G19" i="24"/>
  <c r="H19" i="24"/>
  <c r="G20" i="24"/>
  <c r="H20" i="24"/>
  <c r="B28" i="24"/>
  <c r="C28" i="24" s="1"/>
  <c r="E28" i="24"/>
  <c r="B29" i="24"/>
  <c r="C29" i="24" s="1"/>
  <c r="E29" i="24"/>
  <c r="B30" i="24"/>
  <c r="C30" i="24" s="1"/>
  <c r="E30" i="24"/>
  <c r="B31" i="24"/>
  <c r="C31" i="24" s="1"/>
  <c r="E31" i="24"/>
  <c r="B32" i="24"/>
  <c r="C32" i="24" s="1"/>
  <c r="E32" i="24"/>
  <c r="B33" i="24"/>
  <c r="C33" i="24" s="1"/>
  <c r="E33" i="24"/>
  <c r="C34" i="24"/>
  <c r="E34" i="24"/>
  <c r="C35" i="24"/>
  <c r="E35" i="24"/>
  <c r="B49" i="24"/>
  <c r="E49" i="24"/>
  <c r="G49" i="24"/>
  <c r="H49" i="24" s="1"/>
  <c r="J49" i="24" s="1"/>
  <c r="B50" i="24"/>
  <c r="E50" i="24"/>
  <c r="G50" i="24"/>
  <c r="H50" i="24" s="1"/>
  <c r="J50" i="24" s="1"/>
  <c r="B51" i="24"/>
  <c r="E51" i="24"/>
  <c r="G51" i="24"/>
  <c r="H51" i="24" s="1"/>
  <c r="J51" i="24" s="1"/>
  <c r="B52" i="24"/>
  <c r="I52" i="24" s="1"/>
  <c r="E52" i="24"/>
  <c r="G52" i="24"/>
  <c r="H52" i="24" s="1"/>
  <c r="J52" i="24" s="1"/>
  <c r="B53" i="24"/>
  <c r="E53" i="24"/>
  <c r="G53" i="24"/>
  <c r="H53" i="24"/>
  <c r="J53" i="24" s="1"/>
  <c r="B54" i="24"/>
  <c r="E54" i="24"/>
  <c r="G54" i="24"/>
  <c r="H54" i="24" s="1"/>
  <c r="J54" i="24" s="1"/>
  <c r="B55" i="24"/>
  <c r="I55" i="24" s="1"/>
  <c r="E55" i="24"/>
  <c r="G55" i="24"/>
  <c r="H55" i="24" s="1"/>
  <c r="J55" i="24" s="1"/>
  <c r="B56" i="24"/>
  <c r="E56" i="24"/>
  <c r="G56" i="24"/>
  <c r="H56" i="24" s="1"/>
  <c r="J56" i="24" s="1"/>
  <c r="B57" i="24"/>
  <c r="I57" i="24" s="1"/>
  <c r="E57" i="24"/>
  <c r="G57" i="24"/>
  <c r="H57" i="24" s="1"/>
  <c r="J57" i="24" s="1"/>
  <c r="B58" i="24"/>
  <c r="E58" i="24"/>
  <c r="H58" i="24"/>
  <c r="J58" i="24" s="1"/>
  <c r="G69" i="24"/>
  <c r="I69" i="24" s="1"/>
  <c r="K69" i="24" s="1"/>
  <c r="M69" i="24"/>
  <c r="G70" i="24"/>
  <c r="I70" i="24" s="1"/>
  <c r="K70" i="24" s="1"/>
  <c r="M70" i="24"/>
  <c r="G71" i="24"/>
  <c r="I71" i="24" s="1"/>
  <c r="K71" i="24" s="1"/>
  <c r="M71" i="24"/>
  <c r="G72" i="24"/>
  <c r="I72" i="24" s="1"/>
  <c r="K72" i="24" s="1"/>
  <c r="M72" i="24"/>
  <c r="G73" i="24"/>
  <c r="I73" i="24" s="1"/>
  <c r="K73" i="24" s="1"/>
  <c r="M73" i="24"/>
  <c r="G74" i="24"/>
  <c r="I74" i="24" s="1"/>
  <c r="K74" i="24" s="1"/>
  <c r="M74" i="24"/>
  <c r="G75" i="24"/>
  <c r="I75" i="24" s="1"/>
  <c r="K75" i="24" s="1"/>
  <c r="M75" i="24"/>
  <c r="G76" i="24"/>
  <c r="I76" i="24" s="1"/>
  <c r="K76" i="24" s="1"/>
  <c r="M76" i="24"/>
  <c r="G77" i="24"/>
  <c r="I77" i="24"/>
  <c r="K77" i="24" s="1"/>
  <c r="M77" i="24"/>
  <c r="G78" i="24"/>
  <c r="I78" i="24" s="1"/>
  <c r="K78" i="24" s="1"/>
  <c r="M78" i="24"/>
  <c r="C28" i="2"/>
  <c r="C78" i="2"/>
  <c r="C80" i="2" s="1"/>
  <c r="C84" i="2"/>
  <c r="C93" i="2"/>
  <c r="C57" i="2"/>
  <c r="C59" i="2"/>
  <c r="C72" i="2"/>
  <c r="C12" i="2"/>
  <c r="C19" i="2"/>
  <c r="C41" i="2"/>
  <c r="C83" i="2"/>
  <c r="C8" i="17"/>
  <c r="C20" i="17"/>
  <c r="G8" i="3"/>
  <c r="C24" i="3"/>
  <c r="C51" i="3" s="1"/>
  <c r="C125" i="3"/>
  <c r="C84" i="3"/>
  <c r="C86" i="3"/>
  <c r="F88" i="3" s="1"/>
  <c r="C91" i="3" s="1"/>
  <c r="C98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D55" i="3"/>
  <c r="G55" i="3" s="1"/>
  <c r="D54" i="3"/>
  <c r="G54" i="3" s="1"/>
  <c r="D53" i="3"/>
  <c r="G53" i="3" s="1"/>
  <c r="D52" i="3"/>
  <c r="G52" i="3" s="1"/>
  <c r="C8" i="3"/>
  <c r="I52" i="3"/>
  <c r="I53" i="3"/>
  <c r="I54" i="3"/>
  <c r="I55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C88" i="3"/>
  <c r="C99" i="3"/>
  <c r="C121" i="3"/>
  <c r="I130" i="3"/>
  <c r="I16" i="24" l="1"/>
  <c r="J16" i="24" s="1"/>
  <c r="D98" i="24"/>
  <c r="I49" i="24"/>
  <c r="I13" i="24"/>
  <c r="J13" i="24" s="1"/>
  <c r="I9" i="24"/>
  <c r="J9" i="24" s="1"/>
  <c r="I56" i="24"/>
  <c r="I51" i="24"/>
  <c r="I8" i="24"/>
  <c r="J8" i="24" s="1"/>
  <c r="I53" i="24"/>
  <c r="I14" i="24"/>
  <c r="J14" i="24" s="1"/>
  <c r="I10" i="24"/>
  <c r="J10" i="24" s="1"/>
  <c r="I20" i="24"/>
  <c r="J20" i="24" s="1"/>
  <c r="I12" i="24"/>
  <c r="J12" i="24" s="1"/>
  <c r="I15" i="24"/>
  <c r="J15" i="24" s="1"/>
  <c r="I19" i="24"/>
  <c r="J19" i="24" s="1"/>
  <c r="I58" i="24"/>
  <c r="I18" i="24"/>
  <c r="J18" i="24" s="1"/>
  <c r="I54" i="24"/>
  <c r="I50" i="24"/>
  <c r="C43" i="2"/>
  <c r="C44" i="2" s="1"/>
  <c r="C45" i="2" s="1"/>
  <c r="F89" i="3"/>
  <c r="C21" i="17"/>
  <c r="C7" i="3" s="1"/>
  <c r="G10" i="3" s="1"/>
  <c r="C32" i="3"/>
  <c r="I32" i="3" s="1"/>
  <c r="C60" i="2"/>
  <c r="C62" i="2" s="1"/>
  <c r="C64" i="2" s="1"/>
  <c r="C29" i="3"/>
  <c r="C39" i="3"/>
  <c r="D39" i="3" s="1"/>
  <c r="G39" i="3" s="1"/>
  <c r="C43" i="3"/>
  <c r="D43" i="3" s="1"/>
  <c r="G43" i="3" s="1"/>
  <c r="C38" i="3"/>
  <c r="C44" i="3"/>
  <c r="C31" i="3"/>
  <c r="C46" i="3"/>
  <c r="C47" i="3"/>
  <c r="C45" i="3"/>
  <c r="C34" i="3"/>
  <c r="I34" i="3" s="1"/>
  <c r="C41" i="3"/>
  <c r="C48" i="3"/>
  <c r="C35" i="3"/>
  <c r="I35" i="3" s="1"/>
  <c r="C49" i="3"/>
  <c r="I49" i="3" s="1"/>
  <c r="C36" i="3"/>
  <c r="C42" i="3"/>
  <c r="C50" i="3"/>
  <c r="D51" i="3"/>
  <c r="G51" i="3" s="1"/>
  <c r="I51" i="3"/>
  <c r="C30" i="3"/>
  <c r="C33" i="3"/>
  <c r="C37" i="3"/>
  <c r="C40" i="3"/>
  <c r="C17" i="2"/>
  <c r="C21" i="2"/>
  <c r="C85" i="2"/>
  <c r="C86" i="2" s="1"/>
  <c r="J23" i="24" l="1"/>
  <c r="C46" i="2"/>
  <c r="C10" i="3"/>
  <c r="C11" i="3"/>
  <c r="G9" i="3" s="1"/>
  <c r="F48" i="3" s="1"/>
  <c r="D35" i="3"/>
  <c r="G35" i="3" s="1"/>
  <c r="D32" i="3"/>
  <c r="G32" i="3" s="1"/>
  <c r="I43" i="3"/>
  <c r="I39" i="3"/>
  <c r="D29" i="3"/>
  <c r="G29" i="3" s="1"/>
  <c r="I29" i="3"/>
  <c r="D47" i="3"/>
  <c r="G47" i="3" s="1"/>
  <c r="I47" i="3"/>
  <c r="D44" i="3"/>
  <c r="G44" i="3" s="1"/>
  <c r="I44" i="3"/>
  <c r="D34" i="3"/>
  <c r="G34" i="3" s="1"/>
  <c r="I46" i="3"/>
  <c r="D46" i="3"/>
  <c r="G46" i="3" s="1"/>
  <c r="D31" i="3"/>
  <c r="G31" i="3" s="1"/>
  <c r="I31" i="3"/>
  <c r="I38" i="3"/>
  <c r="D38" i="3"/>
  <c r="G38" i="3" s="1"/>
  <c r="D41" i="3"/>
  <c r="G41" i="3" s="1"/>
  <c r="I41" i="3"/>
  <c r="D48" i="3"/>
  <c r="G48" i="3" s="1"/>
  <c r="I48" i="3"/>
  <c r="D42" i="3"/>
  <c r="G42" i="3" s="1"/>
  <c r="I42" i="3"/>
  <c r="I50" i="3"/>
  <c r="D50" i="3"/>
  <c r="G50" i="3" s="1"/>
  <c r="D49" i="3"/>
  <c r="G49" i="3" s="1"/>
  <c r="I36" i="3"/>
  <c r="D36" i="3"/>
  <c r="G36" i="3" s="1"/>
  <c r="D45" i="3"/>
  <c r="G45" i="3" s="1"/>
  <c r="I45" i="3"/>
  <c r="D40" i="3"/>
  <c r="G40" i="3" s="1"/>
  <c r="I40" i="3"/>
  <c r="I30" i="3"/>
  <c r="D30" i="3"/>
  <c r="G30" i="3" s="1"/>
  <c r="I37" i="3"/>
  <c r="D37" i="3"/>
  <c r="G37" i="3" s="1"/>
  <c r="D33" i="3"/>
  <c r="G33" i="3" s="1"/>
  <c r="I33" i="3"/>
  <c r="C22" i="2"/>
  <c r="C26" i="2" s="1"/>
  <c r="C32" i="2" s="1"/>
  <c r="C33" i="2" s="1"/>
  <c r="C59" i="3" s="1"/>
  <c r="M130" i="3" s="1"/>
  <c r="C89" i="2"/>
  <c r="C68" i="2"/>
  <c r="F36" i="3" l="1"/>
  <c r="F44" i="3"/>
  <c r="F37" i="3"/>
  <c r="F32" i="3"/>
  <c r="F46" i="3"/>
  <c r="F45" i="3"/>
  <c r="F40" i="3"/>
  <c r="F33" i="3"/>
  <c r="F49" i="3"/>
  <c r="F35" i="3"/>
  <c r="F30" i="3"/>
  <c r="F43" i="3"/>
  <c r="F42" i="3"/>
  <c r="F55" i="3"/>
  <c r="F41" i="3"/>
  <c r="F39" i="3"/>
  <c r="F34" i="3"/>
  <c r="F38" i="3"/>
  <c r="F53" i="3"/>
  <c r="F52" i="3"/>
  <c r="F50" i="3"/>
  <c r="F54" i="3"/>
  <c r="F31" i="3"/>
  <c r="F29" i="3"/>
  <c r="F51" i="3"/>
  <c r="F47" i="3"/>
  <c r="N29" i="3"/>
  <c r="N47" i="3"/>
  <c r="I131" i="3"/>
  <c r="C69" i="2" l="1"/>
  <c r="C90" i="2"/>
  <c r="C27" i="27" l="1"/>
  <c r="C48" i="2"/>
  <c r="C49" i="2"/>
  <c r="C50" i="2"/>
  <c r="C51" i="2"/>
  <c r="C70" i="2"/>
  <c r="C71" i="2"/>
  <c r="C73" i="2"/>
  <c r="C91" i="2"/>
  <c r="C92" i="2"/>
  <c r="C94" i="2"/>
  <c r="C13" i="3"/>
  <c r="C14" i="3"/>
  <c r="C15" i="3"/>
  <c r="C16" i="3"/>
  <c r="C17" i="3"/>
  <c r="H29" i="3"/>
  <c r="J29" i="3"/>
  <c r="K29" i="3"/>
  <c r="L29" i="3"/>
  <c r="M29" i="3"/>
  <c r="H30" i="3"/>
  <c r="J30" i="3"/>
  <c r="K30" i="3"/>
  <c r="L30" i="3"/>
  <c r="M30" i="3"/>
  <c r="H31" i="3"/>
  <c r="J31" i="3"/>
  <c r="K31" i="3"/>
  <c r="L31" i="3"/>
  <c r="M31" i="3"/>
  <c r="H32" i="3"/>
  <c r="J32" i="3"/>
  <c r="K32" i="3"/>
  <c r="L32" i="3"/>
  <c r="M32" i="3"/>
  <c r="H33" i="3"/>
  <c r="J33" i="3"/>
  <c r="K33" i="3"/>
  <c r="L33" i="3"/>
  <c r="M33" i="3"/>
  <c r="H34" i="3"/>
  <c r="J34" i="3"/>
  <c r="K34" i="3"/>
  <c r="L34" i="3"/>
  <c r="M34" i="3"/>
  <c r="H35" i="3"/>
  <c r="J35" i="3"/>
  <c r="K35" i="3"/>
  <c r="L35" i="3"/>
  <c r="M35" i="3"/>
  <c r="H36" i="3"/>
  <c r="J36" i="3"/>
  <c r="K36" i="3"/>
  <c r="L36" i="3"/>
  <c r="M36" i="3"/>
  <c r="H37" i="3"/>
  <c r="J37" i="3"/>
  <c r="K37" i="3"/>
  <c r="L37" i="3"/>
  <c r="M37" i="3"/>
  <c r="H38" i="3"/>
  <c r="J38" i="3"/>
  <c r="K38" i="3"/>
  <c r="L38" i="3"/>
  <c r="M38" i="3"/>
  <c r="H39" i="3"/>
  <c r="J39" i="3"/>
  <c r="K39" i="3"/>
  <c r="L39" i="3"/>
  <c r="M39" i="3"/>
  <c r="H40" i="3"/>
  <c r="J40" i="3"/>
  <c r="K40" i="3"/>
  <c r="L40" i="3"/>
  <c r="M40" i="3"/>
  <c r="H41" i="3"/>
  <c r="J41" i="3"/>
  <c r="K41" i="3"/>
  <c r="L41" i="3"/>
  <c r="M41" i="3"/>
  <c r="H42" i="3"/>
  <c r="J42" i="3"/>
  <c r="K42" i="3"/>
  <c r="L42" i="3"/>
  <c r="M42" i="3"/>
  <c r="H43" i="3"/>
  <c r="J43" i="3"/>
  <c r="K43" i="3"/>
  <c r="L43" i="3"/>
  <c r="M43" i="3"/>
  <c r="H44" i="3"/>
  <c r="J44" i="3"/>
  <c r="K44" i="3"/>
  <c r="L44" i="3"/>
  <c r="M44" i="3"/>
  <c r="H45" i="3"/>
  <c r="J45" i="3"/>
  <c r="K45" i="3"/>
  <c r="L45" i="3"/>
  <c r="M45" i="3"/>
  <c r="H46" i="3"/>
  <c r="J46" i="3"/>
  <c r="K46" i="3"/>
  <c r="L46" i="3"/>
  <c r="M46" i="3"/>
  <c r="H47" i="3"/>
  <c r="J47" i="3"/>
  <c r="K47" i="3"/>
  <c r="L47" i="3"/>
  <c r="M47" i="3"/>
  <c r="H48" i="3"/>
  <c r="J48" i="3"/>
  <c r="K48" i="3"/>
  <c r="L48" i="3"/>
  <c r="M48" i="3"/>
  <c r="H49" i="3"/>
  <c r="J49" i="3"/>
  <c r="K49" i="3"/>
  <c r="L49" i="3"/>
  <c r="M49" i="3"/>
  <c r="H50" i="3"/>
  <c r="J50" i="3"/>
  <c r="K50" i="3"/>
  <c r="L50" i="3"/>
  <c r="M50" i="3"/>
  <c r="H51" i="3"/>
  <c r="J51" i="3"/>
  <c r="K51" i="3"/>
  <c r="L51" i="3"/>
  <c r="M51" i="3"/>
  <c r="H52" i="3"/>
  <c r="J52" i="3"/>
  <c r="K52" i="3"/>
  <c r="L52" i="3"/>
  <c r="M52" i="3"/>
  <c r="H53" i="3"/>
  <c r="J53" i="3"/>
  <c r="K53" i="3"/>
  <c r="L53" i="3"/>
  <c r="M53" i="3"/>
  <c r="H54" i="3"/>
  <c r="J54" i="3"/>
  <c r="K54" i="3"/>
  <c r="L54" i="3"/>
  <c r="M54" i="3"/>
  <c r="H55" i="3"/>
  <c r="J55" i="3"/>
  <c r="K55" i="3"/>
  <c r="L55" i="3"/>
  <c r="M55" i="3"/>
  <c r="C60" i="3"/>
  <c r="C61" i="3"/>
  <c r="C62" i="3"/>
  <c r="C63" i="3"/>
  <c r="C64" i="3"/>
  <c r="H64" i="3"/>
  <c r="C65" i="3"/>
  <c r="H65" i="3" a="1"/>
  <c r="H65" i="3"/>
  <c r="C66" i="3"/>
  <c r="H66" i="3"/>
  <c r="C67" i="3"/>
  <c r="H67" i="3"/>
  <c r="C68" i="3"/>
  <c r="C69" i="3"/>
  <c r="C70" i="3"/>
  <c r="C71" i="3"/>
  <c r="C72" i="3"/>
  <c r="C73" i="3"/>
  <c r="C74" i="3"/>
  <c r="C75" i="3"/>
  <c r="C76" i="3"/>
  <c r="C77" i="3"/>
  <c r="C78" i="3"/>
  <c r="C94" i="3"/>
  <c r="C95" i="3"/>
  <c r="C96" i="3"/>
  <c r="C100" i="3"/>
  <c r="C101" i="3"/>
  <c r="C111" i="3"/>
  <c r="C112" i="3"/>
  <c r="C113" i="3"/>
  <c r="C114" i="3"/>
  <c r="C127" i="3"/>
  <c r="E127" i="3"/>
  <c r="C128" i="3"/>
  <c r="E128" i="3"/>
  <c r="C129" i="3"/>
  <c r="E129" i="3"/>
  <c r="C130" i="3"/>
  <c r="C131" i="3"/>
  <c r="E131" i="3"/>
  <c r="M131" i="3"/>
  <c r="C132" i="3"/>
  <c r="C133" i="3"/>
  <c r="E133" i="3"/>
  <c r="C134" i="3"/>
  <c r="C136" i="3"/>
  <c r="C137" i="3"/>
  <c r="E137" i="3"/>
  <c r="C139" i="3"/>
  <c r="C140" i="3"/>
  <c r="C142" i="3"/>
  <c r="C145" i="3"/>
  <c r="C147" i="3"/>
  <c r="C150" i="3"/>
  <c r="F150" i="3"/>
  <c r="E151" i="3"/>
  <c r="E152" i="3"/>
  <c r="C28" i="27"/>
  <c r="G28" i="27"/>
  <c r="G29" i="27"/>
  <c r="M31" i="27"/>
  <c r="M32" i="2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<sst xmlns="http://schemas.openxmlformats.org/spreadsheetml/2006/main" count="827" uniqueCount="572">
  <si>
    <t>a</t>
  </si>
  <si>
    <t>m</t>
  </si>
  <si>
    <t>m/s</t>
  </si>
  <si>
    <t>kt / m/s</t>
  </si>
  <si>
    <t>kt</t>
  </si>
  <si>
    <t>kg/m³</t>
  </si>
  <si>
    <t>kg/m²</t>
  </si>
  <si>
    <t>m³/kg</t>
  </si>
  <si>
    <t>A</t>
  </si>
  <si>
    <t>Parameter</t>
  </si>
  <si>
    <r>
      <t>C</t>
    </r>
    <r>
      <rPr>
        <vertAlign val="subscript"/>
        <sz val="10"/>
        <rFont val="Arial"/>
        <family val="2"/>
      </rPr>
      <t>L</t>
    </r>
  </si>
  <si>
    <t>g</t>
  </si>
  <si>
    <t>m/s²</t>
  </si>
  <si>
    <t>Pa</t>
  </si>
  <si>
    <t>h [km]</t>
  </si>
  <si>
    <t>h [ft]</t>
  </si>
  <si>
    <t>p(h) [Pa]</t>
  </si>
  <si>
    <t>K</t>
  </si>
  <si>
    <t>R</t>
  </si>
  <si>
    <t>FAR Part 121</t>
  </si>
  <si>
    <t>domestic</t>
  </si>
  <si>
    <t>s</t>
  </si>
  <si>
    <t>kg</t>
  </si>
  <si>
    <t>m²</t>
  </si>
  <si>
    <t>lb</t>
  </si>
  <si>
    <t>m³</t>
  </si>
  <si>
    <t>check:</t>
  </si>
  <si>
    <t>&gt;</t>
  </si>
  <si>
    <r>
      <t>C</t>
    </r>
    <r>
      <rPr>
        <vertAlign val="subscript"/>
        <sz val="10"/>
        <rFont val="Arial"/>
        <family val="2"/>
      </rPr>
      <t>D,0</t>
    </r>
  </si>
  <si>
    <r>
      <t>p</t>
    </r>
    <r>
      <rPr>
        <vertAlign val="subscript"/>
        <sz val="10"/>
        <rFont val="Arial"/>
        <family val="2"/>
      </rPr>
      <t>0</t>
    </r>
  </si>
  <si>
    <r>
      <t>k</t>
    </r>
    <r>
      <rPr>
        <vertAlign val="subscript"/>
        <sz val="10"/>
        <rFont val="Arial"/>
        <family val="2"/>
      </rPr>
      <t>APP</t>
    </r>
  </si>
  <si>
    <r>
      <t>s</t>
    </r>
    <r>
      <rPr>
        <vertAlign val="subscript"/>
        <sz val="10"/>
        <rFont val="Arial"/>
        <family val="2"/>
      </rPr>
      <t>LFL</t>
    </r>
  </si>
  <si>
    <r>
      <t>V</t>
    </r>
    <r>
      <rPr>
        <vertAlign val="subscript"/>
        <sz val="10"/>
        <rFont val="Arial"/>
        <family val="2"/>
      </rPr>
      <t>APP</t>
    </r>
  </si>
  <si>
    <t>m/s -&gt; kt</t>
  </si>
  <si>
    <r>
      <t>k</t>
    </r>
    <r>
      <rPr>
        <vertAlign val="subscript"/>
        <sz val="10"/>
        <rFont val="Arial"/>
        <family val="2"/>
      </rPr>
      <t>L</t>
    </r>
  </si>
  <si>
    <r>
      <t>C</t>
    </r>
    <r>
      <rPr>
        <vertAlign val="subscript"/>
        <sz val="10"/>
        <rFont val="Arial"/>
        <family val="2"/>
      </rPr>
      <t>L,max,TO</t>
    </r>
  </si>
  <si>
    <r>
      <t>s</t>
    </r>
    <r>
      <rPr>
        <vertAlign val="subscript"/>
        <sz val="10"/>
        <rFont val="Arial"/>
        <family val="2"/>
      </rPr>
      <t>TOFL</t>
    </r>
  </si>
  <si>
    <r>
      <t>n</t>
    </r>
    <r>
      <rPr>
        <vertAlign val="subscript"/>
        <sz val="10"/>
        <rFont val="Arial"/>
        <family val="2"/>
      </rPr>
      <t>E</t>
    </r>
  </si>
  <si>
    <r>
      <t>C</t>
    </r>
    <r>
      <rPr>
        <vertAlign val="subscript"/>
        <sz val="10"/>
        <rFont val="Arial"/>
        <family val="2"/>
      </rPr>
      <t>D,P</t>
    </r>
  </si>
  <si>
    <r>
      <t>sin(</t>
    </r>
    <r>
      <rPr>
        <sz val="10"/>
        <rFont val="Symbol"/>
        <family val="1"/>
        <charset val="2"/>
      </rPr>
      <t>g</t>
    </r>
    <r>
      <rPr>
        <sz val="10"/>
        <rFont val="Arial"/>
        <family val="2"/>
      </rPr>
      <t>)</t>
    </r>
  </si>
  <si>
    <r>
      <t>V</t>
    </r>
    <r>
      <rPr>
        <vertAlign val="subscript"/>
        <sz val="10"/>
        <rFont val="Arial"/>
        <family val="2"/>
      </rPr>
      <t>CR</t>
    </r>
  </si>
  <si>
    <r>
      <t>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</si>
  <si>
    <r>
      <t>s</t>
    </r>
    <r>
      <rPr>
        <vertAlign val="subscript"/>
        <sz val="10"/>
        <rFont val="Arial"/>
        <family val="2"/>
      </rPr>
      <t>to_alternate</t>
    </r>
  </si>
  <si>
    <r>
      <t>s</t>
    </r>
    <r>
      <rPr>
        <vertAlign val="subscript"/>
        <sz val="10"/>
        <rFont val="Arial"/>
        <family val="2"/>
      </rPr>
      <t>res</t>
    </r>
  </si>
  <si>
    <r>
      <t xml:space="preserve">m </t>
    </r>
    <r>
      <rPr>
        <vertAlign val="subscript"/>
        <sz val="10"/>
        <rFont val="Arial"/>
        <family val="2"/>
      </rPr>
      <t>ML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</si>
  <si>
    <r>
      <t xml:space="preserve">m </t>
    </r>
    <r>
      <rPr>
        <vertAlign val="subscript"/>
        <sz val="10"/>
        <rFont val="Arial"/>
        <family val="2"/>
      </rPr>
      <t>ML</t>
    </r>
    <r>
      <rPr>
        <sz val="10"/>
        <rFont val="Arial"/>
        <family val="2"/>
      </rPr>
      <t xml:space="preserve"> / m </t>
    </r>
    <r>
      <rPr>
        <vertAlign val="subscript"/>
        <sz val="10"/>
        <rFont val="Arial"/>
        <family val="2"/>
      </rPr>
      <t>TO</t>
    </r>
  </si>
  <si>
    <r>
      <t xml:space="preserve">m 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</si>
  <si>
    <r>
      <t>0,8 * C</t>
    </r>
    <r>
      <rPr>
        <vertAlign val="subscript"/>
        <sz val="10"/>
        <rFont val="Arial"/>
        <family val="2"/>
      </rPr>
      <t>L,max,L</t>
    </r>
  </si>
  <si>
    <r>
      <t>C</t>
    </r>
    <r>
      <rPr>
        <vertAlign val="subscript"/>
        <sz val="10"/>
        <rFont val="Arial"/>
        <family val="2"/>
      </rPr>
      <t>L,TO</t>
    </r>
  </si>
  <si>
    <r>
      <t>D</t>
    </r>
    <r>
      <rPr>
        <sz val="10"/>
        <rFont val="Arial"/>
        <family val="2"/>
      </rPr>
      <t>C</t>
    </r>
    <r>
      <rPr>
        <vertAlign val="subscript"/>
        <sz val="10"/>
        <rFont val="Arial"/>
        <family val="2"/>
      </rPr>
      <t>D,flap</t>
    </r>
  </si>
  <si>
    <r>
      <t>D</t>
    </r>
    <r>
      <rPr>
        <sz val="10"/>
        <rFont val="Arial"/>
        <family val="2"/>
      </rPr>
      <t>C</t>
    </r>
    <r>
      <rPr>
        <vertAlign val="subscript"/>
        <sz val="10"/>
        <rFont val="Arial"/>
        <family val="2"/>
      </rPr>
      <t>D,slat</t>
    </r>
  </si>
  <si>
    <r>
      <t>D</t>
    </r>
    <r>
      <rPr>
        <sz val="10"/>
        <rFont val="Arial"/>
        <family val="2"/>
      </rPr>
      <t>C</t>
    </r>
    <r>
      <rPr>
        <vertAlign val="subscript"/>
        <sz val="10"/>
        <rFont val="Arial"/>
        <family val="2"/>
      </rPr>
      <t>D,gear</t>
    </r>
  </si>
  <si>
    <r>
      <t>E</t>
    </r>
    <r>
      <rPr>
        <vertAlign val="subscript"/>
        <sz val="10"/>
        <rFont val="Arial"/>
        <family val="2"/>
      </rPr>
      <t>TO</t>
    </r>
  </si>
  <si>
    <r>
      <t>C</t>
    </r>
    <r>
      <rPr>
        <vertAlign val="subscript"/>
        <sz val="10"/>
        <rFont val="Arial"/>
        <family val="2"/>
      </rPr>
      <t>L,L</t>
    </r>
  </si>
  <si>
    <r>
      <t>E</t>
    </r>
    <r>
      <rPr>
        <vertAlign val="subscript"/>
        <sz val="10"/>
        <rFont val="Arial"/>
        <family val="2"/>
      </rPr>
      <t>L</t>
    </r>
  </si>
  <si>
    <t>JAR-25 bzw. CS-25</t>
  </si>
  <si>
    <t>FAR Part 25</t>
  </si>
  <si>
    <r>
      <t>k</t>
    </r>
    <r>
      <rPr>
        <vertAlign val="subscript"/>
        <sz val="10"/>
        <rFont val="Arial"/>
        <family val="2"/>
      </rPr>
      <t>E</t>
    </r>
  </si>
  <si>
    <r>
      <t>S</t>
    </r>
    <r>
      <rPr>
        <vertAlign val="subscript"/>
        <sz val="10"/>
        <rFont val="Arial"/>
        <family val="2"/>
      </rPr>
      <t>wet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</si>
  <si>
    <r>
      <t>E</t>
    </r>
    <r>
      <rPr>
        <vertAlign val="subscript"/>
        <sz val="10"/>
        <rFont val="Arial"/>
        <family val="2"/>
      </rPr>
      <t>max</t>
    </r>
  </si>
  <si>
    <t>E</t>
  </si>
  <si>
    <r>
      <t>B</t>
    </r>
    <r>
      <rPr>
        <vertAlign val="subscript"/>
        <sz val="10"/>
        <rFont val="Arial"/>
        <family val="2"/>
      </rPr>
      <t>s</t>
    </r>
  </si>
  <si>
    <r>
      <t>M</t>
    </r>
    <r>
      <rPr>
        <vertAlign val="subscript"/>
        <sz val="10"/>
        <rFont val="Arial"/>
        <family val="2"/>
      </rPr>
      <t>ff,CR</t>
    </r>
  </si>
  <si>
    <r>
      <t>M</t>
    </r>
    <r>
      <rPr>
        <vertAlign val="subscript"/>
        <sz val="10"/>
        <rFont val="Arial"/>
        <family val="2"/>
      </rPr>
      <t>ff,RES</t>
    </r>
  </si>
  <si>
    <r>
      <t>t</t>
    </r>
    <r>
      <rPr>
        <vertAlign val="subscript"/>
        <sz val="10"/>
        <rFont val="Arial"/>
        <family val="2"/>
      </rPr>
      <t>loiter</t>
    </r>
  </si>
  <si>
    <r>
      <t>SFC</t>
    </r>
    <r>
      <rPr>
        <vertAlign val="subscript"/>
        <sz val="10"/>
        <rFont val="Arial"/>
        <family val="2"/>
      </rPr>
      <t>loiter</t>
    </r>
  </si>
  <si>
    <r>
      <t>B</t>
    </r>
    <r>
      <rPr>
        <vertAlign val="subscript"/>
        <sz val="10"/>
        <rFont val="Arial"/>
        <family val="2"/>
      </rPr>
      <t>t</t>
    </r>
  </si>
  <si>
    <r>
      <t>M</t>
    </r>
    <r>
      <rPr>
        <vertAlign val="subscript"/>
        <sz val="10"/>
        <rFont val="Arial"/>
        <family val="2"/>
      </rPr>
      <t>ff,loiter</t>
    </r>
  </si>
  <si>
    <t>international</t>
  </si>
  <si>
    <r>
      <t>M</t>
    </r>
    <r>
      <rPr>
        <vertAlign val="subscript"/>
        <sz val="10"/>
        <rFont val="Arial"/>
        <family val="2"/>
      </rPr>
      <t>ff,taxi</t>
    </r>
  </si>
  <si>
    <r>
      <t>M</t>
    </r>
    <r>
      <rPr>
        <vertAlign val="subscript"/>
        <sz val="10"/>
        <rFont val="Arial"/>
        <family val="2"/>
      </rPr>
      <t>ff,engine</t>
    </r>
  </si>
  <si>
    <r>
      <t>M</t>
    </r>
    <r>
      <rPr>
        <vertAlign val="subscript"/>
        <sz val="10"/>
        <rFont val="Arial"/>
        <family val="2"/>
      </rPr>
      <t>ff,TO</t>
    </r>
  </si>
  <si>
    <r>
      <t>M</t>
    </r>
    <r>
      <rPr>
        <vertAlign val="subscript"/>
        <sz val="10"/>
        <rFont val="Arial"/>
        <family val="2"/>
      </rPr>
      <t>ff,CLB</t>
    </r>
  </si>
  <si>
    <r>
      <t>M</t>
    </r>
    <r>
      <rPr>
        <vertAlign val="subscript"/>
        <sz val="10"/>
        <rFont val="Arial"/>
        <family val="2"/>
      </rPr>
      <t>ff,DES</t>
    </r>
  </si>
  <si>
    <r>
      <t>M</t>
    </r>
    <r>
      <rPr>
        <vertAlign val="subscript"/>
        <sz val="10"/>
        <rFont val="Arial"/>
        <family val="2"/>
      </rPr>
      <t>ff,L</t>
    </r>
  </si>
  <si>
    <r>
      <t>M</t>
    </r>
    <r>
      <rPr>
        <vertAlign val="subscript"/>
        <sz val="10"/>
        <rFont val="Arial"/>
        <family val="2"/>
      </rPr>
      <t>ff,std</t>
    </r>
  </si>
  <si>
    <r>
      <t>M</t>
    </r>
    <r>
      <rPr>
        <vertAlign val="subscript"/>
        <sz val="10"/>
        <rFont val="Arial"/>
        <family val="2"/>
      </rPr>
      <t>ff,res</t>
    </r>
  </si>
  <si>
    <r>
      <t>M</t>
    </r>
    <r>
      <rPr>
        <vertAlign val="subscript"/>
        <sz val="10"/>
        <rFont val="Arial"/>
        <family val="2"/>
      </rPr>
      <t>ff</t>
    </r>
  </si>
  <si>
    <r>
      <t>m</t>
    </r>
    <r>
      <rPr>
        <vertAlign val="subscript"/>
        <sz val="10"/>
        <rFont val="Arial"/>
        <family val="2"/>
      </rPr>
      <t>F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</si>
  <si>
    <r>
      <t>m</t>
    </r>
    <r>
      <rPr>
        <vertAlign val="subscript"/>
        <sz val="10"/>
        <rFont val="Arial"/>
        <family val="2"/>
      </rPr>
      <t>OE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</si>
  <si>
    <r>
      <t>m</t>
    </r>
    <r>
      <rPr>
        <vertAlign val="subscript"/>
        <sz val="10"/>
        <rFont val="Arial"/>
        <family val="2"/>
      </rPr>
      <t>PAX</t>
    </r>
  </si>
  <si>
    <t>in kg</t>
  </si>
  <si>
    <r>
      <t>n</t>
    </r>
    <r>
      <rPr>
        <vertAlign val="subscript"/>
        <sz val="10"/>
        <rFont val="Arial"/>
        <family val="2"/>
      </rPr>
      <t>PAX</t>
    </r>
  </si>
  <si>
    <r>
      <t>m</t>
    </r>
    <r>
      <rPr>
        <vertAlign val="subscript"/>
        <sz val="10"/>
        <rFont val="Arial"/>
        <family val="2"/>
      </rPr>
      <t>PL</t>
    </r>
  </si>
  <si>
    <r>
      <t>m</t>
    </r>
    <r>
      <rPr>
        <vertAlign val="subscript"/>
        <sz val="10"/>
        <rFont val="Arial"/>
        <family val="2"/>
      </rPr>
      <t>cargo</t>
    </r>
  </si>
  <si>
    <r>
      <t>m</t>
    </r>
    <r>
      <rPr>
        <vertAlign val="subscript"/>
        <sz val="10"/>
        <rFont val="Arial"/>
        <family val="2"/>
      </rPr>
      <t>MTO</t>
    </r>
  </si>
  <si>
    <r>
      <t>m</t>
    </r>
    <r>
      <rPr>
        <vertAlign val="subscript"/>
        <sz val="10"/>
        <rFont val="Arial"/>
        <family val="2"/>
      </rPr>
      <t>ML</t>
    </r>
  </si>
  <si>
    <r>
      <t>m</t>
    </r>
    <r>
      <rPr>
        <vertAlign val="subscript"/>
        <sz val="10"/>
        <rFont val="Arial"/>
        <family val="2"/>
      </rPr>
      <t>OE</t>
    </r>
  </si>
  <si>
    <r>
      <t>S</t>
    </r>
    <r>
      <rPr>
        <vertAlign val="subscript"/>
        <sz val="10"/>
        <rFont val="Arial"/>
        <family val="2"/>
      </rPr>
      <t>w</t>
    </r>
  </si>
  <si>
    <r>
      <t>m</t>
    </r>
    <r>
      <rPr>
        <vertAlign val="subscript"/>
        <sz val="10"/>
        <rFont val="Arial"/>
        <family val="2"/>
      </rPr>
      <t>F,erf</t>
    </r>
  </si>
  <si>
    <r>
      <t xml:space="preserve">r </t>
    </r>
    <r>
      <rPr>
        <vertAlign val="subscript"/>
        <sz val="10"/>
        <rFont val="Arial"/>
        <family val="2"/>
      </rPr>
      <t>F</t>
    </r>
  </si>
  <si>
    <r>
      <t>V</t>
    </r>
    <r>
      <rPr>
        <vertAlign val="subscript"/>
        <sz val="10"/>
        <rFont val="Arial"/>
        <family val="2"/>
      </rPr>
      <t>F,erf</t>
    </r>
  </si>
  <si>
    <r>
      <t>m</t>
    </r>
    <r>
      <rPr>
        <vertAlign val="subscript"/>
        <sz val="10"/>
        <rFont val="Arial"/>
        <family val="2"/>
      </rPr>
      <t>MPL</t>
    </r>
  </si>
  <si>
    <r>
      <t>m</t>
    </r>
    <r>
      <rPr>
        <vertAlign val="subscript"/>
        <sz val="10"/>
        <rFont val="Arial"/>
        <family val="2"/>
      </rPr>
      <t>MZF</t>
    </r>
  </si>
  <si>
    <r>
      <t>m</t>
    </r>
    <r>
      <rPr>
        <vertAlign val="subscript"/>
        <sz val="10"/>
        <rFont val="Arial"/>
        <family val="2"/>
      </rPr>
      <t>F,res</t>
    </r>
  </si>
  <si>
    <t>e</t>
  </si>
  <si>
    <r>
      <t>m</t>
    </r>
    <r>
      <rPr>
        <vertAlign val="subscript"/>
        <sz val="10"/>
        <rFont val="Arial"/>
        <family val="2"/>
      </rPr>
      <t xml:space="preserve">ML          </t>
    </r>
  </si>
  <si>
    <t>NM</t>
  </si>
  <si>
    <t>NM -&gt; m</t>
  </si>
  <si>
    <t>m/NM</t>
  </si>
  <si>
    <r>
      <t>m</t>
    </r>
    <r>
      <rPr>
        <vertAlign val="subscript"/>
        <sz val="10"/>
        <rFont val="Arial"/>
        <family val="2"/>
      </rPr>
      <t>F</t>
    </r>
  </si>
  <si>
    <r>
      <t>D</t>
    </r>
    <r>
      <rPr>
        <sz val="10"/>
        <rFont val="Arial"/>
        <family val="2"/>
      </rPr>
      <t>T</t>
    </r>
    <r>
      <rPr>
        <vertAlign val="subscript"/>
        <sz val="10"/>
        <rFont val="Arial"/>
        <family val="2"/>
      </rPr>
      <t>L</t>
    </r>
  </si>
  <si>
    <r>
      <t>D</t>
    </r>
    <r>
      <rPr>
        <sz val="10"/>
        <rFont val="Arial"/>
        <family val="2"/>
      </rPr>
      <t>T</t>
    </r>
    <r>
      <rPr>
        <vertAlign val="subscript"/>
        <sz val="10"/>
        <rFont val="Arial"/>
        <family val="2"/>
      </rPr>
      <t>TO</t>
    </r>
  </si>
  <si>
    <r>
      <t xml:space="preserve">   </t>
    </r>
    <r>
      <rPr>
        <b/>
        <sz val="10"/>
        <color indexed="12"/>
        <rFont val="Arial"/>
        <family val="2"/>
      </rPr>
      <t>Bold blue</t>
    </r>
    <r>
      <rPr>
        <sz val="10"/>
        <rFont val="Arial"/>
        <family val="2"/>
      </rPr>
      <t xml:space="preserve"> values represent input data.</t>
    </r>
  </si>
  <si>
    <r>
      <t xml:space="preserve">   Results are marked </t>
    </r>
    <r>
      <rPr>
        <b/>
        <sz val="10"/>
        <color indexed="10"/>
        <rFont val="Arial"/>
        <family val="2"/>
      </rPr>
      <t>red</t>
    </r>
    <r>
      <rPr>
        <sz val="10"/>
        <rFont val="Arial"/>
        <family val="2"/>
      </rPr>
      <t>. Don't change these cells!</t>
    </r>
  </si>
  <si>
    <t xml:space="preserve">   Interim values, constants, ... are in black!</t>
  </si>
  <si>
    <r>
      <t xml:space="preserve">   "</t>
    </r>
    <r>
      <rPr>
        <b/>
        <sz val="10"/>
        <rFont val="Arial"/>
        <family val="2"/>
      </rPr>
      <t>&lt;&lt;&lt;&lt;</t>
    </r>
    <r>
      <rPr>
        <sz val="10"/>
        <rFont val="Arial"/>
        <family val="2"/>
      </rPr>
      <t>" marks special input or user action</t>
    </r>
    <r>
      <rPr>
        <sz val="10"/>
        <rFont val="Arial"/>
        <family val="2"/>
      </rPr>
      <t>.</t>
    </r>
  </si>
  <si>
    <t>Approach</t>
  </si>
  <si>
    <t>Factor</t>
  </si>
  <si>
    <t>Conversion factor</t>
  </si>
  <si>
    <t>Given: landing field length</t>
  </si>
  <si>
    <t>Landing field length</t>
  </si>
  <si>
    <t>Approach speed</t>
  </si>
  <si>
    <t>Given: approach speed</t>
  </si>
  <si>
    <t>Landing</t>
  </si>
  <si>
    <t>Temperature above ISA (288,15K)</t>
  </si>
  <si>
    <t>Relative density</t>
  </si>
  <si>
    <t>Mass ratio, landing - take-off</t>
  </si>
  <si>
    <t>Wing loading at max. landing mass</t>
  </si>
  <si>
    <t>Wing loading at max. take-off mass</t>
  </si>
  <si>
    <t>Take-off</t>
  </si>
  <si>
    <t>Take-off field length</t>
  </si>
  <si>
    <t>Temperatur above ISA (288,15K)</t>
  </si>
  <si>
    <r>
      <t>Exprience value for C</t>
    </r>
    <r>
      <rPr>
        <vertAlign val="subscript"/>
        <sz val="10"/>
        <rFont val="Arial"/>
        <family val="2"/>
      </rPr>
      <t>L,max,TO</t>
    </r>
  </si>
  <si>
    <t>2nd Segment</t>
  </si>
  <si>
    <t>Calculation of glide ratio</t>
  </si>
  <si>
    <t>Aspect ratio</t>
  </si>
  <si>
    <t>Lift coefficient, take-off</t>
  </si>
  <si>
    <t>Lift-independent drag coefficient, clean</t>
  </si>
  <si>
    <t>Lift-independent drag coefficient, slats</t>
  </si>
  <si>
    <t>Lift-independent drag coefficient, flaps</t>
  </si>
  <si>
    <t>Profile drag coefficient</t>
  </si>
  <si>
    <t>Oswald efficiency factor; landing configuration</t>
  </si>
  <si>
    <t>Glide ratio in take-off configuration</t>
  </si>
  <si>
    <t>Number of engines</t>
  </si>
  <si>
    <t>Climb gradient</t>
  </si>
  <si>
    <t>Missed approach</t>
  </si>
  <si>
    <t>Calculation of the glide ratio</t>
  </si>
  <si>
    <t>Lift coefficient, landing</t>
  </si>
  <si>
    <t>Choose: Certification basis</t>
  </si>
  <si>
    <t>&lt;&lt;&lt;&lt; Choose according to task</t>
  </si>
  <si>
    <t>Lift-independent drag coefficient, landing gear</t>
  </si>
  <si>
    <t>Glide ratio in landing configuration</t>
  </si>
  <si>
    <r>
      <t>Estimation of k</t>
    </r>
    <r>
      <rPr>
        <b/>
        <vertAlign val="subscript"/>
        <sz val="10"/>
        <rFont val="Arial"/>
        <family val="2"/>
      </rPr>
      <t>E</t>
    </r>
    <r>
      <rPr>
        <b/>
        <sz val="10"/>
        <rFont val="Arial"/>
        <family val="2"/>
      </rPr>
      <t xml:space="preserve"> by means of 1.), 2.) or 3.)</t>
    </r>
  </si>
  <si>
    <t>1.)  From theory</t>
  </si>
  <si>
    <r>
      <t>Oswald efficiency factor for k</t>
    </r>
    <r>
      <rPr>
        <vertAlign val="subscript"/>
        <sz val="10"/>
        <rFont val="Arial"/>
        <family val="2"/>
      </rPr>
      <t>E</t>
    </r>
  </si>
  <si>
    <r>
      <t>C</t>
    </r>
    <r>
      <rPr>
        <vertAlign val="subscript"/>
        <sz val="10"/>
        <rFont val="Arial"/>
        <family val="2"/>
      </rPr>
      <t>f,eqv</t>
    </r>
  </si>
  <si>
    <t>Equivalent surface friction coefficient</t>
  </si>
  <si>
    <t>2.) Acc. to RAYMER</t>
  </si>
  <si>
    <t>3.) From own statistics</t>
  </si>
  <si>
    <r>
      <t>Estimation of max. glide ratio in cruise, E</t>
    </r>
    <r>
      <rPr>
        <b/>
        <vertAlign val="subscript"/>
        <sz val="10"/>
        <rFont val="Arial"/>
        <family val="2"/>
      </rPr>
      <t>max</t>
    </r>
  </si>
  <si>
    <t>Relative wetted area</t>
  </si>
  <si>
    <t>Max. glide ratio</t>
  </si>
  <si>
    <r>
      <t>k</t>
    </r>
    <r>
      <rPr>
        <vertAlign val="subscript"/>
        <sz val="10"/>
        <rFont val="Arial"/>
        <family val="2"/>
      </rPr>
      <t>E    chosen</t>
    </r>
  </si>
  <si>
    <t>Calculations for cruise, matching chart, fuel mass, operating empty mass</t>
  </si>
  <si>
    <r>
      <t>and aircraft parameters m</t>
    </r>
    <r>
      <rPr>
        <b/>
        <vertAlign val="subscript"/>
        <sz val="10"/>
        <rFont val="Arial"/>
        <family val="2"/>
      </rPr>
      <t>MTO</t>
    </r>
    <r>
      <rPr>
        <b/>
        <sz val="10"/>
        <rFont val="Arial"/>
        <family val="2"/>
      </rPr>
      <t>, m</t>
    </r>
    <r>
      <rPr>
        <b/>
        <vertAlign val="subscript"/>
        <sz val="10"/>
        <rFont val="Arial"/>
        <family val="2"/>
      </rPr>
      <t>L</t>
    </r>
    <r>
      <rPr>
        <b/>
        <sz val="10"/>
        <rFont val="Arial"/>
        <family val="2"/>
      </rPr>
      <t>, m</t>
    </r>
    <r>
      <rPr>
        <b/>
        <vertAlign val="subscript"/>
        <sz val="10"/>
        <rFont val="Arial"/>
        <family val="2"/>
      </rPr>
      <t>OE</t>
    </r>
    <r>
      <rPr>
        <b/>
        <sz val="10"/>
        <rFont val="Arial"/>
        <family val="2"/>
      </rPr>
      <t>, S</t>
    </r>
    <r>
      <rPr>
        <b/>
        <vertAlign val="subscript"/>
        <sz val="10"/>
        <rFont val="Arial"/>
        <family val="2"/>
      </rPr>
      <t>W</t>
    </r>
    <r>
      <rPr>
        <b/>
        <sz val="10"/>
        <rFont val="Arial"/>
        <family val="2"/>
      </rPr>
      <t>, T</t>
    </r>
    <r>
      <rPr>
        <b/>
        <vertAlign val="subscript"/>
        <sz val="10"/>
        <rFont val="Arial"/>
        <family val="2"/>
      </rPr>
      <t>TO</t>
    </r>
    <r>
      <rPr>
        <b/>
        <sz val="10"/>
        <rFont val="Arial"/>
        <family val="2"/>
      </rPr>
      <t>, ...</t>
    </r>
  </si>
  <si>
    <t>Value</t>
  </si>
  <si>
    <t>Oswald eff. factor, clean</t>
  </si>
  <si>
    <t>Constants</t>
  </si>
  <si>
    <t>Earth acceleration</t>
  </si>
  <si>
    <t>Air pressure, ISA, standard</t>
  </si>
  <si>
    <t>Euler number</t>
  </si>
  <si>
    <t>Wing loading</t>
  </si>
  <si>
    <t>Design range</t>
  </si>
  <si>
    <t>Distance to alternate</t>
  </si>
  <si>
    <t>Extra-fuel for long range</t>
  </si>
  <si>
    <t>typical value</t>
  </si>
  <si>
    <t>Extra time:</t>
  </si>
  <si>
    <t>Extra flight distance</t>
  </si>
  <si>
    <t>Breguet-Factor, cruise</t>
  </si>
  <si>
    <t>Fuel-Fraction, cruise</t>
  </si>
  <si>
    <t>Loiter time</t>
  </si>
  <si>
    <t>Breguet-Factor, flight time</t>
  </si>
  <si>
    <t>Fuel-Fraction, loiter</t>
  </si>
  <si>
    <t>Fuel-Fraction, engine start</t>
  </si>
  <si>
    <t>Fuel-Fraction, taxi</t>
  </si>
  <si>
    <t>Fuel-Fraction, take-off</t>
  </si>
  <si>
    <t>Fuel-Fraction, climb</t>
  </si>
  <si>
    <t>Fuel-Fraction, descent</t>
  </si>
  <si>
    <t>Fuel-Fraction, landing</t>
  </si>
  <si>
    <t>Fuel-Fraction, standard flight</t>
  </si>
  <si>
    <t>Fuel-Fraction, all reserves</t>
  </si>
  <si>
    <t>Fuel-Fraction, total</t>
  </si>
  <si>
    <t>Realtive operating empty mass</t>
  </si>
  <si>
    <r>
      <t>Choose</t>
    </r>
    <r>
      <rPr>
        <sz val="10"/>
        <rFont val="Arial"/>
        <family val="2"/>
      </rPr>
      <t>: type of a/c</t>
    </r>
  </si>
  <si>
    <t>short / medium range</t>
  </si>
  <si>
    <t>long range</t>
  </si>
  <si>
    <t>Mass: Passengers, including baggage</t>
  </si>
  <si>
    <t>Number of passengers</t>
  </si>
  <si>
    <t>Cargo mass</t>
  </si>
  <si>
    <t>Payload</t>
  </si>
  <si>
    <t>Max. Take-off mass</t>
  </si>
  <si>
    <t>Max. landing mass</t>
  </si>
  <si>
    <t>Operating empty mass</t>
  </si>
  <si>
    <t>Mission fuel fraction, standard flight</t>
  </si>
  <si>
    <t>Wing area</t>
  </si>
  <si>
    <t>Fuel mass, needed</t>
  </si>
  <si>
    <t>Fuel density</t>
  </si>
  <si>
    <t>Fuel volume, needed</t>
  </si>
  <si>
    <t>Max. Payload</t>
  </si>
  <si>
    <t>Max. zero-fuel mass</t>
  </si>
  <si>
    <t>Fuel mass, all reserves</t>
  </si>
  <si>
    <t>Check of assumptions</t>
  </si>
  <si>
    <t>(check with tank geometry later on)</t>
  </si>
  <si>
    <t>one engine</t>
  </si>
  <si>
    <r>
      <t xml:space="preserve">   Values based on experience are </t>
    </r>
    <r>
      <rPr>
        <sz val="10"/>
        <color indexed="12"/>
        <rFont val="Arial"/>
        <family val="2"/>
      </rPr>
      <t>light blue</t>
    </r>
    <r>
      <rPr>
        <sz val="10"/>
        <rFont val="Arial"/>
        <family val="2"/>
      </rPr>
      <t>. Usually you should not change these values!</t>
    </r>
  </si>
  <si>
    <t>Short- and Medium Range</t>
  </si>
  <si>
    <t>Long Range</t>
  </si>
  <si>
    <t>Cruise speed</t>
  </si>
  <si>
    <t>Max. glide ratio, cruise</t>
  </si>
  <si>
    <t>Zero-lift drag coefficient</t>
  </si>
  <si>
    <t>Mach number, cruise</t>
  </si>
  <si>
    <t>Slope</t>
  </si>
  <si>
    <t>Max. lift coefficient, landing</t>
  </si>
  <si>
    <t>Reserve flight distance:</t>
  </si>
  <si>
    <t>yes</t>
  </si>
  <si>
    <r>
      <t xml:space="preserve">(m/s²) </t>
    </r>
    <r>
      <rPr>
        <vertAlign val="superscript"/>
        <sz val="10"/>
        <color indexed="12"/>
        <rFont val="Arial"/>
        <family val="2"/>
      </rPr>
      <t>0.5</t>
    </r>
  </si>
  <si>
    <t>Ratio of specific heats, air (adiabatic index)</t>
  </si>
  <si>
    <r>
      <t>&lt;&lt;&lt;&lt; Choose according to task</t>
    </r>
    <r>
      <rPr>
        <sz val="10"/>
        <rFont val="Arial"/>
        <family val="2"/>
      </rPr>
      <t xml:space="preserve"> </t>
    </r>
  </si>
  <si>
    <t>Calculations for flight phases approach, landing, take-off, 2nd segment and missed approach</t>
  </si>
  <si>
    <t>(for turboprop aircraft)</t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</si>
  <si>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 xml:space="preserve"> / m</t>
    </r>
    <r>
      <rPr>
        <vertAlign val="subscript"/>
        <sz val="10"/>
        <rFont val="Arial"/>
        <family val="2"/>
      </rPr>
      <t>MTO</t>
    </r>
  </si>
  <si>
    <t>Lift-coefficient, landing</t>
  </si>
  <si>
    <r>
      <t>C</t>
    </r>
    <r>
      <rPr>
        <sz val="8"/>
        <rFont val="Arial"/>
        <family val="2"/>
      </rPr>
      <t>L,L</t>
    </r>
  </si>
  <si>
    <r>
      <t>Lift coefficient, C</t>
    </r>
    <r>
      <rPr>
        <sz val="8"/>
        <rFont val="Arial"/>
        <family val="2"/>
      </rPr>
      <t>L,md</t>
    </r>
  </si>
  <si>
    <r>
      <t>C</t>
    </r>
    <r>
      <rPr>
        <sz val="8"/>
        <rFont val="Arial"/>
        <family val="2"/>
      </rPr>
      <t>L,md</t>
    </r>
  </si>
  <si>
    <r>
      <t>C</t>
    </r>
    <r>
      <rPr>
        <vertAlign val="subscript"/>
        <sz val="10"/>
        <rFont val="Arial"/>
        <family val="2"/>
      </rPr>
      <t>L</t>
    </r>
    <r>
      <rPr>
        <sz val="10"/>
        <rFont val="Arial"/>
        <family val="2"/>
      </rPr>
      <t>/C</t>
    </r>
    <r>
      <rPr>
        <vertAlign val="subscript"/>
        <sz val="10"/>
        <rFont val="Arial"/>
        <family val="2"/>
      </rPr>
      <t>L,md</t>
    </r>
  </si>
  <si>
    <r>
      <t>V/V</t>
    </r>
    <r>
      <rPr>
        <vertAlign val="subscript"/>
        <sz val="10"/>
        <rFont val="Arial"/>
        <family val="2"/>
      </rPr>
      <t>md</t>
    </r>
  </si>
  <si>
    <t>T[K]</t>
  </si>
  <si>
    <t>σ</t>
  </si>
  <si>
    <t>relative density</t>
  </si>
  <si>
    <t>and presure in troposphere</t>
  </si>
  <si>
    <t>Lapse rate in troposphere</t>
  </si>
  <si>
    <t>L</t>
  </si>
  <si>
    <t>K/m</t>
  </si>
  <si>
    <t>Gas constant</t>
  </si>
  <si>
    <r>
      <t>M</t>
    </r>
    <r>
      <rPr>
        <vertAlign val="subscript"/>
        <sz val="10"/>
        <rFont val="Arial"/>
        <family val="2"/>
      </rPr>
      <t xml:space="preserve">CR   </t>
    </r>
  </si>
  <si>
    <r>
      <t>Chose:</t>
    </r>
    <r>
      <rPr>
        <sz val="10"/>
        <rFont val="Arial"/>
        <family val="2"/>
      </rPr>
      <t xml:space="preserve"> FAR Part121-Reserves</t>
    </r>
  </si>
  <si>
    <t>Propeller efficiency</t>
  </si>
  <si>
    <r>
      <t>SFC</t>
    </r>
    <r>
      <rPr>
        <vertAlign val="subscript"/>
        <sz val="10"/>
        <rFont val="Arial"/>
        <family val="2"/>
      </rPr>
      <t>P</t>
    </r>
  </si>
  <si>
    <t>T</t>
  </si>
  <si>
    <t xml:space="preserve">m/s    </t>
  </si>
  <si>
    <t>mF,erf</t>
  </si>
  <si>
    <t xml:space="preserve">            mOE+mMPL+mF,res       </t>
  </si>
  <si>
    <r>
      <t>k</t>
    </r>
    <r>
      <rPr>
        <vertAlign val="subscript"/>
        <sz val="10"/>
        <rFont val="Arial"/>
        <family val="2"/>
      </rPr>
      <t xml:space="preserve">TO               </t>
    </r>
  </si>
  <si>
    <t>2. segment</t>
  </si>
  <si>
    <t>Missed Approach</t>
  </si>
  <si>
    <t>slope, a</t>
  </si>
  <si>
    <t>Cruise</t>
  </si>
  <si>
    <t xml:space="preserve">               Landing</t>
  </si>
  <si>
    <t xml:space="preserve">             Take-off</t>
  </si>
  <si>
    <t>Power-to-weight ratio</t>
  </si>
  <si>
    <r>
      <t xml:space="preserve">     in landing position (selected from literature), and </t>
    </r>
    <r>
      <rPr>
        <u/>
        <sz val="10"/>
        <color indexed="62"/>
        <rFont val="Arial"/>
        <family val="2"/>
      </rPr>
      <t>landing field length</t>
    </r>
  </si>
  <si>
    <r>
      <t>## this block provides a max value for</t>
    </r>
    <r>
      <rPr>
        <i/>
        <sz val="10"/>
        <color indexed="62"/>
        <rFont val="Arial"/>
        <family val="2"/>
      </rPr>
      <t xml:space="preserve"> </t>
    </r>
    <r>
      <rPr>
        <b/>
        <i/>
        <sz val="10"/>
        <color indexed="62"/>
        <rFont val="Arial"/>
        <family val="2"/>
      </rPr>
      <t>wing loading</t>
    </r>
  </si>
  <si>
    <r>
      <t xml:space="preserve">## this block provides a minimum value for </t>
    </r>
    <r>
      <rPr>
        <b/>
        <i/>
        <sz val="10"/>
        <color indexed="62"/>
        <rFont val="Arial"/>
        <family val="2"/>
      </rPr>
      <t>power to weight</t>
    </r>
    <r>
      <rPr>
        <sz val="10"/>
        <color indexed="62"/>
        <rFont val="Arial"/>
        <family val="2"/>
      </rPr>
      <t xml:space="preserve"> </t>
    </r>
  </si>
  <si>
    <t>## these blocks refer to climb rate in 2nd seg and during missed</t>
  </si>
  <si>
    <r>
      <t xml:space="preserve">    approach and provide </t>
    </r>
    <r>
      <rPr>
        <b/>
        <i/>
        <sz val="10"/>
        <color indexed="62"/>
        <rFont val="Arial"/>
        <family val="2"/>
      </rPr>
      <t>min values for power to weight ratio</t>
    </r>
  </si>
  <si>
    <r>
      <t xml:space="preserve">     while the input value is </t>
    </r>
    <r>
      <rPr>
        <u/>
        <sz val="10"/>
        <color indexed="62"/>
        <rFont val="Arial"/>
        <family val="2"/>
      </rPr>
      <t>lift to drag ratio</t>
    </r>
    <r>
      <rPr>
        <sz val="10"/>
        <color indexed="62"/>
        <rFont val="Arial"/>
        <family val="2"/>
      </rPr>
      <t xml:space="preserve"> </t>
    </r>
  </si>
  <si>
    <t>Calculation of power-to-weight ratio</t>
  </si>
  <si>
    <r>
      <t>k</t>
    </r>
    <r>
      <rPr>
        <vertAlign val="subscript"/>
        <sz val="10"/>
        <rFont val="Arial"/>
        <family val="2"/>
      </rPr>
      <t xml:space="preserve">E                </t>
    </r>
  </si>
  <si>
    <r>
      <t xml:space="preserve">## The set of relationships between </t>
    </r>
    <r>
      <rPr>
        <b/>
        <i/>
        <sz val="10"/>
        <color indexed="62"/>
        <rFont val="Arial"/>
        <family val="2"/>
      </rPr>
      <t>power to weight ratio and the</t>
    </r>
  </si>
  <si>
    <r>
      <rPr>
        <b/>
        <i/>
        <sz val="10"/>
        <color indexed="62"/>
        <rFont val="Arial"/>
        <family val="2"/>
      </rPr>
      <t>wing loading</t>
    </r>
    <r>
      <rPr>
        <sz val="10"/>
        <color indexed="62"/>
        <rFont val="Arial"/>
        <family val="2"/>
      </rPr>
      <t xml:space="preserve"> represented in the matching chart give a</t>
    </r>
    <r>
      <rPr>
        <u/>
        <sz val="10"/>
        <color indexed="62"/>
        <rFont val="Arial"/>
        <family val="2"/>
      </rPr>
      <t xml:space="preserve"> single pair</t>
    </r>
    <r>
      <rPr>
        <sz val="10"/>
        <color indexed="62"/>
        <rFont val="Arial"/>
        <family val="2"/>
      </rPr>
      <t xml:space="preserve"> of values</t>
    </r>
  </si>
  <si>
    <t>## the power to weight ratio are the input values for the estimation of</t>
  </si>
  <si>
    <t xml:space="preserve">     operating empty mass mOE/mMTO or relative useful load</t>
  </si>
  <si>
    <t>T-O power of ONE engine</t>
  </si>
  <si>
    <t>Take-off power</t>
  </si>
  <si>
    <t>n</t>
  </si>
  <si>
    <t>Propeller Efficiency-2nd Segment</t>
  </si>
  <si>
    <t>Propeller Efficiency-Missed Approach</t>
  </si>
  <si>
    <t>Propeller Efficiency-Cruise</t>
  </si>
  <si>
    <t>kg/W/s</t>
  </si>
  <si>
    <t>mMTO</t>
  </si>
  <si>
    <t>W</t>
  </si>
  <si>
    <t>Cruise altitude</t>
  </si>
  <si>
    <t>Standard temperature,sea level</t>
  </si>
  <si>
    <t>HOWE 2000</t>
  </si>
  <si>
    <r>
      <t>m</t>
    </r>
    <r>
      <rPr>
        <vertAlign val="subscript"/>
        <sz val="11"/>
        <color indexed="8"/>
        <rFont val="Calibri"/>
        <family val="2"/>
      </rPr>
      <t xml:space="preserve">L </t>
    </r>
    <r>
      <rPr>
        <sz val="11"/>
        <color indexed="8"/>
        <rFont val="Calibri"/>
        <family val="2"/>
      </rPr>
      <t>(kg)</t>
    </r>
  </si>
  <si>
    <r>
      <t>S</t>
    </r>
    <r>
      <rPr>
        <vertAlign val="subscript"/>
        <sz val="11"/>
        <color indexed="8"/>
        <rFont val="Calibri"/>
        <family val="2"/>
      </rPr>
      <t xml:space="preserve">W </t>
    </r>
    <r>
      <rPr>
        <sz val="11"/>
        <color indexed="8"/>
        <rFont val="Calibri"/>
        <family val="2"/>
      </rPr>
      <t>(m</t>
    </r>
    <r>
      <rPr>
        <vertAlign val="superscript"/>
        <sz val="11"/>
        <color indexed="8"/>
        <rFont val="Calibri"/>
        <family val="2"/>
      </rPr>
      <t>2</t>
    </r>
    <r>
      <rPr>
        <sz val="11"/>
        <color indexed="8"/>
        <rFont val="Calibri"/>
        <family val="2"/>
      </rPr>
      <t>)</t>
    </r>
  </si>
  <si>
    <t>Flap type</t>
  </si>
  <si>
    <r>
      <t>C</t>
    </r>
    <r>
      <rPr>
        <vertAlign val="subscript"/>
        <sz val="11"/>
        <color indexed="8"/>
        <rFont val="Calibri"/>
        <family val="2"/>
      </rPr>
      <t>LmaxL</t>
    </r>
    <r>
      <rPr>
        <sz val="10"/>
        <rFont val="Arial"/>
        <family val="2"/>
      </rPr>
      <t xml:space="preserve"> </t>
    </r>
  </si>
  <si>
    <r>
      <t>S</t>
    </r>
    <r>
      <rPr>
        <vertAlign val="subscript"/>
        <sz val="11"/>
        <color indexed="8"/>
        <rFont val="Calibri"/>
        <family val="2"/>
      </rPr>
      <t xml:space="preserve">LFL </t>
    </r>
    <r>
      <rPr>
        <sz val="11"/>
        <color indexed="8"/>
        <rFont val="Calibri"/>
        <family val="2"/>
      </rPr>
      <t>(m)</t>
    </r>
  </si>
  <si>
    <r>
      <t>m</t>
    </r>
    <r>
      <rPr>
        <vertAlign val="subscript"/>
        <sz val="11"/>
        <color indexed="8"/>
        <rFont val="Calibri"/>
        <family val="2"/>
      </rPr>
      <t>L</t>
    </r>
    <r>
      <rPr>
        <sz val="10"/>
        <rFont val="Arial"/>
        <family val="2"/>
      </rPr>
      <t>/S</t>
    </r>
    <r>
      <rPr>
        <vertAlign val="subscript"/>
        <sz val="11"/>
        <color indexed="8"/>
        <rFont val="Calibri"/>
        <family val="2"/>
      </rPr>
      <t>W</t>
    </r>
  </si>
  <si>
    <r>
      <t>S</t>
    </r>
    <r>
      <rPr>
        <vertAlign val="subscript"/>
        <sz val="11"/>
        <color indexed="8"/>
        <rFont val="Calibri"/>
        <family val="2"/>
      </rPr>
      <t>LFL</t>
    </r>
    <r>
      <rPr>
        <sz val="10"/>
        <rFont val="Arial"/>
        <family val="2"/>
      </rPr>
      <t>*C</t>
    </r>
    <r>
      <rPr>
        <vertAlign val="subscript"/>
        <sz val="11"/>
        <color indexed="8"/>
        <rFont val="Calibri"/>
        <family val="2"/>
      </rPr>
      <t>LmaxL</t>
    </r>
  </si>
  <si>
    <r>
      <t>k</t>
    </r>
    <r>
      <rPr>
        <vertAlign val="subscript"/>
        <sz val="11"/>
        <color indexed="8"/>
        <rFont val="Calibri"/>
        <family val="2"/>
      </rPr>
      <t>L</t>
    </r>
  </si>
  <si>
    <r>
      <t>k</t>
    </r>
    <r>
      <rPr>
        <vertAlign val="subscript"/>
        <sz val="11"/>
        <color indexed="8"/>
        <rFont val="Calibri"/>
        <family val="2"/>
      </rPr>
      <t>App</t>
    </r>
  </si>
  <si>
    <t>Shorts 330</t>
  </si>
  <si>
    <t>DHC 8 Q 100</t>
  </si>
  <si>
    <t>two-section slotted Fowler flaps</t>
  </si>
  <si>
    <t>DHC 8 Q 200</t>
  </si>
  <si>
    <t>DHC 8 Q 300</t>
  </si>
  <si>
    <t>DHC 8 Q 400</t>
  </si>
  <si>
    <t>EMB 120</t>
  </si>
  <si>
    <t>double-slotted Fowler trailing-edge flap inboard and outboard of each engine nacelle, with small plain flap beneath each nacelle</t>
  </si>
  <si>
    <t>SAAB 340 B</t>
  </si>
  <si>
    <t>single-slotted flaps</t>
  </si>
  <si>
    <t>SAAB 2000</t>
  </si>
  <si>
    <t>single-slotted flaps with offset hinges</t>
  </si>
  <si>
    <t>Dornier 328</t>
  </si>
  <si>
    <t>single-slotted Fowler flaps</t>
  </si>
  <si>
    <t>An-140</t>
  </si>
  <si>
    <t>Two-section flaps in each wing</t>
  </si>
  <si>
    <t>Il-114</t>
  </si>
  <si>
    <t>double-slotted trailing-edge flaps</t>
  </si>
  <si>
    <t>LET L 610 G</t>
  </si>
  <si>
    <t>ATR 72</t>
  </si>
  <si>
    <t>two-segment double-slotted flaps on offset hinges</t>
  </si>
  <si>
    <t xml:space="preserve">ATR42 </t>
  </si>
  <si>
    <t>Statistical data</t>
  </si>
  <si>
    <r>
      <t>S</t>
    </r>
    <r>
      <rPr>
        <vertAlign val="subscript"/>
        <sz val="11"/>
        <color indexed="8"/>
        <rFont val="Calibri"/>
        <family val="2"/>
      </rPr>
      <t xml:space="preserve">LFL </t>
    </r>
    <r>
      <rPr>
        <sz val="10"/>
        <rFont val="Arial"/>
        <family val="2"/>
      </rPr>
      <t>(m)</t>
    </r>
  </si>
  <si>
    <r>
      <t>SQRT(S</t>
    </r>
    <r>
      <rPr>
        <vertAlign val="subscript"/>
        <sz val="11"/>
        <color indexed="8"/>
        <rFont val="Calibri"/>
        <family val="2"/>
      </rPr>
      <t>LFL</t>
    </r>
    <r>
      <rPr>
        <sz val="10"/>
        <rFont val="Arial"/>
        <family val="2"/>
      </rPr>
      <t>)</t>
    </r>
  </si>
  <si>
    <t>Result of comparison:</t>
  </si>
  <si>
    <r>
      <t>in the same time the approach speeds are not always given acurately or they do not always refer to 1.3 V</t>
    </r>
    <r>
      <rPr>
        <b/>
        <vertAlign val="subscript"/>
        <sz val="10"/>
        <rFont val="Arial"/>
        <family val="2"/>
      </rPr>
      <t>S</t>
    </r>
  </si>
  <si>
    <t>power loading (W/kg)</t>
  </si>
  <si>
    <r>
      <t>S</t>
    </r>
    <r>
      <rPr>
        <vertAlign val="subscript"/>
        <sz val="11"/>
        <color indexed="8"/>
        <rFont val="Calibri"/>
        <family val="2"/>
      </rPr>
      <t>TOFL</t>
    </r>
    <r>
      <rPr>
        <sz val="10"/>
        <rFont val="Arial"/>
        <family val="2"/>
      </rPr>
      <t xml:space="preserve"> (m)</t>
    </r>
  </si>
  <si>
    <t>Propeller  efficiency (take-off)</t>
  </si>
  <si>
    <r>
      <t>C</t>
    </r>
    <r>
      <rPr>
        <vertAlign val="subscript"/>
        <sz val="11"/>
        <color indexed="8"/>
        <rFont val="Calibri"/>
        <family val="2"/>
      </rPr>
      <t>LmaxTO</t>
    </r>
  </si>
  <si>
    <t>wing loading (kg/m2)</t>
  </si>
  <si>
    <r>
      <t>V</t>
    </r>
    <r>
      <rPr>
        <vertAlign val="subscript"/>
        <sz val="11"/>
        <color indexed="8"/>
        <rFont val="Calibri"/>
        <family val="2"/>
      </rPr>
      <t xml:space="preserve">S,TO </t>
    </r>
    <r>
      <rPr>
        <sz val="11"/>
        <color indexed="8"/>
        <rFont val="Calibri"/>
        <family val="2"/>
      </rPr>
      <t>(km/3,6)</t>
    </r>
  </si>
  <si>
    <t>V (m/s)</t>
  </si>
  <si>
    <t>y axis</t>
  </si>
  <si>
    <t>x axis</t>
  </si>
  <si>
    <t>Jets</t>
  </si>
  <si>
    <t>Observations</t>
  </si>
  <si>
    <t>turboprops achieve a shorter landing field length at the same wing loading</t>
  </si>
  <si>
    <t>–</t>
  </si>
  <si>
    <t>Turboprops</t>
  </si>
  <si>
    <t>Fuselage</t>
  </si>
  <si>
    <t>Horizontal Tailplane</t>
  </si>
  <si>
    <t>Ver Tail</t>
  </si>
  <si>
    <t>total</t>
  </si>
  <si>
    <t>Sw</t>
  </si>
  <si>
    <t>Swet/Sw</t>
  </si>
  <si>
    <t>A/Swet/Sw</t>
  </si>
  <si>
    <t>F 27</t>
  </si>
  <si>
    <t>Shorts 360</t>
  </si>
  <si>
    <t>Saab 340 A</t>
  </si>
  <si>
    <t>Bae ATP</t>
  </si>
  <si>
    <t>Emb 120</t>
  </si>
  <si>
    <t>J 41</t>
  </si>
  <si>
    <t>Do 328</t>
  </si>
  <si>
    <t>DHC -8-300</t>
  </si>
  <si>
    <t>ATR 42</t>
  </si>
  <si>
    <t>Wing</t>
  </si>
  <si>
    <t>Engine</t>
  </si>
  <si>
    <r>
      <t>E</t>
    </r>
    <r>
      <rPr>
        <vertAlign val="superscript"/>
        <sz val="10"/>
        <rFont val="Arial"/>
        <family val="2"/>
      </rPr>
      <t>2</t>
    </r>
  </si>
  <si>
    <t>V) Others</t>
  </si>
  <si>
    <t>VI) Summary</t>
  </si>
  <si>
    <t>mML/mMTO</t>
  </si>
  <si>
    <t>mML</t>
  </si>
  <si>
    <t>AVERAGE</t>
  </si>
  <si>
    <r>
      <t>turboprops have a smaller range, so the value of K</t>
    </r>
    <r>
      <rPr>
        <vertAlign val="subscript"/>
        <sz val="10"/>
        <rFont val="Arial"/>
        <family val="2"/>
      </rPr>
      <t>E</t>
    </r>
    <r>
      <rPr>
        <sz val="10"/>
        <rFont val="Arial"/>
        <family val="2"/>
      </rPr>
      <t>, compared to jets is smaller</t>
    </r>
  </si>
  <si>
    <t>practicaly the same value for jets and turboprops</t>
  </si>
  <si>
    <t>for large jets-long range</t>
  </si>
  <si>
    <t>for large jets-medium range</t>
  </si>
  <si>
    <t>for large jets-small range</t>
  </si>
  <si>
    <t xml:space="preserve">       temperature at any H</t>
  </si>
  <si>
    <t>chosen</t>
  </si>
  <si>
    <r>
      <t>m</t>
    </r>
    <r>
      <rPr>
        <b/>
        <vertAlign val="subscript"/>
        <sz val="12"/>
        <color indexed="8"/>
        <rFont val="Arial"/>
        <family val="2"/>
      </rPr>
      <t>ML</t>
    </r>
    <r>
      <rPr>
        <b/>
        <sz val="12"/>
        <color indexed="8"/>
        <rFont val="Arial"/>
        <family val="2"/>
      </rPr>
      <t>/m</t>
    </r>
    <r>
      <rPr>
        <b/>
        <vertAlign val="subscript"/>
        <sz val="12"/>
        <color indexed="8"/>
        <rFont val="Arial"/>
        <family val="2"/>
      </rPr>
      <t>MTO</t>
    </r>
  </si>
  <si>
    <t>Preliminary Sizing I</t>
  </si>
  <si>
    <t>Preliminary Sizing II</t>
  </si>
  <si>
    <t>Author:</t>
  </si>
  <si>
    <t>HAW Hamburg</t>
  </si>
  <si>
    <t>Dipl.-Ing. Mihaela Nita</t>
  </si>
  <si>
    <t>For more information see the following links:</t>
  </si>
  <si>
    <r>
      <t xml:space="preserve">SCHOLZ, Dieter; NIŢĂ, Mihaela: </t>
    </r>
    <r>
      <rPr>
        <b/>
        <sz val="10"/>
        <rFont val="Arial"/>
        <family val="2"/>
      </rPr>
      <t>Preliminary Sizing of Large Propeller Driven Aeroplanes</t>
    </r>
  </si>
  <si>
    <t>http://Aero.ProfScholz.de</t>
  </si>
  <si>
    <t>Prof. Dr.-Ing. Dieter Scholz, MSME</t>
  </si>
  <si>
    <r>
      <t xml:space="preserve">     in take-off config. and </t>
    </r>
    <r>
      <rPr>
        <u/>
        <sz val="10"/>
        <color indexed="62"/>
        <rFont val="Arial"/>
        <family val="2"/>
      </rPr>
      <t>take-off field length</t>
    </r>
  </si>
  <si>
    <t>Example data is taken from</t>
  </si>
  <si>
    <t>Max. Glide Ratio in Curise</t>
  </si>
  <si>
    <t>A =</t>
  </si>
  <si>
    <t>m =</t>
  </si>
  <si>
    <t>n =</t>
  </si>
  <si>
    <t>1 m = 3,281 ft</t>
  </si>
  <si>
    <r>
      <t xml:space="preserve">that meet </t>
    </r>
    <r>
      <rPr>
        <u/>
        <sz val="10"/>
        <color indexed="62"/>
        <rFont val="Arial"/>
        <family val="2"/>
      </rPr>
      <t>all requirements</t>
    </r>
    <r>
      <rPr>
        <sz val="10"/>
        <color indexed="62"/>
        <rFont val="Arial"/>
        <family val="2"/>
      </rPr>
      <t xml:space="preserve"> and constraints in an economical manner----&gt;see below</t>
    </r>
  </si>
  <si>
    <t>Specific fuel consumption</t>
  </si>
  <si>
    <t>Fuel-Fraction, extra flight distance</t>
  </si>
  <si>
    <t>Specific fuel consumption, loiter</t>
  </si>
  <si>
    <t>original aircraft</t>
  </si>
  <si>
    <t>kg   (max.)</t>
  </si>
  <si>
    <r>
      <t>P</t>
    </r>
    <r>
      <rPr>
        <vertAlign val="subscript"/>
        <sz val="10"/>
        <rFont val="Arial"/>
        <family val="2"/>
      </rPr>
      <t>S,TO</t>
    </r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</si>
  <si>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 xml:space="preserve"> / n</t>
    </r>
    <r>
      <rPr>
        <vertAlign val="subscript"/>
        <sz val="10"/>
        <rFont val="Arial"/>
        <family val="2"/>
      </rPr>
      <t>E</t>
    </r>
  </si>
  <si>
    <t>http://paper.ProfScholz.de</t>
  </si>
  <si>
    <t>http://bibliothek.ProfScholz.de</t>
  </si>
  <si>
    <t>Stall speed, landing configuration</t>
  </si>
  <si>
    <t>Stall speed, take-off configuration</t>
  </si>
  <si>
    <r>
      <t>P</t>
    </r>
    <r>
      <rPr>
        <vertAlign val="subscript"/>
        <sz val="10"/>
        <rFont val="Arial"/>
        <family val="2"/>
      </rPr>
      <t>STO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MTO,</t>
    </r>
    <r>
      <rPr>
        <sz val="10"/>
        <rFont val="Arial"/>
        <family val="2"/>
      </rPr>
      <t xml:space="preserve"> at 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>/S</t>
    </r>
    <r>
      <rPr>
        <vertAlign val="subscript"/>
        <sz val="10"/>
        <rFont val="Arial"/>
        <family val="2"/>
      </rPr>
      <t>W</t>
    </r>
  </si>
  <si>
    <t>W/kg</t>
  </si>
  <si>
    <t>&lt;&lt;&lt;&lt; Design point from matching chart!</t>
  </si>
  <si>
    <t>a [m/s]</t>
  </si>
  <si>
    <r>
      <t>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  <r>
      <rPr>
        <sz val="10"/>
        <rFont val="Arial"/>
        <family val="2"/>
      </rPr>
      <t xml:space="preserve"> [kg/m²]</t>
    </r>
  </si>
  <si>
    <r>
      <t>P</t>
    </r>
    <r>
      <rPr>
        <vertAlign val="subscript"/>
        <sz val="10"/>
        <rFont val="Arial"/>
        <family val="2"/>
      </rPr>
      <t>CR</t>
    </r>
    <r>
      <rPr>
        <sz val="10"/>
        <rFont val="Arial"/>
        <family val="2"/>
      </rPr>
      <t>/P</t>
    </r>
    <r>
      <rPr>
        <vertAlign val="subscript"/>
        <sz val="10"/>
        <rFont val="Arial"/>
        <family val="2"/>
      </rPr>
      <t>S,TO</t>
    </r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</si>
  <si>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 xml:space="preserve"> [W/kg]</t>
    </r>
  </si>
  <si>
    <r>
      <t xml:space="preserve"> 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</si>
  <si>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</si>
  <si>
    <r>
      <t>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>/S</t>
    </r>
    <r>
      <rPr>
        <vertAlign val="subscript"/>
        <sz val="10"/>
        <rFont val="Arial"/>
        <family val="2"/>
      </rPr>
      <t>W</t>
    </r>
  </si>
  <si>
    <t>K m² / s²</t>
  </si>
  <si>
    <r>
      <t>T</t>
    </r>
    <r>
      <rPr>
        <vertAlign val="subscript"/>
        <sz val="10"/>
        <rFont val="Arial"/>
        <family val="2"/>
      </rPr>
      <t>0</t>
    </r>
  </si>
  <si>
    <t>Maximum lift coefficient, take-off</t>
  </si>
  <si>
    <t>Take-off safety speed</t>
  </si>
  <si>
    <r>
      <t>V</t>
    </r>
    <r>
      <rPr>
        <vertAlign val="subscript"/>
        <sz val="10"/>
        <rFont val="Arial"/>
        <family val="2"/>
      </rPr>
      <t>S,0</t>
    </r>
  </si>
  <si>
    <r>
      <t>V</t>
    </r>
    <r>
      <rPr>
        <vertAlign val="subscript"/>
        <sz val="10"/>
        <rFont val="Arial"/>
        <family val="2"/>
      </rPr>
      <t>S,1</t>
    </r>
  </si>
  <si>
    <r>
      <t>V</t>
    </r>
    <r>
      <rPr>
        <vertAlign val="subscript"/>
        <sz val="10"/>
        <rFont val="Arial"/>
        <family val="2"/>
      </rPr>
      <t>2</t>
    </r>
  </si>
  <si>
    <r>
      <t>η</t>
    </r>
    <r>
      <rPr>
        <vertAlign val="subscript"/>
        <sz val="10"/>
        <rFont val="Arial"/>
        <family val="2"/>
      </rPr>
      <t>P</t>
    </r>
  </si>
  <si>
    <r>
      <t xml:space="preserve">    </t>
    </r>
    <r>
      <rPr>
        <b/>
        <i/>
        <sz val="10"/>
        <color indexed="62"/>
        <rFont val="Arial"/>
        <family val="2"/>
      </rPr>
      <t xml:space="preserve"> ratio</t>
    </r>
    <r>
      <rPr>
        <sz val="10"/>
        <color indexed="62"/>
        <rFont val="Arial"/>
        <family val="2"/>
      </rPr>
      <t xml:space="preserve"> </t>
    </r>
    <r>
      <rPr>
        <b/>
        <i/>
        <sz val="10"/>
        <color indexed="62"/>
        <rFont val="Arial"/>
        <family val="2"/>
      </rPr>
      <t>as a function of wing loading</t>
    </r>
    <r>
      <rPr>
        <sz val="10"/>
        <color indexed="62"/>
        <rFont val="Arial"/>
        <family val="2"/>
      </rPr>
      <t xml:space="preserve"> dependent of </t>
    </r>
    <r>
      <rPr>
        <u/>
        <sz val="10"/>
        <color indexed="62"/>
        <rFont val="Arial"/>
        <family val="2"/>
      </rPr>
      <t>max lift coefficient</t>
    </r>
  </si>
  <si>
    <r>
      <t xml:space="preserve">     when input data are </t>
    </r>
    <r>
      <rPr>
        <u/>
        <sz val="10"/>
        <color indexed="62"/>
        <rFont val="Arial"/>
        <family val="2"/>
      </rPr>
      <t>max lift  coefficient</t>
    </r>
    <r>
      <rPr>
        <sz val="10"/>
        <color indexed="62"/>
        <rFont val="Arial"/>
        <family val="2"/>
      </rPr>
      <t xml:space="preserve"> with flaps</t>
    </r>
  </si>
  <si>
    <r>
      <t>in case of a redesign: C</t>
    </r>
    <r>
      <rPr>
        <vertAlign val="subscript"/>
        <sz val="10"/>
        <rFont val="Arial"/>
        <family val="2"/>
      </rPr>
      <t>L,max,L</t>
    </r>
    <r>
      <rPr>
        <sz val="10"/>
        <rFont val="Arial"/>
        <family val="2"/>
      </rPr>
      <t xml:space="preserve"> can be estimated from:</t>
    </r>
  </si>
  <si>
    <r>
      <t>V</t>
    </r>
    <r>
      <rPr>
        <vertAlign val="subscript"/>
        <sz val="10"/>
        <rFont val="Arial"/>
        <family val="2"/>
      </rPr>
      <t>S,0</t>
    </r>
    <r>
      <rPr>
        <sz val="10"/>
        <rFont val="Arial"/>
        <family val="2"/>
      </rPr>
      <t xml:space="preserve"> see below</t>
    </r>
  </si>
  <si>
    <r>
      <t>C</t>
    </r>
    <r>
      <rPr>
        <vertAlign val="subscript"/>
        <sz val="10"/>
        <rFont val="Arial"/>
        <family val="2"/>
      </rPr>
      <t>L,max,L</t>
    </r>
  </si>
  <si>
    <t>Propeller disc area</t>
  </si>
  <si>
    <t>Disc loading</t>
  </si>
  <si>
    <t>Propeller disc diameter</t>
  </si>
  <si>
    <r>
      <t>d</t>
    </r>
    <r>
      <rPr>
        <vertAlign val="subscript"/>
        <sz val="10"/>
        <rFont val="Arial"/>
        <family val="2"/>
      </rPr>
      <t>D</t>
    </r>
  </si>
  <si>
    <r>
      <t>S</t>
    </r>
    <r>
      <rPr>
        <vertAlign val="subscript"/>
        <sz val="10"/>
        <rFont val="Arial"/>
        <family val="2"/>
      </rPr>
      <t>D</t>
    </r>
  </si>
  <si>
    <r>
      <t>L</t>
    </r>
    <r>
      <rPr>
        <vertAlign val="subscript"/>
        <sz val="10"/>
        <rFont val="Arial"/>
        <family val="2"/>
      </rPr>
      <t>D</t>
    </r>
  </si>
  <si>
    <t>all eng. together</t>
  </si>
  <si>
    <r>
      <t>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>/S</t>
    </r>
    <r>
      <rPr>
        <vertAlign val="subscript"/>
        <sz val="10"/>
        <rFont val="Arial"/>
        <family val="2"/>
      </rPr>
      <t>W</t>
    </r>
    <r>
      <rPr>
        <sz val="10"/>
        <rFont val="Arial"/>
        <family val="2"/>
      </rPr>
      <t xml:space="preserve"> :</t>
    </r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</si>
  <si>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>/m</t>
    </r>
    <r>
      <rPr>
        <vertAlign val="subscript"/>
        <sz val="10"/>
        <rFont val="Arial"/>
        <family val="2"/>
      </rPr>
      <t>MTO</t>
    </r>
    <r>
      <rPr>
        <sz val="10"/>
        <rFont val="Arial"/>
        <family val="2"/>
      </rPr>
      <t xml:space="preserve"> :</t>
    </r>
  </si>
  <si>
    <t>&lt;&lt;&lt;&lt; compare with design point</t>
  </si>
  <si>
    <t>Remark:</t>
  </si>
  <si>
    <r>
      <t>P</t>
    </r>
    <r>
      <rPr>
        <vertAlign val="subscript"/>
        <sz val="10"/>
        <rFont val="Arial"/>
        <family val="2"/>
      </rPr>
      <t>S,TO</t>
    </r>
    <r>
      <rPr>
        <sz val="10"/>
        <rFont val="Arial"/>
        <family val="2"/>
      </rPr>
      <t xml:space="preserve"> / m</t>
    </r>
    <r>
      <rPr>
        <vertAlign val="subscript"/>
        <sz val="10"/>
        <rFont val="Arial"/>
        <family val="2"/>
      </rPr>
      <t>MTO</t>
    </r>
  </si>
  <si>
    <t>Relative power in cruise</t>
  </si>
  <si>
    <t>Redesign? Enter original aircraft data! Compare with results!</t>
  </si>
  <si>
    <t>from statistics for turboprops (Jenkinson 1999)</t>
  </si>
  <si>
    <t>CR power of ONE engine</t>
  </si>
  <si>
    <r>
      <t>P</t>
    </r>
    <r>
      <rPr>
        <vertAlign val="subscript"/>
        <sz val="10"/>
        <rFont val="Arial"/>
        <family val="2"/>
      </rPr>
      <t>S,CR</t>
    </r>
    <r>
      <rPr>
        <sz val="10"/>
        <rFont val="Arial"/>
        <family val="2"/>
      </rPr>
      <t xml:space="preserve"> / n</t>
    </r>
    <r>
      <rPr>
        <vertAlign val="subscript"/>
        <sz val="10"/>
        <rFont val="Arial"/>
        <family val="2"/>
      </rPr>
      <t>E    calculated</t>
    </r>
  </si>
  <si>
    <t>Disc loading, estimated</t>
  </si>
  <si>
    <r>
      <t>L</t>
    </r>
    <r>
      <rPr>
        <vertAlign val="subscript"/>
        <sz val="10"/>
        <rFont val="Arial"/>
        <family val="2"/>
      </rPr>
      <t>D   calculated</t>
    </r>
  </si>
  <si>
    <t>Relative density in cruise</t>
  </si>
  <si>
    <t>Temperature in cruise</t>
  </si>
  <si>
    <r>
      <t>h</t>
    </r>
    <r>
      <rPr>
        <vertAlign val="subscript"/>
        <sz val="10"/>
        <rFont val="Arial"/>
        <family val="2"/>
      </rPr>
      <t>CR</t>
    </r>
  </si>
  <si>
    <t>ft</t>
  </si>
  <si>
    <t>Cruise speed, estimated</t>
  </si>
  <si>
    <t>Cruise speed, calculated</t>
  </si>
  <si>
    <t>Speed of sound</t>
  </si>
  <si>
    <t>Cruise speed, first iteration</t>
  </si>
  <si>
    <r>
      <t>V</t>
    </r>
    <r>
      <rPr>
        <vertAlign val="subscript"/>
        <sz val="10"/>
        <rFont val="Arial"/>
        <family val="2"/>
      </rPr>
      <t>CR    1. iteration</t>
    </r>
  </si>
  <si>
    <r>
      <t>V</t>
    </r>
    <r>
      <rPr>
        <vertAlign val="subscript"/>
        <sz val="10"/>
        <rFont val="Arial"/>
        <family val="2"/>
      </rPr>
      <t>CR    2. iteration</t>
    </r>
  </si>
  <si>
    <r>
      <t>V</t>
    </r>
    <r>
      <rPr>
        <vertAlign val="subscript"/>
        <sz val="10"/>
        <rFont val="Arial"/>
        <family val="2"/>
      </rPr>
      <t>CR    3. iteration</t>
    </r>
  </si>
  <si>
    <t xml:space="preserve"> for retractable propeller aircraft</t>
  </si>
  <si>
    <t xml:space="preserve"> Roskam / Raymer (see FE-Script)</t>
  </si>
  <si>
    <t xml:space="preserve">These worksheets show the method and example calculation </t>
  </si>
  <si>
    <t>http://www.profscholz.de</t>
  </si>
  <si>
    <r>
      <t>T</t>
    </r>
    <r>
      <rPr>
        <vertAlign val="subscript"/>
        <sz val="10"/>
        <rFont val="Arial"/>
        <family val="2"/>
      </rPr>
      <t>Troposphere</t>
    </r>
  </si>
  <si>
    <t>Average take-off safety speed</t>
  </si>
  <si>
    <r>
      <t>0,707 * V</t>
    </r>
    <r>
      <rPr>
        <vertAlign val="subscript"/>
        <sz val="10"/>
        <rFont val="Arial"/>
        <family val="2"/>
      </rPr>
      <t>2</t>
    </r>
  </si>
  <si>
    <t>from Take-Off</t>
  </si>
  <si>
    <t>x1</t>
  </si>
  <si>
    <t>y1</t>
  </si>
  <si>
    <t>x2</t>
  </si>
  <si>
    <t>y2</t>
  </si>
  <si>
    <t>Advance ratio</t>
  </si>
  <si>
    <t>u</t>
  </si>
  <si>
    <t>Rotational speed</t>
  </si>
  <si>
    <t>1/min</t>
  </si>
  <si>
    <t>Wm/kg</t>
  </si>
  <si>
    <t>Check: Cruise speed is within validity range:</t>
  </si>
  <si>
    <t>Check: Propellor disc diameter is within validity range:</t>
  </si>
  <si>
    <t>(Roskam)</t>
  </si>
  <si>
    <t>engines (such for the ATR 72)</t>
  </si>
  <si>
    <r>
      <t xml:space="preserve">for the </t>
    </r>
    <r>
      <rPr>
        <b/>
        <sz val="12"/>
        <color indexed="10"/>
        <rFont val="Arial"/>
        <family val="2"/>
      </rPr>
      <t>preliminary sizing of large propeller driven aircraft</t>
    </r>
    <r>
      <rPr>
        <b/>
        <sz val="12"/>
        <rFont val="Arial"/>
        <family val="2"/>
      </rPr>
      <t xml:space="preserve"> certified with respect to CS-25.</t>
    </r>
  </si>
  <si>
    <t>Marlis Krull</t>
  </si>
  <si>
    <t>given</t>
  </si>
  <si>
    <t>from statistic</t>
  </si>
  <si>
    <t>from theory</t>
  </si>
  <si>
    <t>1/s</t>
  </si>
  <si>
    <t>Estimation of Rotational speed</t>
  </si>
  <si>
    <t>Circumferential speed</t>
  </si>
  <si>
    <t>statistical calculation covers cruise speeds from 86 … 185 m/s and propeller diameters from 2.6 … 4.2 m; average deviation = 5 %</t>
  </si>
  <si>
    <t>Selected formula</t>
  </si>
  <si>
    <t xml:space="preserve"> for large propeller driven aircraft: statistics give a value 11,22 --- See tab "Parameters-Statistics"</t>
  </si>
  <si>
    <t>see tab "Parameter statistics"</t>
  </si>
  <si>
    <t>1) Wolf</t>
  </si>
  <si>
    <t>2) Truckenbrodt1</t>
  </si>
  <si>
    <t>3) Truckenbrodt2</t>
  </si>
  <si>
    <t>Truckenbrodt2</t>
  </si>
  <si>
    <t>based on:</t>
  </si>
  <si>
    <t>Truckenbrodt 1999</t>
  </si>
  <si>
    <t>Truckenbrodt 1996</t>
  </si>
  <si>
    <t>There is no theoretical background as the formula has been developed by measuring</t>
  </si>
  <si>
    <t xml:space="preserve">Johanning 2013 </t>
  </si>
  <si>
    <t>based on Adkins 1994</t>
  </si>
  <si>
    <r>
      <t>with: M</t>
    </r>
    <r>
      <rPr>
        <vertAlign val="subscript"/>
        <sz val="10"/>
        <rFont val="Arial"/>
        <family val="2"/>
      </rPr>
      <t>eff</t>
    </r>
    <r>
      <rPr>
        <sz val="10"/>
        <rFont val="Arial"/>
        <family val="2"/>
      </rPr>
      <t xml:space="preserve"> =</t>
    </r>
  </si>
  <si>
    <t>Formula for estimation of propeller efficiency</t>
  </si>
  <si>
    <t xml:space="preserve">The spreadsheet might crash, if unrealistic data is entered in input cells (bold blue). In this case there are two options to fix the spreadsheet: </t>
  </si>
  <si>
    <t>Help</t>
  </si>
  <si>
    <t>B) follow these steps :</t>
  </si>
  <si>
    <t>The spreadsheet should be fixed now. If it isn't, proceed with A).</t>
  </si>
  <si>
    <r>
      <t xml:space="preserve">A) Reopen the spreadsheet without saving the old work </t>
    </r>
    <r>
      <rPr>
        <b/>
        <sz val="10"/>
        <rFont val="Arial"/>
        <family val="2"/>
      </rPr>
      <t xml:space="preserve">or </t>
    </r>
  </si>
  <si>
    <t>Wolf 2009 based on Marckwardt 1998</t>
  </si>
  <si>
    <t>Marckwardt 1998</t>
  </si>
  <si>
    <r>
      <t xml:space="preserve">KRULL, Marlis: </t>
    </r>
    <r>
      <rPr>
        <b/>
        <sz val="10"/>
        <rFont val="Arial"/>
        <family val="2"/>
      </rPr>
      <t>Preliminary Sizing of Propeller Aircraft (Part 25)</t>
    </r>
  </si>
  <si>
    <t>The method is shown in worksheets "Preliminary Sizing I", "Max.Glide Ratio in Cruise", "Propeller Efficiency" and "Preliminary Sizing II".</t>
  </si>
  <si>
    <t>An overview about how these parameters were obtained can be found in worksheets "Parameter-Statistics" and "Propeller Efficiency".</t>
  </si>
  <si>
    <t>Propeller Efficiency Cruise</t>
  </si>
  <si>
    <t>𝜆</t>
  </si>
  <si>
    <r>
      <t>in case of a redesign: L</t>
    </r>
    <r>
      <rPr>
        <vertAlign val="subscript"/>
        <sz val="10"/>
        <rFont val="Arial"/>
        <family val="2"/>
      </rPr>
      <t>D</t>
    </r>
    <r>
      <rPr>
        <sz val="10"/>
        <rFont val="Arial"/>
        <family val="2"/>
      </rPr>
      <t xml:space="preserve"> can be estimated from:</t>
    </r>
  </si>
  <si>
    <t>Iterations need to be enabled to use this spreadsheet. Please check the settings before getting started.</t>
  </si>
  <si>
    <t>Interpolation of Speed of Sound</t>
  </si>
  <si>
    <t>&lt;&lt;&lt;&lt; Do not change this cell!</t>
  </si>
  <si>
    <r>
      <t>1.6 &lt; k</t>
    </r>
    <r>
      <rPr>
        <vertAlign val="subscript"/>
        <sz val="10"/>
        <rFont val="Arial"/>
        <family val="2"/>
      </rPr>
      <t>APP</t>
    </r>
    <r>
      <rPr>
        <sz val="10"/>
        <rFont val="Arial"/>
        <family val="2"/>
      </rPr>
      <t xml:space="preserve"> &lt; 2.4</t>
    </r>
  </si>
  <si>
    <t>This equation represents the diagram of Marckwardt. --&gt;</t>
  </si>
  <si>
    <t>The formation of shock waves and the loss of spin are neglected here. The factor 0.9 takes into accout the influence of friction.</t>
  </si>
  <si>
    <t xml:space="preserve">The formation of shock waves is neglected here. The factor 0.9 takes into account the influence of friction. </t>
  </si>
  <si>
    <t>max. Mach number</t>
  </si>
  <si>
    <r>
      <t>M</t>
    </r>
    <r>
      <rPr>
        <vertAlign val="subscript"/>
        <sz val="10"/>
        <rFont val="Arial"/>
        <family val="2"/>
      </rPr>
      <t>max</t>
    </r>
    <r>
      <rPr>
        <sz val="10"/>
        <rFont val="Arial"/>
        <family val="2"/>
      </rPr>
      <t xml:space="preserve"> </t>
    </r>
  </si>
  <si>
    <r>
      <t>S</t>
    </r>
    <r>
      <rPr>
        <vertAlign val="subscript"/>
        <sz val="10"/>
        <rFont val="Arial"/>
        <family val="2"/>
      </rPr>
      <t>wet</t>
    </r>
    <r>
      <rPr>
        <sz val="10"/>
        <rFont val="Arial"/>
        <family val="2"/>
      </rPr>
      <t xml:space="preserve"> / S</t>
    </r>
    <r>
      <rPr>
        <vertAlign val="subscript"/>
        <sz val="10"/>
        <rFont val="Arial"/>
        <family val="2"/>
      </rPr>
      <t>w</t>
    </r>
    <r>
      <rPr>
        <sz val="10"/>
        <rFont val="Arial"/>
        <family val="2"/>
      </rPr>
      <t xml:space="preserve"> = 6,0 ... 6,2 for commercial aircraft</t>
    </r>
  </si>
  <si>
    <t>Relative fuel mass</t>
  </si>
  <si>
    <t>Therefore, the formula can be used for a first estimation of the propeller efficiency at lower speeds only.</t>
  </si>
  <si>
    <t>The spreadsheet might crash due to the iterations used. In this case see worksheet "Help".</t>
  </si>
  <si>
    <t>The calculation is illustrated with data from the ATR 72-600.</t>
  </si>
  <si>
    <t>points in the diagramm and by searching for the best possible formula to depict the Marckwardt diagram.</t>
  </si>
  <si>
    <t>This formula is an approximate calculation of the propeller efficiency based on theory.</t>
  </si>
  <si>
    <t xml:space="preserve">In addition to "Truckenbrodt1" it takes into account the advance ratio and therefore an influence of loss of spin. </t>
  </si>
  <si>
    <t>&lt;&lt;&lt;&lt; check if answer is "yes", if statistical calculation is used</t>
  </si>
  <si>
    <t>sweep angle at the blade tip</t>
  </si>
  <si>
    <t xml:space="preserve">Propeller Efficiency </t>
  </si>
  <si>
    <t xml:space="preserve">&lt;&lt;&lt;&lt; Take-Off, Landing and Cruise should meet in one point! Check v/vmd (PSII G7) or Disk loading (PSI C48) if they don't! </t>
  </si>
  <si>
    <t>In case of redesign: Given data is correct if Take-Off, Landing and Cruise meet in one point.</t>
  </si>
  <si>
    <t>1) Undo the last entry of unrealistic input and replace it by a realistic value.</t>
  </si>
  <si>
    <t>2) Go to worksheet "Propeller Efficiency" and choose "Truckenbrodt1" in cell C4.</t>
  </si>
  <si>
    <t>4) Go to worksheet "Help" and copy the formula placed in cell D19 (do not copy the whole cell, as this will not work).</t>
  </si>
  <si>
    <t>5) Go to worksheet "Preliminary Sizing II" and paste the formula into cell C17.</t>
  </si>
  <si>
    <t>&lt;&lt;&lt;&lt; Choose according to task, if "Truckenbrodt2" is used</t>
  </si>
  <si>
    <r>
      <rPr>
        <sz val="10"/>
        <rFont val="Calibri"/>
        <family val="2"/>
      </rPr>
      <t>ϕ</t>
    </r>
    <r>
      <rPr>
        <vertAlign val="subscript"/>
        <sz val="10"/>
        <rFont val="Arial"/>
        <family val="2"/>
      </rPr>
      <t>25</t>
    </r>
    <r>
      <rPr>
        <sz val="10"/>
        <rFont val="Arial"/>
        <family val="2"/>
      </rPr>
      <t xml:space="preserve"> </t>
    </r>
  </si>
  <si>
    <t>This equation is based on theory only taking into account the cruise speed and the disk loading.</t>
  </si>
  <si>
    <r>
      <t>C</t>
    </r>
    <r>
      <rPr>
        <vertAlign val="subscript"/>
        <sz val="10"/>
        <rFont val="Arial"/>
        <family val="2"/>
      </rPr>
      <t>D,0</t>
    </r>
    <r>
      <rPr>
        <sz val="10"/>
        <rFont val="Arial"/>
        <family val="2"/>
      </rPr>
      <t xml:space="preserve"> (for 2nd Segment calculation)  </t>
    </r>
  </si>
  <si>
    <r>
      <t>C</t>
    </r>
    <r>
      <rPr>
        <vertAlign val="subscript"/>
        <sz val="10"/>
        <rFont val="Arial"/>
        <family val="2"/>
      </rPr>
      <t>D,0</t>
    </r>
    <r>
      <rPr>
        <sz val="10"/>
        <rFont val="Arial"/>
        <family val="2"/>
      </rPr>
      <t xml:space="preserve"> (for missed approach calculation)</t>
    </r>
  </si>
  <si>
    <t>Deviation</t>
  </si>
  <si>
    <t>Original Data</t>
  </si>
  <si>
    <r>
      <t>I) Estimating k</t>
    </r>
    <r>
      <rPr>
        <b/>
        <vertAlign val="subscript"/>
        <sz val="12"/>
        <rFont val="Arial"/>
        <family val="2"/>
      </rPr>
      <t>L</t>
    </r>
    <r>
      <rPr>
        <b/>
        <sz val="12"/>
        <rFont val="Arial"/>
        <family val="2"/>
      </rPr>
      <t xml:space="preserve"> from statistics; estimating k</t>
    </r>
    <r>
      <rPr>
        <b/>
        <vertAlign val="subscript"/>
        <sz val="12"/>
        <rFont val="Arial"/>
        <family val="2"/>
      </rPr>
      <t>APP</t>
    </r>
    <r>
      <rPr>
        <b/>
        <sz val="12"/>
        <rFont val="Arial"/>
        <family val="2"/>
      </rPr>
      <t xml:space="preserve"> from k</t>
    </r>
    <r>
      <rPr>
        <b/>
        <vertAlign val="subscript"/>
        <sz val="12"/>
        <rFont val="Arial"/>
        <family val="2"/>
      </rPr>
      <t>L</t>
    </r>
  </si>
  <si>
    <r>
      <rPr>
        <b/>
        <sz val="10"/>
        <rFont val="Arial"/>
        <family val="2"/>
      </rPr>
      <t>k</t>
    </r>
    <r>
      <rPr>
        <b/>
        <vertAlign val="subscript"/>
        <sz val="10"/>
        <rFont val="Arial"/>
        <family val="2"/>
      </rPr>
      <t>L</t>
    </r>
  </si>
  <si>
    <r>
      <rPr>
        <b/>
        <sz val="10"/>
        <rFont val="Arial"/>
        <family val="2"/>
      </rPr>
      <t>k</t>
    </r>
    <r>
      <rPr>
        <b/>
        <vertAlign val="subscript"/>
        <sz val="10"/>
        <rFont val="Arial"/>
        <family val="2"/>
      </rPr>
      <t>APP</t>
    </r>
  </si>
  <si>
    <r>
      <t>II) Estimating k</t>
    </r>
    <r>
      <rPr>
        <b/>
        <vertAlign val="subscript"/>
        <sz val="12"/>
        <color rgb="FF000000"/>
        <rFont val="Arial"/>
        <family val="2"/>
      </rPr>
      <t>APP</t>
    </r>
    <r>
      <rPr>
        <b/>
        <sz val="12"/>
        <color indexed="8"/>
        <rFont val="Arial"/>
        <family val="2"/>
      </rPr>
      <t xml:space="preserve"> from statistics and comparing the 2 values obtained in I) and II)</t>
    </r>
  </si>
  <si>
    <r>
      <t>k</t>
    </r>
    <r>
      <rPr>
        <b/>
        <vertAlign val="subscript"/>
        <sz val="10"/>
        <rFont val="Arial"/>
        <family val="2"/>
      </rPr>
      <t>APP</t>
    </r>
  </si>
  <si>
    <r>
      <t>The two results for k</t>
    </r>
    <r>
      <rPr>
        <b/>
        <vertAlign val="subscript"/>
        <sz val="10"/>
        <color rgb="FF000000"/>
        <rFont val="Arial"/>
        <family val="2"/>
      </rPr>
      <t>APP</t>
    </r>
    <r>
      <rPr>
        <b/>
        <vertAlign val="subscript"/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 xml:space="preserve">are different, due to the fact that the estimation was based on different aircraft data; </t>
    </r>
  </si>
  <si>
    <r>
      <t>For jets: k</t>
    </r>
    <r>
      <rPr>
        <b/>
        <vertAlign val="subscript"/>
        <sz val="10"/>
        <rFont val="Arial"/>
        <family val="2"/>
      </rPr>
      <t>APP</t>
    </r>
    <r>
      <rPr>
        <b/>
        <sz val="10"/>
        <rFont val="Arial"/>
        <family val="2"/>
      </rPr>
      <t>=1.7</t>
    </r>
  </si>
  <si>
    <r>
      <rPr>
        <b/>
        <sz val="10"/>
        <rFont val="Arial"/>
        <family val="2"/>
      </rPr>
      <t>k</t>
    </r>
    <r>
      <rPr>
        <b/>
        <vertAlign val="subscript"/>
        <sz val="10"/>
        <rFont val="Arial"/>
        <family val="2"/>
      </rPr>
      <t>TO</t>
    </r>
  </si>
  <si>
    <r>
      <t>III) Estimating k</t>
    </r>
    <r>
      <rPr>
        <b/>
        <vertAlign val="subscript"/>
        <sz val="12"/>
        <rFont val="Arial"/>
        <family val="2"/>
      </rPr>
      <t>TO</t>
    </r>
  </si>
  <si>
    <r>
      <t>IV) Estimating k</t>
    </r>
    <r>
      <rPr>
        <b/>
        <vertAlign val="subscript"/>
        <sz val="12"/>
        <color indexed="8"/>
        <rFont val="Arial"/>
        <family val="2"/>
      </rPr>
      <t>E</t>
    </r>
  </si>
  <si>
    <r>
      <rPr>
        <b/>
        <sz val="10"/>
        <rFont val="Arial"/>
        <family val="2"/>
      </rPr>
      <t>k</t>
    </r>
    <r>
      <rPr>
        <b/>
        <vertAlign val="subscript"/>
        <sz val="10"/>
        <rFont val="Arial"/>
        <family val="2"/>
      </rPr>
      <t>E</t>
    </r>
  </si>
  <si>
    <r>
      <t>k</t>
    </r>
    <r>
      <rPr>
        <b/>
        <vertAlign val="subscript"/>
        <sz val="10"/>
        <rFont val="Arial"/>
        <family val="2"/>
      </rPr>
      <t>L</t>
    </r>
  </si>
  <si>
    <r>
      <t>k</t>
    </r>
    <r>
      <rPr>
        <b/>
        <vertAlign val="subscript"/>
        <sz val="10"/>
        <rFont val="Arial"/>
        <family val="2"/>
      </rPr>
      <t>APP 1</t>
    </r>
  </si>
  <si>
    <r>
      <t>k</t>
    </r>
    <r>
      <rPr>
        <b/>
        <vertAlign val="subscript"/>
        <sz val="10"/>
        <rFont val="Arial"/>
        <family val="2"/>
      </rPr>
      <t>APP 2</t>
    </r>
  </si>
  <si>
    <r>
      <t>k</t>
    </r>
    <r>
      <rPr>
        <b/>
        <vertAlign val="subscript"/>
        <sz val="10"/>
        <rFont val="Arial"/>
        <family val="2"/>
      </rPr>
      <t>TO</t>
    </r>
  </si>
  <si>
    <r>
      <t>k</t>
    </r>
    <r>
      <rPr>
        <b/>
        <vertAlign val="subscript"/>
        <sz val="10"/>
        <rFont val="Arial"/>
        <family val="2"/>
      </rPr>
      <t>E</t>
    </r>
  </si>
  <si>
    <r>
      <t>k</t>
    </r>
    <r>
      <rPr>
        <vertAlign val="subscript"/>
        <sz val="10"/>
        <rFont val="Arial"/>
        <family val="2"/>
      </rPr>
      <t>APP 1</t>
    </r>
    <r>
      <rPr>
        <sz val="10"/>
        <rFont val="Arial"/>
        <family val="2"/>
      </rPr>
      <t xml:space="preserve"> is the one calculated from k</t>
    </r>
    <r>
      <rPr>
        <vertAlign val="subscript"/>
        <sz val="10"/>
        <rFont val="Arial"/>
        <family val="2"/>
      </rPr>
      <t>APP</t>
    </r>
  </si>
  <si>
    <r>
      <t>k</t>
    </r>
    <r>
      <rPr>
        <vertAlign val="subscript"/>
        <sz val="10"/>
        <rFont val="Arial"/>
        <family val="2"/>
      </rPr>
      <t>APP 2</t>
    </r>
    <r>
      <rPr>
        <sz val="10"/>
        <rFont val="Arial"/>
        <family val="2"/>
      </rPr>
      <t xml:space="preserve"> is the statistical value</t>
    </r>
  </si>
  <si>
    <r>
      <t>V</t>
    </r>
    <r>
      <rPr>
        <vertAlign val="subscript"/>
        <sz val="11"/>
        <color indexed="8"/>
        <rFont val="Calibri"/>
        <family val="2"/>
      </rPr>
      <t xml:space="preserve">S </t>
    </r>
    <r>
      <rPr>
        <sz val="11"/>
        <color indexed="8"/>
        <rFont val="Calibri"/>
        <family val="2"/>
      </rPr>
      <t>(m/s)</t>
    </r>
  </si>
  <si>
    <r>
      <t>V</t>
    </r>
    <r>
      <rPr>
        <vertAlign val="subscript"/>
        <sz val="11"/>
        <color indexed="8"/>
        <rFont val="Calibri"/>
        <family val="2"/>
      </rPr>
      <t>APP</t>
    </r>
    <r>
      <rPr>
        <sz val="10"/>
        <rFont val="Arial"/>
        <family val="2"/>
      </rPr>
      <t xml:space="preserve"> (m/s)</t>
    </r>
  </si>
  <si>
    <r>
      <t>The better value for k</t>
    </r>
    <r>
      <rPr>
        <b/>
        <vertAlign val="subscript"/>
        <sz val="10"/>
        <color rgb="FF000000"/>
        <rFont val="Arial"/>
        <family val="2"/>
      </rPr>
      <t>APP</t>
    </r>
    <r>
      <rPr>
        <b/>
        <sz val="10"/>
        <color indexed="8"/>
        <rFont val="Arial"/>
        <family val="2"/>
      </rPr>
      <t xml:space="preserve"> is the one obtained from k</t>
    </r>
    <r>
      <rPr>
        <b/>
        <vertAlign val="subscript"/>
        <sz val="10"/>
        <color indexed="8"/>
        <rFont val="Arial"/>
        <family val="2"/>
      </rPr>
      <t>L</t>
    </r>
    <r>
      <rPr>
        <b/>
        <sz val="10"/>
        <color indexed="8"/>
        <rFont val="Arial"/>
        <family val="2"/>
      </rPr>
      <t>;</t>
    </r>
  </si>
  <si>
    <t>3) Go to worksheet "Preliminary Sizing II" and change cell C17 to 0.9 (German 0,9).</t>
  </si>
  <si>
    <t>is free software: you can redistribute it and/or modify it</t>
  </si>
  <si>
    <t>under the terms of the GNU General Public License as published by</t>
  </si>
  <si>
    <t>the Free Software Foundation, License Version 3.</t>
  </si>
  <si>
    <t>The spreadsheet is distributed in the hope that it will be useful,</t>
  </si>
  <si>
    <t>but WITHOUT ANY WARRANTY; without even the implied warranty of</t>
  </si>
  <si>
    <t>MERCHANTABILITY or FITNESS FOR A PARTICULAR PURPOSE.</t>
  </si>
  <si>
    <t>See the GNU General Public License for more details.</t>
  </si>
  <si>
    <t>https://www.gnu.org/licenses</t>
  </si>
  <si>
    <t>This file is stored here:</t>
  </si>
  <si>
    <t>Copyright © 2022</t>
  </si>
  <si>
    <t>The spreadsheet for the Project</t>
  </si>
  <si>
    <t>"Preliminary Sizing of Propeller Aircraft (Part 25)"</t>
  </si>
  <si>
    <t>https://doi.org/10.7910/DVN/ET4ZKV</t>
  </si>
  <si>
    <r>
      <t xml:space="preserve">NIŢĂ, Mihaela: </t>
    </r>
    <r>
      <rPr>
        <b/>
        <sz val="10"/>
        <rFont val="Arial"/>
        <family val="2"/>
      </rPr>
      <t>Aircraft Design Studies Based on the ATR 72</t>
    </r>
  </si>
  <si>
    <t>Marlis Krull, Dieter Scholz</t>
  </si>
  <si>
    <t>Method for Preliminary Sizing of Large Propeller Driven Aircraft (Part 25)</t>
  </si>
  <si>
    <t>Dubs: M_eff = 0,85</t>
  </si>
  <si>
    <t>While adapting this method from jets to propeller driven aircraft, some parameters needed special attention.</t>
  </si>
  <si>
    <t xml:space="preserve">Values for the PW 120 familly </t>
  </si>
  <si>
    <t>&lt;&lt;&lt;&lt; Choose according to task, if theoretical calculation is used, 0° … 55°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</si>
</sst>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"/>
    <numFmt numFmtId="165" formatCode="0.000"/>
    <numFmt numFmtId="166" formatCode="0.0"/>
    <numFmt numFmtId="167" formatCode="0.0E+00"/>
    <numFmt numFmtId="168" formatCode="0.0%"/>
  </numFmts>
  <fonts count="60" x14ac:knownFonts="1">
    <font>
      <sz val="10"/>
      <name val="Arial"/>
    </font>
    <font>
      <sz val="1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b/>
      <sz val="14"/>
      <name val="Arial"/>
      <family val="2"/>
    </font>
    <font>
      <sz val="10"/>
      <name val="Symbol"/>
      <family val="1"/>
      <charset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vertAlign val="subscript"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vertAlign val="superscript"/>
      <sz val="10"/>
      <color indexed="12"/>
      <name val="Arial"/>
      <family val="2"/>
    </font>
    <font>
      <sz val="8"/>
      <name val="Arial"/>
      <family val="2"/>
    </font>
    <font>
      <sz val="10"/>
      <color indexed="62"/>
      <name val="Arial"/>
      <family val="2"/>
    </font>
    <font>
      <i/>
      <sz val="10"/>
      <color indexed="62"/>
      <name val="Arial"/>
      <family val="2"/>
    </font>
    <font>
      <u/>
      <sz val="10"/>
      <color indexed="62"/>
      <name val="Arial"/>
      <family val="2"/>
    </font>
    <font>
      <b/>
      <i/>
      <sz val="10"/>
      <color indexed="62"/>
      <name val="Arial"/>
      <family val="2"/>
    </font>
    <font>
      <sz val="10"/>
      <name val="Calibri"/>
      <family val="2"/>
    </font>
    <font>
      <vertAlign val="superscript"/>
      <sz val="10"/>
      <name val="Arial"/>
      <family val="2"/>
    </font>
    <font>
      <sz val="11"/>
      <color indexed="8"/>
      <name val="Calibri"/>
      <family val="2"/>
    </font>
    <font>
      <vertAlign val="subscript"/>
      <sz val="11"/>
      <color indexed="8"/>
      <name val="Calibri"/>
      <family val="2"/>
    </font>
    <font>
      <vertAlign val="superscript"/>
      <sz val="11"/>
      <color indexed="8"/>
      <name val="Calibri"/>
      <family val="2"/>
    </font>
    <font>
      <b/>
      <sz val="12"/>
      <name val="Arial"/>
      <family val="2"/>
    </font>
    <font>
      <b/>
      <vertAlign val="subscript"/>
      <sz val="1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vertAlign val="subscript"/>
      <sz val="10"/>
      <color indexed="8"/>
      <name val="Arial"/>
      <family val="2"/>
    </font>
    <font>
      <b/>
      <vertAlign val="subscript"/>
      <sz val="12"/>
      <color indexed="8"/>
      <name val="Arial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62"/>
      <name val="Arial"/>
      <family val="2"/>
    </font>
    <font>
      <b/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sz val="12"/>
      <color indexed="1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432FF"/>
      <name val="Arial"/>
      <family val="2"/>
    </font>
    <font>
      <sz val="1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vertAlign val="subscript"/>
      <sz val="12"/>
      <color rgb="FF000000"/>
      <name val="Arial"/>
      <family val="2"/>
    </font>
    <font>
      <b/>
      <vertAlign val="subscript"/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0432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thin">
        <color indexed="64"/>
      </top>
      <bottom/>
      <diagonal/>
    </border>
    <border>
      <left style="medium">
        <color indexed="10"/>
      </left>
      <right style="medium">
        <color indexed="10"/>
      </right>
      <top style="thin">
        <color indexed="64"/>
      </top>
      <bottom style="medium">
        <color indexed="1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9" fontId="49" fillId="0" borderId="0" applyFont="0" applyFill="0" applyBorder="0" applyAlignment="0" applyProtection="0"/>
    <xf numFmtId="0" fontId="52" fillId="0" borderId="0"/>
    <xf numFmtId="0" fontId="56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165" fontId="43" fillId="5" borderId="0">
      <alignment horizontal="right" vertical="center"/>
    </xf>
  </cellStyleXfs>
  <cellXfs count="28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0" fontId="6" fillId="0" borderId="0" xfId="0" applyFont="1"/>
    <xf numFmtId="2" fontId="0" fillId="0" borderId="0" xfId="0" applyNumberFormat="1"/>
    <xf numFmtId="1" fontId="0" fillId="0" borderId="0" xfId="0" applyNumberFormat="1"/>
    <xf numFmtId="0" fontId="0" fillId="0" borderId="1" xfId="0" applyBorder="1" applyAlignment="1">
      <alignment horizontal="left"/>
    </xf>
    <xf numFmtId="0" fontId="2" fillId="0" borderId="0" xfId="0" applyFont="1"/>
    <xf numFmtId="0" fontId="8" fillId="0" borderId="0" xfId="0" applyFont="1"/>
    <xf numFmtId="165" fontId="0" fillId="0" borderId="0" xfId="0" applyNumberFormat="1"/>
    <xf numFmtId="166" fontId="0" fillId="0" borderId="0" xfId="0" applyNumberFormat="1"/>
    <xf numFmtId="0" fontId="9" fillId="0" borderId="0" xfId="0" applyFont="1"/>
    <xf numFmtId="0" fontId="3" fillId="0" borderId="0" xfId="0" applyFont="1"/>
    <xf numFmtId="0" fontId="0" fillId="0" borderId="0" xfId="0" quotePrefix="1"/>
    <xf numFmtId="1" fontId="3" fillId="0" borderId="0" xfId="0" applyNumberFormat="1" applyFont="1"/>
    <xf numFmtId="165" fontId="7" fillId="0" borderId="0" xfId="0" applyNumberFormat="1" applyFont="1"/>
    <xf numFmtId="9" fontId="7" fillId="0" borderId="0" xfId="0" applyNumberFormat="1" applyFont="1" applyAlignment="1">
      <alignment horizontal="left"/>
    </xf>
    <xf numFmtId="0" fontId="0" fillId="0" borderId="0" xfId="0" applyAlignment="1">
      <alignment horizontal="center"/>
    </xf>
    <xf numFmtId="0" fontId="7" fillId="0" borderId="0" xfId="0" applyFont="1"/>
    <xf numFmtId="0" fontId="10" fillId="0" borderId="0" xfId="0" applyFont="1"/>
    <xf numFmtId="0" fontId="0" fillId="0" borderId="2" xfId="0" applyBorder="1"/>
    <xf numFmtId="0" fontId="0" fillId="0" borderId="3" xfId="0" applyBorder="1"/>
    <xf numFmtId="165" fontId="0" fillId="0" borderId="4" xfId="0" applyNumberForma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 applyAlignment="1">
      <alignment horizontal="right"/>
    </xf>
    <xf numFmtId="165" fontId="0" fillId="0" borderId="3" xfId="0" applyNumberFormat="1" applyBorder="1"/>
    <xf numFmtId="0" fontId="0" fillId="0" borderId="9" xfId="0" applyBorder="1"/>
    <xf numFmtId="0" fontId="0" fillId="0" borderId="9" xfId="0" applyBorder="1" applyAlignment="1">
      <alignment horizontal="right"/>
    </xf>
    <xf numFmtId="165" fontId="0" fillId="0" borderId="10" xfId="0" applyNumberFormat="1" applyBorder="1"/>
    <xf numFmtId="165" fontId="0" fillId="0" borderId="5" xfId="0" applyNumberFormat="1" applyBorder="1"/>
    <xf numFmtId="165" fontId="10" fillId="0" borderId="0" xfId="0" applyNumberFormat="1" applyFont="1" applyAlignment="1">
      <alignment horizontal="right"/>
    </xf>
    <xf numFmtId="165" fontId="10" fillId="0" borderId="0" xfId="0" applyNumberFormat="1" applyFont="1"/>
    <xf numFmtId="1" fontId="13" fillId="0" borderId="0" xfId="0" applyNumberFormat="1" applyFont="1"/>
    <xf numFmtId="0" fontId="13" fillId="0" borderId="0" xfId="0" applyFont="1"/>
    <xf numFmtId="2" fontId="10" fillId="0" borderId="0" xfId="0" applyNumberFormat="1" applyFont="1"/>
    <xf numFmtId="165" fontId="13" fillId="0" borderId="0" xfId="0" applyNumberFormat="1" applyFont="1"/>
    <xf numFmtId="1" fontId="13" fillId="0" borderId="0" xfId="0" applyNumberFormat="1" applyFont="1" applyAlignment="1">
      <alignment horizontal="right"/>
    </xf>
    <xf numFmtId="1" fontId="7" fillId="0" borderId="0" xfId="0" applyNumberFormat="1" applyFont="1"/>
    <xf numFmtId="0" fontId="11" fillId="0" borderId="0" xfId="0" applyFont="1"/>
    <xf numFmtId="166" fontId="7" fillId="0" borderId="0" xfId="0" applyNumberFormat="1" applyFont="1"/>
    <xf numFmtId="166" fontId="13" fillId="0" borderId="0" xfId="0" applyNumberFormat="1" applyFont="1"/>
    <xf numFmtId="166" fontId="10" fillId="0" borderId="0" xfId="0" applyNumberFormat="1" applyFont="1"/>
    <xf numFmtId="165" fontId="11" fillId="0" borderId="0" xfId="0" applyNumberFormat="1" applyFont="1"/>
    <xf numFmtId="0" fontId="6" fillId="0" borderId="5" xfId="0" applyFont="1" applyBorder="1" applyAlignment="1">
      <alignment horizontal="right"/>
    </xf>
    <xf numFmtId="0" fontId="11" fillId="0" borderId="3" xfId="0" applyFont="1" applyBorder="1"/>
    <xf numFmtId="0" fontId="15" fillId="0" borderId="0" xfId="0" applyFont="1"/>
    <xf numFmtId="2" fontId="13" fillId="0" borderId="0" xfId="0" applyNumberFormat="1" applyFont="1"/>
    <xf numFmtId="2" fontId="7" fillId="0" borderId="0" xfId="0" applyNumberFormat="1" applyFont="1"/>
    <xf numFmtId="166" fontId="11" fillId="0" borderId="3" xfId="0" applyNumberFormat="1" applyFont="1" applyBorder="1"/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0" fillId="0" borderId="11" xfId="0" applyBorder="1"/>
    <xf numFmtId="0" fontId="0" fillId="0" borderId="12" xfId="0" applyBorder="1"/>
    <xf numFmtId="0" fontId="9" fillId="0" borderId="13" xfId="0" applyFon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7" fillId="0" borderId="17" xfId="0" applyFont="1" applyBorder="1"/>
    <xf numFmtId="0" fontId="0" fillId="0" borderId="18" xfId="0" applyBorder="1"/>
    <xf numFmtId="0" fontId="0" fillId="0" borderId="19" xfId="0" applyBorder="1"/>
    <xf numFmtId="0" fontId="0" fillId="0" borderId="0" xfId="0" applyAlignment="1">
      <alignment horizontal="right"/>
    </xf>
    <xf numFmtId="0" fontId="0" fillId="0" borderId="13" xfId="0" applyBorder="1"/>
    <xf numFmtId="0" fontId="9" fillId="0" borderId="15" xfId="0" applyFont="1" applyBorder="1"/>
    <xf numFmtId="0" fontId="0" fillId="0" borderId="20" xfId="0" applyBorder="1"/>
    <xf numFmtId="11" fontId="7" fillId="0" borderId="0" xfId="0" applyNumberFormat="1" applyFont="1"/>
    <xf numFmtId="0" fontId="0" fillId="0" borderId="6" xfId="0" applyBorder="1" applyAlignment="1">
      <alignment horizontal="right"/>
    </xf>
    <xf numFmtId="0" fontId="0" fillId="0" borderId="8" xfId="0" applyBorder="1"/>
    <xf numFmtId="165" fontId="11" fillId="0" borderId="3" xfId="0" applyNumberFormat="1" applyFont="1" applyBorder="1"/>
    <xf numFmtId="165" fontId="7" fillId="0" borderId="3" xfId="0" applyNumberFormat="1" applyFont="1" applyBorder="1"/>
    <xf numFmtId="0" fontId="0" fillId="0" borderId="21" xfId="0" applyBorder="1"/>
    <xf numFmtId="0" fontId="0" fillId="0" borderId="22" xfId="0" applyBorder="1"/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right"/>
    </xf>
    <xf numFmtId="164" fontId="0" fillId="0" borderId="0" xfId="0" applyNumberFormat="1"/>
    <xf numFmtId="165" fontId="3" fillId="0" borderId="0" xfId="0" applyNumberFormat="1" applyFont="1"/>
    <xf numFmtId="0" fontId="36" fillId="0" borderId="0" xfId="0" applyFont="1"/>
    <xf numFmtId="0" fontId="3" fillId="0" borderId="10" xfId="0" applyFont="1" applyBorder="1"/>
    <xf numFmtId="165" fontId="13" fillId="0" borderId="0" xfId="0" applyNumberFormat="1" applyFont="1" applyAlignment="1">
      <alignment horizontal="right"/>
    </xf>
    <xf numFmtId="165" fontId="9" fillId="0" borderId="0" xfId="0" applyNumberFormat="1" applyFont="1"/>
    <xf numFmtId="165" fontId="0" fillId="0" borderId="0" xfId="0" applyNumberFormat="1" applyAlignment="1">
      <alignment horizontal="right"/>
    </xf>
    <xf numFmtId="167" fontId="10" fillId="0" borderId="0" xfId="0" applyNumberFormat="1" applyFont="1"/>
    <xf numFmtId="0" fontId="37" fillId="0" borderId="0" xfId="0" applyFont="1"/>
    <xf numFmtId="2" fontId="0" fillId="0" borderId="9" xfId="0" applyNumberFormat="1" applyBorder="1"/>
    <xf numFmtId="1" fontId="0" fillId="0" borderId="9" xfId="0" applyNumberFormat="1" applyBorder="1"/>
    <xf numFmtId="168" fontId="11" fillId="0" borderId="0" xfId="0" applyNumberFormat="1" applyFont="1"/>
    <xf numFmtId="2" fontId="3" fillId="0" borderId="0" xfId="0" applyNumberFormat="1" applyFont="1"/>
    <xf numFmtId="0" fontId="35" fillId="0" borderId="0" xfId="0" applyFont="1"/>
    <xf numFmtId="2" fontId="0" fillId="0" borderId="11" xfId="0" applyNumberFormat="1" applyBorder="1"/>
    <xf numFmtId="2" fontId="0" fillId="0" borderId="26" xfId="0" applyNumberFormat="1" applyBorder="1"/>
    <xf numFmtId="0" fontId="0" fillId="0" borderId="28" xfId="0" applyBorder="1"/>
    <xf numFmtId="0" fontId="0" fillId="0" borderId="0" xfId="0" applyAlignment="1">
      <alignment vertical="center" wrapText="1"/>
    </xf>
    <xf numFmtId="2" fontId="0" fillId="0" borderId="9" xfId="0" applyNumberFormat="1" applyBorder="1" applyAlignment="1">
      <alignment wrapText="1"/>
    </xf>
    <xf numFmtId="0" fontId="0" fillId="0" borderId="9" xfId="0" applyBorder="1" applyAlignment="1">
      <alignment wrapText="1"/>
    </xf>
    <xf numFmtId="2" fontId="0" fillId="0" borderId="29" xfId="0" applyNumberFormat="1" applyBorder="1"/>
    <xf numFmtId="0" fontId="3" fillId="0" borderId="0" xfId="0" applyFont="1" applyAlignment="1">
      <alignment horizontal="right"/>
    </xf>
    <xf numFmtId="0" fontId="34" fillId="0" borderId="11" xfId="0" applyFont="1" applyBorder="1"/>
    <xf numFmtId="0" fontId="0" fillId="0" borderId="32" xfId="0" applyBorder="1"/>
    <xf numFmtId="0" fontId="0" fillId="0" borderId="34" xfId="0" applyBorder="1"/>
    <xf numFmtId="0" fontId="3" fillId="0" borderId="35" xfId="0" applyFont="1" applyBorder="1"/>
    <xf numFmtId="0" fontId="0" fillId="0" borderId="35" xfId="0" applyBorder="1"/>
    <xf numFmtId="0" fontId="9" fillId="0" borderId="0" xfId="0" applyFont="1" applyAlignment="1">
      <alignment horizontal="right"/>
    </xf>
    <xf numFmtId="0" fontId="0" fillId="0" borderId="36" xfId="0" applyBorder="1"/>
    <xf numFmtId="0" fontId="28" fillId="0" borderId="0" xfId="0" applyFont="1"/>
    <xf numFmtId="0" fontId="3" fillId="0" borderId="11" xfId="0" applyFont="1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3" fillId="0" borderId="39" xfId="0" applyFont="1" applyBorder="1"/>
    <xf numFmtId="0" fontId="0" fillId="0" borderId="40" xfId="0" applyBorder="1"/>
    <xf numFmtId="0" fontId="0" fillId="0" borderId="41" xfId="0" applyBorder="1"/>
    <xf numFmtId="0" fontId="3" fillId="0" borderId="34" xfId="0" applyFont="1" applyBorder="1"/>
    <xf numFmtId="0" fontId="9" fillId="0" borderId="42" xfId="0" applyFont="1" applyBorder="1"/>
    <xf numFmtId="0" fontId="9" fillId="0" borderId="44" xfId="0" applyFont="1" applyBorder="1"/>
    <xf numFmtId="0" fontId="9" fillId="0" borderId="45" xfId="0" applyFont="1" applyBorder="1"/>
    <xf numFmtId="0" fontId="9" fillId="0" borderId="14" xfId="0" applyFont="1" applyBorder="1"/>
    <xf numFmtId="1" fontId="0" fillId="0" borderId="5" xfId="0" applyNumberFormat="1" applyBorder="1"/>
    <xf numFmtId="165" fontId="0" fillId="0" borderId="46" xfId="0" applyNumberFormat="1" applyBorder="1"/>
    <xf numFmtId="1" fontId="0" fillId="0" borderId="46" xfId="0" applyNumberFormat="1" applyBorder="1"/>
    <xf numFmtId="2" fontId="0" fillId="0" borderId="46" xfId="0" applyNumberFormat="1" applyBorder="1"/>
    <xf numFmtId="2" fontId="0" fillId="0" borderId="5" xfId="0" applyNumberFormat="1" applyBorder="1"/>
    <xf numFmtId="0" fontId="3" fillId="0" borderId="0" xfId="0" quotePrefix="1" applyFont="1"/>
    <xf numFmtId="2" fontId="0" fillId="0" borderId="27" xfId="0" applyNumberFormat="1" applyBorder="1"/>
    <xf numFmtId="2" fontId="0" fillId="0" borderId="30" xfId="0" applyNumberFormat="1" applyBorder="1"/>
    <xf numFmtId="1" fontId="0" fillId="0" borderId="10" xfId="0" applyNumberFormat="1" applyBorder="1"/>
    <xf numFmtId="2" fontId="0" fillId="0" borderId="10" xfId="0" applyNumberFormat="1" applyBorder="1"/>
    <xf numFmtId="0" fontId="0" fillId="0" borderId="47" xfId="0" applyBorder="1"/>
    <xf numFmtId="0" fontId="0" fillId="0" borderId="48" xfId="0" applyBorder="1" applyAlignment="1">
      <alignment horizontal="right"/>
    </xf>
    <xf numFmtId="0" fontId="0" fillId="0" borderId="13" xfId="0" applyBorder="1" applyAlignment="1">
      <alignment horizontal="right"/>
    </xf>
    <xf numFmtId="0" fontId="9" fillId="0" borderId="54" xfId="0" applyFont="1" applyBorder="1"/>
    <xf numFmtId="0" fontId="9" fillId="0" borderId="55" xfId="0" applyFont="1" applyBorder="1"/>
    <xf numFmtId="2" fontId="9" fillId="0" borderId="54" xfId="0" applyNumberFormat="1" applyFont="1" applyBorder="1"/>
    <xf numFmtId="0" fontId="0" fillId="0" borderId="58" xfId="0" applyBorder="1"/>
    <xf numFmtId="0" fontId="23" fillId="0" borderId="8" xfId="0" applyFont="1" applyBorder="1" applyAlignment="1">
      <alignment horizontal="right"/>
    </xf>
    <xf numFmtId="0" fontId="0" fillId="0" borderId="59" xfId="0" applyBorder="1"/>
    <xf numFmtId="0" fontId="0" fillId="0" borderId="60" xfId="0" applyBorder="1"/>
    <xf numFmtId="0" fontId="0" fillId="0" borderId="61" xfId="0" applyBorder="1"/>
    <xf numFmtId="0" fontId="0" fillId="0" borderId="62" xfId="0" applyBorder="1"/>
    <xf numFmtId="0" fontId="3" fillId="0" borderId="12" xfId="0" applyFont="1" applyBorder="1"/>
    <xf numFmtId="0" fontId="38" fillId="0" borderId="0" xfId="0" applyFont="1"/>
    <xf numFmtId="0" fontId="39" fillId="0" borderId="11" xfId="0" applyFont="1" applyBorder="1"/>
    <xf numFmtId="0" fontId="39" fillId="0" borderId="7" xfId="0" applyFont="1" applyBorder="1"/>
    <xf numFmtId="0" fontId="39" fillId="0" borderId="9" xfId="0" applyFont="1" applyBorder="1"/>
    <xf numFmtId="0" fontId="40" fillId="0" borderId="0" xfId="0" applyFont="1"/>
    <xf numFmtId="0" fontId="16" fillId="0" borderId="17" xfId="1" applyBorder="1" applyAlignment="1" applyProtection="1"/>
    <xf numFmtId="0" fontId="5" fillId="0" borderId="0" xfId="0" applyFont="1"/>
    <xf numFmtId="0" fontId="16" fillId="0" borderId="0" xfId="1" applyAlignment="1" applyProtection="1"/>
    <xf numFmtId="166" fontId="0" fillId="0" borderId="33" xfId="0" applyNumberFormat="1" applyBorder="1"/>
    <xf numFmtId="166" fontId="0" fillId="0" borderId="39" xfId="0" applyNumberFormat="1" applyBorder="1"/>
    <xf numFmtId="166" fontId="0" fillId="0" borderId="9" xfId="0" applyNumberFormat="1" applyBorder="1"/>
    <xf numFmtId="167" fontId="3" fillId="0" borderId="0" xfId="0" applyNumberFormat="1" applyFont="1"/>
    <xf numFmtId="1" fontId="7" fillId="0" borderId="0" xfId="0" applyNumberFormat="1" applyFont="1" applyAlignment="1">
      <alignment horizontal="right"/>
    </xf>
    <xf numFmtId="1" fontId="10" fillId="0" borderId="0" xfId="0" applyNumberFormat="1" applyFont="1"/>
    <xf numFmtId="1" fontId="37" fillId="0" borderId="0" xfId="0" applyNumberFormat="1" applyFont="1"/>
    <xf numFmtId="1" fontId="11" fillId="0" borderId="0" xfId="0" applyNumberFormat="1" applyFont="1"/>
    <xf numFmtId="166" fontId="3" fillId="0" borderId="0" xfId="0" applyNumberFormat="1" applyFont="1"/>
    <xf numFmtId="0" fontId="16" fillId="0" borderId="0" xfId="1" applyAlignment="1" applyProtection="1">
      <alignment horizontal="left" readingOrder="1"/>
    </xf>
    <xf numFmtId="166" fontId="0" fillId="0" borderId="46" xfId="0" applyNumberFormat="1" applyBorder="1"/>
    <xf numFmtId="164" fontId="0" fillId="0" borderId="5" xfId="0" applyNumberFormat="1" applyBorder="1"/>
    <xf numFmtId="164" fontId="0" fillId="0" borderId="9" xfId="0" applyNumberFormat="1" applyBorder="1"/>
    <xf numFmtId="164" fontId="0" fillId="0" borderId="46" xfId="0" applyNumberFormat="1" applyBorder="1"/>
    <xf numFmtId="0" fontId="0" fillId="0" borderId="66" xfId="0" applyBorder="1"/>
    <xf numFmtId="166" fontId="0" fillId="0" borderId="67" xfId="0" applyNumberFormat="1" applyBorder="1"/>
    <xf numFmtId="164" fontId="0" fillId="0" borderId="10" xfId="0" applyNumberFormat="1" applyBorder="1"/>
    <xf numFmtId="1" fontId="0" fillId="0" borderId="40" xfId="0" applyNumberFormat="1" applyBorder="1"/>
    <xf numFmtId="2" fontId="0" fillId="0" borderId="40" xfId="0" applyNumberFormat="1" applyBorder="1"/>
    <xf numFmtId="164" fontId="0" fillId="0" borderId="40" xfId="0" applyNumberFormat="1" applyBorder="1"/>
    <xf numFmtId="1" fontId="0" fillId="0" borderId="1" xfId="0" applyNumberFormat="1" applyBorder="1"/>
    <xf numFmtId="2" fontId="0" fillId="0" borderId="1" xfId="0" applyNumberFormat="1" applyBorder="1"/>
    <xf numFmtId="164" fontId="0" fillId="0" borderId="4" xfId="0" applyNumberFormat="1" applyBorder="1"/>
    <xf numFmtId="2" fontId="0" fillId="0" borderId="0" xfId="0" applyNumberFormat="1" applyAlignment="1">
      <alignment horizontal="right"/>
    </xf>
    <xf numFmtId="166" fontId="0" fillId="0" borderId="68" xfId="0" applyNumberFormat="1" applyBorder="1"/>
    <xf numFmtId="1" fontId="0" fillId="0" borderId="4" xfId="0" applyNumberFormat="1" applyBorder="1"/>
    <xf numFmtId="1" fontId="0" fillId="0" borderId="35" xfId="0" applyNumberFormat="1" applyBorder="1"/>
    <xf numFmtId="0" fontId="0" fillId="0" borderId="69" xfId="0" applyBorder="1"/>
    <xf numFmtId="0" fontId="0" fillId="0" borderId="12" xfId="0" applyBorder="1" applyAlignment="1">
      <alignment horizontal="right"/>
    </xf>
    <xf numFmtId="0" fontId="0" fillId="0" borderId="70" xfId="0" applyBorder="1" applyAlignment="1">
      <alignment horizontal="right"/>
    </xf>
    <xf numFmtId="0" fontId="3" fillId="0" borderId="43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70" xfId="0" applyFont="1" applyBorder="1" applyAlignment="1">
      <alignment horizontal="right"/>
    </xf>
    <xf numFmtId="0" fontId="3" fillId="0" borderId="48" xfId="0" applyFont="1" applyBorder="1" applyAlignment="1">
      <alignment horizontal="right"/>
    </xf>
    <xf numFmtId="166" fontId="0" fillId="0" borderId="31" xfId="0" applyNumberFormat="1" applyBorder="1"/>
    <xf numFmtId="2" fontId="0" fillId="0" borderId="35" xfId="0" applyNumberFormat="1" applyBorder="1"/>
    <xf numFmtId="164" fontId="0" fillId="0" borderId="35" xfId="0" applyNumberFormat="1" applyBorder="1"/>
    <xf numFmtId="165" fontId="0" fillId="0" borderId="35" xfId="0" applyNumberFormat="1" applyBorder="1"/>
    <xf numFmtId="166" fontId="0" fillId="0" borderId="26" xfId="0" applyNumberFormat="1" applyBorder="1"/>
    <xf numFmtId="166" fontId="0" fillId="0" borderId="71" xfId="0" applyNumberFormat="1" applyBorder="1"/>
    <xf numFmtId="1" fontId="0" fillId="0" borderId="18" xfId="0" applyNumberFormat="1" applyBorder="1"/>
    <xf numFmtId="0" fontId="0" fillId="0" borderId="64" xfId="0" applyBorder="1" applyAlignment="1">
      <alignment horizontal="right"/>
    </xf>
    <xf numFmtId="0" fontId="0" fillId="0" borderId="65" xfId="0" applyBorder="1" applyAlignment="1">
      <alignment horizontal="right"/>
    </xf>
    <xf numFmtId="0" fontId="3" fillId="0" borderId="0" xfId="0" applyFont="1" applyAlignment="1">
      <alignment horizontal="left"/>
    </xf>
    <xf numFmtId="166" fontId="0" fillId="0" borderId="35" xfId="0" applyNumberFormat="1" applyBorder="1"/>
    <xf numFmtId="166" fontId="0" fillId="0" borderId="10" xfId="0" applyNumberFormat="1" applyBorder="1"/>
    <xf numFmtId="166" fontId="0" fillId="0" borderId="4" xfId="0" applyNumberFormat="1" applyBorder="1"/>
    <xf numFmtId="166" fontId="0" fillId="0" borderId="72" xfId="0" applyNumberFormat="1" applyBorder="1"/>
    <xf numFmtId="166" fontId="0" fillId="0" borderId="11" xfId="0" applyNumberFormat="1" applyBorder="1"/>
    <xf numFmtId="166" fontId="0" fillId="0" borderId="63" xfId="0" applyNumberFormat="1" applyBorder="1"/>
    <xf numFmtId="166" fontId="0" fillId="0" borderId="57" xfId="0" applyNumberFormat="1" applyBorder="1"/>
    <xf numFmtId="166" fontId="0" fillId="0" borderId="7" xfId="0" applyNumberFormat="1" applyBorder="1"/>
    <xf numFmtId="0" fontId="3" fillId="0" borderId="73" xfId="0" applyFont="1" applyBorder="1" applyAlignment="1">
      <alignment horizontal="right"/>
    </xf>
    <xf numFmtId="0" fontId="8" fillId="0" borderId="0" xfId="0" applyFont="1" applyAlignment="1">
      <alignment horizontal="left"/>
    </xf>
    <xf numFmtId="0" fontId="9" fillId="2" borderId="12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9" fillId="2" borderId="17" xfId="0" applyFont="1" applyFill="1" applyBorder="1"/>
    <xf numFmtId="0" fontId="0" fillId="2" borderId="18" xfId="0" applyFill="1" applyBorder="1"/>
    <xf numFmtId="0" fontId="0" fillId="2" borderId="19" xfId="0" applyFill="1" applyBorder="1"/>
    <xf numFmtId="0" fontId="42" fillId="0" borderId="0" xfId="0" applyFont="1"/>
    <xf numFmtId="0" fontId="0" fillId="3" borderId="0" xfId="0" applyFill="1"/>
    <xf numFmtId="0" fontId="3" fillId="3" borderId="0" xfId="0" applyFont="1" applyFill="1"/>
    <xf numFmtId="0" fontId="3" fillId="0" borderId="7" xfId="0" applyFont="1" applyBorder="1"/>
    <xf numFmtId="2" fontId="44" fillId="0" borderId="0" xfId="0" applyNumberFormat="1" applyFont="1"/>
    <xf numFmtId="0" fontId="44" fillId="0" borderId="0" xfId="0" applyFont="1"/>
    <xf numFmtId="0" fontId="2" fillId="3" borderId="0" xfId="0" applyFont="1" applyFill="1"/>
    <xf numFmtId="0" fontId="45" fillId="0" borderId="0" xfId="0" applyFont="1"/>
    <xf numFmtId="0" fontId="9" fillId="0" borderId="0" xfId="0" applyFont="1" applyAlignment="1">
      <alignment horizontal="center"/>
    </xf>
    <xf numFmtId="1" fontId="45" fillId="0" borderId="0" xfId="0" applyNumberFormat="1" applyFont="1"/>
    <xf numFmtId="2" fontId="43" fillId="0" borderId="0" xfId="0" applyNumberFormat="1" applyFont="1"/>
    <xf numFmtId="165" fontId="44" fillId="0" borderId="0" xfId="0" applyNumberFormat="1" applyFont="1"/>
    <xf numFmtId="0" fontId="7" fillId="0" borderId="0" xfId="0" applyFont="1" applyAlignment="1">
      <alignment wrapText="1"/>
    </xf>
    <xf numFmtId="1" fontId="43" fillId="0" borderId="0" xfId="0" applyNumberFormat="1" applyFont="1"/>
    <xf numFmtId="0" fontId="43" fillId="0" borderId="0" xfId="0" applyFont="1"/>
    <xf numFmtId="0" fontId="12" fillId="0" borderId="0" xfId="0" applyFont="1"/>
    <xf numFmtId="1" fontId="3" fillId="0" borderId="0" xfId="0" applyNumberFormat="1" applyFont="1" applyAlignment="1">
      <alignment horizontal="right"/>
    </xf>
    <xf numFmtId="166" fontId="44" fillId="0" borderId="0" xfId="0" applyNumberFormat="1" applyFont="1"/>
    <xf numFmtId="166" fontId="43" fillId="0" borderId="0" xfId="0" applyNumberFormat="1" applyFont="1"/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0" fontId="2" fillId="0" borderId="15" xfId="0" applyFont="1" applyBorder="1"/>
    <xf numFmtId="2" fontId="45" fillId="0" borderId="0" xfId="0" applyNumberFormat="1" applyFont="1" applyAlignment="1">
      <alignment horizontal="right"/>
    </xf>
    <xf numFmtId="0" fontId="45" fillId="0" borderId="0" xfId="0" applyFont="1" applyAlignment="1">
      <alignment horizontal="right"/>
    </xf>
    <xf numFmtId="165" fontId="11" fillId="0" borderId="0" xfId="0" applyNumberFormat="1" applyFont="1" applyAlignment="1">
      <alignment horizontal="right"/>
    </xf>
    <xf numFmtId="2" fontId="42" fillId="0" borderId="0" xfId="0" applyNumberFormat="1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11" fillId="0" borderId="0" xfId="0" applyFont="1" applyAlignment="1">
      <alignment horizontal="right"/>
    </xf>
    <xf numFmtId="166" fontId="0" fillId="3" borderId="0" xfId="0" applyNumberFormat="1" applyFill="1"/>
    <xf numFmtId="10" fontId="0" fillId="0" borderId="0" xfId="2" applyNumberFormat="1" applyFont="1"/>
    <xf numFmtId="10" fontId="3" fillId="0" borderId="0" xfId="2" applyNumberFormat="1" applyFont="1"/>
    <xf numFmtId="0" fontId="0" fillId="0" borderId="11" xfId="0" applyBorder="1" applyAlignment="1">
      <alignment horizontal="right"/>
    </xf>
    <xf numFmtId="0" fontId="0" fillId="0" borderId="23" xfId="0" applyBorder="1" applyAlignment="1">
      <alignment horizontal="right"/>
    </xf>
    <xf numFmtId="0" fontId="0" fillId="0" borderId="24" xfId="0" applyBorder="1" applyAlignment="1">
      <alignment horizontal="right"/>
    </xf>
    <xf numFmtId="0" fontId="0" fillId="0" borderId="25" xfId="0" applyBorder="1" applyAlignment="1">
      <alignment horizontal="right"/>
    </xf>
    <xf numFmtId="0" fontId="14" fillId="0" borderId="52" xfId="0" applyFont="1" applyBorder="1" applyAlignment="1">
      <alignment horizontal="right"/>
    </xf>
    <xf numFmtId="0" fontId="14" fillId="0" borderId="50" xfId="0" applyFont="1" applyBorder="1" applyAlignment="1">
      <alignment horizontal="right"/>
    </xf>
    <xf numFmtId="0" fontId="31" fillId="0" borderId="0" xfId="0" applyFont="1"/>
    <xf numFmtId="0" fontId="2" fillId="0" borderId="55" xfId="0" applyFont="1" applyBorder="1" applyAlignment="1">
      <alignment horizontal="right"/>
    </xf>
    <xf numFmtId="0" fontId="30" fillId="0" borderId="0" xfId="0" applyFont="1"/>
    <xf numFmtId="0" fontId="0" fillId="0" borderId="31" xfId="0" applyBorder="1" applyAlignment="1">
      <alignment horizontal="right"/>
    </xf>
    <xf numFmtId="0" fontId="0" fillId="0" borderId="32" xfId="0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24" xfId="0" applyFont="1" applyBorder="1" applyAlignment="1">
      <alignment horizontal="right"/>
    </xf>
    <xf numFmtId="0" fontId="14" fillId="0" borderId="55" xfId="0" applyFont="1" applyBorder="1" applyAlignment="1">
      <alignment horizontal="right"/>
    </xf>
    <xf numFmtId="0" fontId="9" fillId="0" borderId="43" xfId="0" applyFont="1" applyBorder="1" applyAlignment="1">
      <alignment horizontal="right"/>
    </xf>
    <xf numFmtId="0" fontId="2" fillId="0" borderId="23" xfId="0" applyFont="1" applyBorder="1"/>
    <xf numFmtId="0" fontId="2" fillId="0" borderId="26" xfId="0" applyFont="1" applyBorder="1"/>
    <xf numFmtId="0" fontId="2" fillId="0" borderId="56" xfId="0" applyFont="1" applyBorder="1"/>
    <xf numFmtId="0" fontId="2" fillId="0" borderId="57" xfId="0" applyFont="1" applyBorder="1"/>
    <xf numFmtId="2" fontId="0" fillId="0" borderId="49" xfId="0" applyNumberFormat="1" applyBorder="1"/>
    <xf numFmtId="2" fontId="0" fillId="0" borderId="28" xfId="0" applyNumberFormat="1" applyBorder="1"/>
    <xf numFmtId="165" fontId="9" fillId="0" borderId="51" xfId="0" applyNumberFormat="1" applyFont="1" applyBorder="1"/>
    <xf numFmtId="165" fontId="9" fillId="0" borderId="53" xfId="0" applyNumberFormat="1" applyFont="1" applyBorder="1"/>
    <xf numFmtId="2" fontId="34" fillId="0" borderId="11" xfId="0" applyNumberFormat="1" applyFont="1" applyBorder="1"/>
    <xf numFmtId="1" fontId="0" fillId="0" borderId="6" xfId="0" applyNumberFormat="1" applyBorder="1"/>
    <xf numFmtId="0" fontId="3" fillId="0" borderId="11" xfId="0" applyFont="1" applyBorder="1" applyAlignment="1">
      <alignment horizontal="right"/>
    </xf>
    <xf numFmtId="1" fontId="0" fillId="0" borderId="33" xfId="0" applyNumberFormat="1" applyBorder="1"/>
    <xf numFmtId="1" fontId="0" fillId="0" borderId="34" xfId="0" applyNumberFormat="1" applyBorder="1"/>
    <xf numFmtId="165" fontId="9" fillId="0" borderId="54" xfId="0" applyNumberFormat="1" applyFont="1" applyBorder="1"/>
    <xf numFmtId="0" fontId="53" fillId="4" borderId="0" xfId="3" applyFont="1" applyFill="1"/>
    <xf numFmtId="0" fontId="52" fillId="4" borderId="0" xfId="3" applyFill="1"/>
    <xf numFmtId="0" fontId="52" fillId="0" borderId="0" xfId="3"/>
    <xf numFmtId="0" fontId="54" fillId="4" borderId="0" xfId="3" applyFont="1" applyFill="1"/>
    <xf numFmtId="0" fontId="55" fillId="4" borderId="0" xfId="3" applyFont="1" applyFill="1"/>
    <xf numFmtId="0" fontId="57" fillId="4" borderId="0" xfId="4" applyFont="1" applyFill="1" applyAlignment="1" applyProtection="1"/>
    <xf numFmtId="0" fontId="16" fillId="4" borderId="0" xfId="1" applyFill="1" applyAlignment="1" applyProtection="1"/>
    <xf numFmtId="165" fontId="59" fillId="0" borderId="0" xfId="0" applyNumberFormat="1" applyFont="1"/>
    <xf numFmtId="164" fontId="3" fillId="0" borderId="0" xfId="0" applyNumberFormat="1" applyFont="1" applyAlignment="1">
      <alignment horizontal="left"/>
    </xf>
    <xf numFmtId="0" fontId="3" fillId="0" borderId="63" xfId="0" applyFont="1" applyBorder="1" applyAlignment="1">
      <alignment horizontal="center"/>
    </xf>
    <xf numFmtId="164" fontId="59" fillId="0" borderId="22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center"/>
    </xf>
    <xf numFmtId="164" fontId="59" fillId="0" borderId="2" xfId="0" applyNumberFormat="1" applyFont="1" applyBorder="1" applyAlignment="1">
      <alignment horizontal="left"/>
    </xf>
    <xf numFmtId="2" fontId="3" fillId="0" borderId="20" xfId="0" applyNumberFormat="1" applyFont="1" applyBorder="1" applyAlignment="1">
      <alignment horizontal="center"/>
    </xf>
    <xf numFmtId="164" fontId="59" fillId="0" borderId="3" xfId="0" applyNumberFormat="1" applyFont="1" applyBorder="1" applyAlignment="1">
      <alignment horizontal="left"/>
    </xf>
  </cellXfs>
  <cellStyles count="7">
    <cellStyle name="Hyperlink 2" xfId="4" xr:uid="{00000000-0005-0000-0000-000001000000}"/>
    <cellStyle name="Hyperlink 3" xfId="5" xr:uid="{00000000-0005-0000-0000-000002000000}"/>
    <cellStyle name="Link" xfId="1" builtinId="8"/>
    <cellStyle name="PRESTO" xfId="6" xr:uid="{00000000-0005-0000-0000-000003000000}"/>
    <cellStyle name="Prozent" xfId="2" builtinId="5"/>
    <cellStyle name="Standard" xfId="0" builtinId="0"/>
    <cellStyle name="Standard 2" xfId="3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worksheet" Target="worksheets/sheet17.xml"/><Relationship Id="rId26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0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worksheet" Target="worksheets/sheet16.xml"/><Relationship Id="rId25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5.xml"/><Relationship Id="rId20" Type="http://schemas.openxmlformats.org/officeDocument/2006/relationships/worksheet" Target="worksheets/sheet1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worksheet" Target="worksheets/sheet10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4.xml"/><Relationship Id="rId23" Type="http://schemas.openxmlformats.org/officeDocument/2006/relationships/externalLink" Target="externalLinks/externalLink2.xml"/><Relationship Id="rId28" Type="http://schemas.openxmlformats.org/officeDocument/2006/relationships/styles" Target="styles.xml"/><Relationship Id="rId10" Type="http://schemas.openxmlformats.org/officeDocument/2006/relationships/worksheet" Target="worksheets/sheet9.xml"/><Relationship Id="rId19" Type="http://schemas.openxmlformats.org/officeDocument/2006/relationships/worksheet" Target="worksheets/sheet1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Relationship Id="rId22" Type="http://schemas.openxmlformats.org/officeDocument/2006/relationships/externalLink" Target="externalLinks/externalLink1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Matching Chart</a:t>
            </a:r>
          </a:p>
        </c:rich>
      </c:tx>
      <c:layout>
        <c:manualLayout>
          <c:xMode val="edge"/>
          <c:yMode val="edge"/>
          <c:x val="0.43698354602226475"/>
          <c:y val="2.03046282110663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88365650969528"/>
          <c:y val="0.10407239819004514"/>
          <c:w val="0.79778393351800614"/>
          <c:h val="0.77828054298642535"/>
        </c:manualLayout>
      </c:layout>
      <c:scatterChart>
        <c:scatterStyle val="lineMarker"/>
        <c:varyColors val="0"/>
        <c:ser>
          <c:idx val="0"/>
          <c:order val="0"/>
          <c:tx>
            <c:v>2. Segment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'Preliminary Sizing II'!$F$29:$F$55</c:f>
              <c:numCache>
                <c:formatCode>0</c:formatCode>
                <c:ptCount val="27"/>
                <c:pt idx="0">
                  <c:v>923.70960039888871</c:v>
                </c:pt>
                <c:pt idx="1">
                  <c:v>870.24753069330745</c:v>
                </c:pt>
                <c:pt idx="2">
                  <c:v>819.31905508889611</c:v>
                </c:pt>
                <c:pt idx="3">
                  <c:v>770.83127712675764</c:v>
                </c:pt>
                <c:pt idx="4">
                  <c:v>724.69368737197158</c:v>
                </c:pt>
                <c:pt idx="5">
                  <c:v>680.81812887124636</c:v>
                </c:pt>
                <c:pt idx="6">
                  <c:v>639.11876271361507</c:v>
                </c:pt>
                <c:pt idx="7">
                  <c:v>599.51203369506879</c:v>
                </c:pt>
                <c:pt idx="8">
                  <c:v>561.91663608806209</c:v>
                </c:pt>
                <c:pt idx="9">
                  <c:v>526.25347951682068</c:v>
                </c:pt>
                <c:pt idx="10">
                  <c:v>492.44565493942633</c:v>
                </c:pt>
                <c:pt idx="11">
                  <c:v>460.41840073765513</c:v>
                </c:pt>
                <c:pt idx="12">
                  <c:v>430.09906891557313</c:v>
                </c:pt>
                <c:pt idx="13">
                  <c:v>401.41709140792437</c:v>
                </c:pt>
                <c:pt idx="14">
                  <c:v>374.30394649935579</c:v>
                </c:pt>
                <c:pt idx="15">
                  <c:v>348.69312535555218</c:v>
                </c:pt>
                <c:pt idx="16">
                  <c:v>324.5200986673849</c:v>
                </c:pt>
                <c:pt idx="17">
                  <c:v>301.72228340919742</c:v>
                </c:pt>
                <c:pt idx="18">
                  <c:v>280.23900971237515</c:v>
                </c:pt>
                <c:pt idx="19">
                  <c:v>260.0114878553855</c:v>
                </c:pt>
                <c:pt idx="20">
                  <c:v>240.98277537148843</c:v>
                </c:pt>
                <c:pt idx="21">
                  <c:v>223.09774427535933</c:v>
                </c:pt>
                <c:pt idx="22">
                  <c:v>206.3030484098912</c:v>
                </c:pt>
                <c:pt idx="23">
                  <c:v>190.67785831665489</c:v>
                </c:pt>
                <c:pt idx="24">
                  <c:v>176.22144219451584</c:v>
                </c:pt>
                <c:pt idx="25">
                  <c:v>162.86105247492526</c:v>
                </c:pt>
                <c:pt idx="26">
                  <c:v>150.51359291432354</c:v>
                </c:pt>
              </c:numCache>
            </c:numRef>
          </c:xVal>
          <c:yVal>
            <c:numRef>
              <c:f>'Preliminary Sizing II'!$J$29:$J$55</c:f>
              <c:numCache>
                <c:formatCode>0.0</c:formatCode>
                <c:ptCount val="27"/>
                <c:pt idx="0">
                  <c:v>175.02257929714835</c:v>
                </c:pt>
                <c:pt idx="1">
                  <c:v>175.02257929714835</c:v>
                </c:pt>
                <c:pt idx="2">
                  <c:v>175.02257929714835</c:v>
                </c:pt>
                <c:pt idx="3">
                  <c:v>175.02257929714835</c:v>
                </c:pt>
                <c:pt idx="4">
                  <c:v>175.02257929714835</c:v>
                </c:pt>
                <c:pt idx="5">
                  <c:v>175.02257929714835</c:v>
                </c:pt>
                <c:pt idx="6">
                  <c:v>175.02257929714835</c:v>
                </c:pt>
                <c:pt idx="7">
                  <c:v>175.02257929714835</c:v>
                </c:pt>
                <c:pt idx="8">
                  <c:v>175.02257929714835</c:v>
                </c:pt>
                <c:pt idx="9">
                  <c:v>175.02257929714835</c:v>
                </c:pt>
                <c:pt idx="10">
                  <c:v>175.02257929714835</c:v>
                </c:pt>
                <c:pt idx="11">
                  <c:v>175.02257929714835</c:v>
                </c:pt>
                <c:pt idx="12">
                  <c:v>175.02257929714835</c:v>
                </c:pt>
                <c:pt idx="13">
                  <c:v>175.02257929714835</c:v>
                </c:pt>
                <c:pt idx="14">
                  <c:v>175.02257929714835</c:v>
                </c:pt>
                <c:pt idx="15">
                  <c:v>175.02257929714835</c:v>
                </c:pt>
                <c:pt idx="16">
                  <c:v>175.02257929714835</c:v>
                </c:pt>
                <c:pt idx="17">
                  <c:v>175.02257929714835</c:v>
                </c:pt>
                <c:pt idx="18">
                  <c:v>175.02257929714835</c:v>
                </c:pt>
                <c:pt idx="19">
                  <c:v>175.02257929714835</c:v>
                </c:pt>
                <c:pt idx="20">
                  <c:v>175.02257929714835</c:v>
                </c:pt>
                <c:pt idx="21">
                  <c:v>175.02257929714835</c:v>
                </c:pt>
                <c:pt idx="22">
                  <c:v>175.02257929714835</c:v>
                </c:pt>
                <c:pt idx="23">
                  <c:v>175.02257929714835</c:v>
                </c:pt>
                <c:pt idx="24">
                  <c:v>175.02257929714835</c:v>
                </c:pt>
                <c:pt idx="25">
                  <c:v>175.02257929714835</c:v>
                </c:pt>
                <c:pt idx="26">
                  <c:v>175.02257929714835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9B-8A4A-8926-1A83046B3A4C}"/>
            </c:ext>
          </c:extLst>
        </c:ser>
        <c:ser>
          <c:idx val="1"/>
          <c:order val="1"/>
          <c:tx>
            <c:v>Missed Approach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'Preliminary Sizing II'!$F$29:$F$55</c:f>
              <c:numCache>
                <c:formatCode>0</c:formatCode>
                <c:ptCount val="27"/>
                <c:pt idx="0">
                  <c:v>923.70960039888871</c:v>
                </c:pt>
                <c:pt idx="1">
                  <c:v>870.24753069330745</c:v>
                </c:pt>
                <c:pt idx="2">
                  <c:v>819.31905508889611</c:v>
                </c:pt>
                <c:pt idx="3">
                  <c:v>770.83127712675764</c:v>
                </c:pt>
                <c:pt idx="4">
                  <c:v>724.69368737197158</c:v>
                </c:pt>
                <c:pt idx="5">
                  <c:v>680.81812887124636</c:v>
                </c:pt>
                <c:pt idx="6">
                  <c:v>639.11876271361507</c:v>
                </c:pt>
                <c:pt idx="7">
                  <c:v>599.51203369506879</c:v>
                </c:pt>
                <c:pt idx="8">
                  <c:v>561.91663608806209</c:v>
                </c:pt>
                <c:pt idx="9">
                  <c:v>526.25347951682068</c:v>
                </c:pt>
                <c:pt idx="10">
                  <c:v>492.44565493942633</c:v>
                </c:pt>
                <c:pt idx="11">
                  <c:v>460.41840073765513</c:v>
                </c:pt>
                <c:pt idx="12">
                  <c:v>430.09906891557313</c:v>
                </c:pt>
                <c:pt idx="13">
                  <c:v>401.41709140792437</c:v>
                </c:pt>
                <c:pt idx="14">
                  <c:v>374.30394649935579</c:v>
                </c:pt>
                <c:pt idx="15">
                  <c:v>348.69312535555218</c:v>
                </c:pt>
                <c:pt idx="16">
                  <c:v>324.5200986673849</c:v>
                </c:pt>
                <c:pt idx="17">
                  <c:v>301.72228340919742</c:v>
                </c:pt>
                <c:pt idx="18">
                  <c:v>280.23900971237515</c:v>
                </c:pt>
                <c:pt idx="19">
                  <c:v>260.0114878553855</c:v>
                </c:pt>
                <c:pt idx="20">
                  <c:v>240.98277537148843</c:v>
                </c:pt>
                <c:pt idx="21">
                  <c:v>223.09774427535933</c:v>
                </c:pt>
                <c:pt idx="22">
                  <c:v>206.3030484098912</c:v>
                </c:pt>
                <c:pt idx="23">
                  <c:v>190.67785831665489</c:v>
                </c:pt>
                <c:pt idx="24">
                  <c:v>176.22144219451584</c:v>
                </c:pt>
                <c:pt idx="25">
                  <c:v>162.86105247492526</c:v>
                </c:pt>
                <c:pt idx="26">
                  <c:v>150.51359291432354</c:v>
                </c:pt>
              </c:numCache>
            </c:numRef>
          </c:xVal>
          <c:yVal>
            <c:numRef>
              <c:f>'Preliminary Sizing II'!$K$29:$K$55</c:f>
              <c:numCache>
                <c:formatCode>0.0</c:formatCode>
                <c:ptCount val="27"/>
                <c:pt idx="0">
                  <c:v>171.60533534348502</c:v>
                </c:pt>
                <c:pt idx="1">
                  <c:v>171.60533534348502</c:v>
                </c:pt>
                <c:pt idx="2">
                  <c:v>171.60533534348502</c:v>
                </c:pt>
                <c:pt idx="3">
                  <c:v>171.60533534348502</c:v>
                </c:pt>
                <c:pt idx="4">
                  <c:v>171.60533534348502</c:v>
                </c:pt>
                <c:pt idx="5">
                  <c:v>171.60533534348502</c:v>
                </c:pt>
                <c:pt idx="6">
                  <c:v>171.60533534348502</c:v>
                </c:pt>
                <c:pt idx="7">
                  <c:v>171.60533534348502</c:v>
                </c:pt>
                <c:pt idx="8">
                  <c:v>171.60533534348502</c:v>
                </c:pt>
                <c:pt idx="9">
                  <c:v>171.60533534348502</c:v>
                </c:pt>
                <c:pt idx="10">
                  <c:v>171.60533534348502</c:v>
                </c:pt>
                <c:pt idx="11">
                  <c:v>171.60533534348502</c:v>
                </c:pt>
                <c:pt idx="12">
                  <c:v>171.60533534348502</c:v>
                </c:pt>
                <c:pt idx="13">
                  <c:v>171.60533534348502</c:v>
                </c:pt>
                <c:pt idx="14">
                  <c:v>171.60533534348502</c:v>
                </c:pt>
                <c:pt idx="15">
                  <c:v>171.60533534348502</c:v>
                </c:pt>
                <c:pt idx="16">
                  <c:v>171.60533534348502</c:v>
                </c:pt>
                <c:pt idx="17">
                  <c:v>171.60533534348502</c:v>
                </c:pt>
                <c:pt idx="18">
                  <c:v>171.60533534348502</c:v>
                </c:pt>
                <c:pt idx="19">
                  <c:v>171.60533534348502</c:v>
                </c:pt>
                <c:pt idx="20">
                  <c:v>171.60533534348502</c:v>
                </c:pt>
                <c:pt idx="21">
                  <c:v>171.60533534348502</c:v>
                </c:pt>
                <c:pt idx="22">
                  <c:v>171.60533534348502</c:v>
                </c:pt>
                <c:pt idx="23">
                  <c:v>171.60533534348502</c:v>
                </c:pt>
                <c:pt idx="24">
                  <c:v>171.60533534348502</c:v>
                </c:pt>
                <c:pt idx="25">
                  <c:v>171.60533534348502</c:v>
                </c:pt>
                <c:pt idx="26">
                  <c:v>171.60533534348502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9B-8A4A-8926-1A83046B3A4C}"/>
            </c:ext>
          </c:extLst>
        </c:ser>
        <c:ser>
          <c:idx val="2"/>
          <c:order val="2"/>
          <c:tx>
            <c:v>Take off</c:v>
          </c:tx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xVal>
            <c:numRef>
              <c:f>'Preliminary Sizing II'!$F$29:$F$55</c:f>
              <c:numCache>
                <c:formatCode>0</c:formatCode>
                <c:ptCount val="27"/>
                <c:pt idx="0">
                  <c:v>923.70960039888871</c:v>
                </c:pt>
                <c:pt idx="1">
                  <c:v>870.24753069330745</c:v>
                </c:pt>
                <c:pt idx="2">
                  <c:v>819.31905508889611</c:v>
                </c:pt>
                <c:pt idx="3">
                  <c:v>770.83127712675764</c:v>
                </c:pt>
                <c:pt idx="4">
                  <c:v>724.69368737197158</c:v>
                </c:pt>
                <c:pt idx="5">
                  <c:v>680.81812887124636</c:v>
                </c:pt>
                <c:pt idx="6">
                  <c:v>639.11876271361507</c:v>
                </c:pt>
                <c:pt idx="7">
                  <c:v>599.51203369506879</c:v>
                </c:pt>
                <c:pt idx="8">
                  <c:v>561.91663608806209</c:v>
                </c:pt>
                <c:pt idx="9">
                  <c:v>526.25347951682068</c:v>
                </c:pt>
                <c:pt idx="10">
                  <c:v>492.44565493942633</c:v>
                </c:pt>
                <c:pt idx="11">
                  <c:v>460.41840073765513</c:v>
                </c:pt>
                <c:pt idx="12">
                  <c:v>430.09906891557313</c:v>
                </c:pt>
                <c:pt idx="13">
                  <c:v>401.41709140792437</c:v>
                </c:pt>
                <c:pt idx="14">
                  <c:v>374.30394649935579</c:v>
                </c:pt>
                <c:pt idx="15">
                  <c:v>348.69312535555218</c:v>
                </c:pt>
                <c:pt idx="16">
                  <c:v>324.5200986673849</c:v>
                </c:pt>
                <c:pt idx="17">
                  <c:v>301.72228340919742</c:v>
                </c:pt>
                <c:pt idx="18">
                  <c:v>280.23900971237515</c:v>
                </c:pt>
                <c:pt idx="19">
                  <c:v>260.0114878553855</c:v>
                </c:pt>
                <c:pt idx="20">
                  <c:v>240.98277537148843</c:v>
                </c:pt>
                <c:pt idx="21">
                  <c:v>223.09774427535933</c:v>
                </c:pt>
                <c:pt idx="22">
                  <c:v>206.3030484098912</c:v>
                </c:pt>
                <c:pt idx="23">
                  <c:v>190.67785831665489</c:v>
                </c:pt>
                <c:pt idx="24">
                  <c:v>176.22144219451584</c:v>
                </c:pt>
                <c:pt idx="25">
                  <c:v>162.86105247492526</c:v>
                </c:pt>
                <c:pt idx="26">
                  <c:v>150.51359291432354</c:v>
                </c:pt>
              </c:numCache>
            </c:numRef>
          </c:xVal>
          <c:yVal>
            <c:numRef>
              <c:f>'Preliminary Sizing II'!$L$29:$L$55</c:f>
              <c:numCache>
                <c:formatCode>0.0</c:formatCode>
                <c:ptCount val="27"/>
                <c:pt idx="0">
                  <c:v>467.0741885806741</c:v>
                </c:pt>
                <c:pt idx="1">
                  <c:v>440.04106819652458</c:v>
                </c:pt>
                <c:pt idx="2">
                  <c:v>414.28906084669421</c:v>
                </c:pt>
                <c:pt idx="3">
                  <c:v>389.77119339358359</c:v>
                </c:pt>
                <c:pt idx="4">
                  <c:v>366.44169969937616</c:v>
                </c:pt>
                <c:pt idx="5">
                  <c:v>344.25600315968393</c:v>
                </c:pt>
                <c:pt idx="6">
                  <c:v>323.1706992892972</c:v>
                </c:pt>
                <c:pt idx="7">
                  <c:v>303.14353836049065</c:v>
                </c:pt>
                <c:pt idx="8">
                  <c:v>284.13340809435772</c:v>
                </c:pt>
                <c:pt idx="9">
                  <c:v>266.10031640564415</c:v>
                </c:pt>
                <c:pt idx="10">
                  <c:v>249.00537420157349</c:v>
                </c:pt>
                <c:pt idx="11">
                  <c:v>232.81077823515781</c:v>
                </c:pt>
                <c:pt idx="12">
                  <c:v>217.47979401350221</c:v>
                </c:pt>
                <c:pt idx="13">
                  <c:v>202.97673876162534</c:v>
                </c:pt>
                <c:pt idx="14">
                  <c:v>189.26696444232496</c:v>
                </c:pt>
                <c:pt idx="15">
                  <c:v>176.31684083263076</c:v>
                </c:pt>
                <c:pt idx="16">
                  <c:v>164.09373865740267</c:v>
                </c:pt>
                <c:pt idx="17">
                  <c:v>152.56601278064255</c:v>
                </c:pt>
                <c:pt idx="18">
                  <c:v>141.70298545509925</c:v>
                </c:pt>
                <c:pt idx="19">
                  <c:v>131.47492963076721</c:v>
                </c:pt>
                <c:pt idx="20">
                  <c:v>121.85305232288482</c:v>
                </c:pt>
                <c:pt idx="21">
                  <c:v>112.80947804006125</c:v>
                </c:pt>
                <c:pt idx="22">
                  <c:v>104.31723227317168</c:v>
                </c:pt>
                <c:pt idx="23">
                  <c:v>96.416347643342604</c:v>
                </c:pt>
                <c:pt idx="24">
                  <c:v>89.106454114990356</c:v>
                </c:pt>
                <c:pt idx="25">
                  <c:v>82.350766846281033</c:v>
                </c:pt>
                <c:pt idx="26">
                  <c:v>76.107268183053677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59B-8A4A-8926-1A83046B3A4C}"/>
            </c:ext>
          </c:extLst>
        </c:ser>
        <c:ser>
          <c:idx val="3"/>
          <c:order val="3"/>
          <c:tx>
            <c:v>Landing</c:v>
          </c:tx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7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xVal>
            <c:numRef>
              <c:f>('Preliminary Sizing II'!$N$29,'Preliminary Sizing II'!$N$47)</c:f>
              <c:numCache>
                <c:formatCode>0</c:formatCode>
                <c:ptCount val="2"/>
                <c:pt idx="0">
                  <c:v>376.75000000000006</c:v>
                </c:pt>
                <c:pt idx="1">
                  <c:v>376.75000000000006</c:v>
                </c:pt>
              </c:numCache>
            </c:numRef>
          </c:xVal>
          <c:yVal>
            <c:numRef>
              <c:f>('Preliminary Sizing II'!$O$29,'Preliminary Sizing II'!$O$47)</c:f>
              <c:numCache>
                <c:formatCode>General</c:formatCode>
                <c:ptCount val="2"/>
                <c:pt idx="0">
                  <c:v>0</c:v>
                </c:pt>
                <c:pt idx="1">
                  <c:v>350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59B-8A4A-8926-1A83046B3A4C}"/>
            </c:ext>
          </c:extLst>
        </c:ser>
        <c:ser>
          <c:idx val="4"/>
          <c:order val="4"/>
          <c:tx>
            <c:v>Cruise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7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xVal>
            <c:numRef>
              <c:f>'Preliminary Sizing II'!$F$29:$F$55</c:f>
              <c:numCache>
                <c:formatCode>0</c:formatCode>
                <c:ptCount val="27"/>
                <c:pt idx="0">
                  <c:v>923.70960039888871</c:v>
                </c:pt>
                <c:pt idx="1">
                  <c:v>870.24753069330745</c:v>
                </c:pt>
                <c:pt idx="2">
                  <c:v>819.31905508889611</c:v>
                </c:pt>
                <c:pt idx="3">
                  <c:v>770.83127712675764</c:v>
                </c:pt>
                <c:pt idx="4">
                  <c:v>724.69368737197158</c:v>
                </c:pt>
                <c:pt idx="5">
                  <c:v>680.81812887124636</c:v>
                </c:pt>
                <c:pt idx="6">
                  <c:v>639.11876271361507</c:v>
                </c:pt>
                <c:pt idx="7">
                  <c:v>599.51203369506879</c:v>
                </c:pt>
                <c:pt idx="8">
                  <c:v>561.91663608806209</c:v>
                </c:pt>
                <c:pt idx="9">
                  <c:v>526.25347951682068</c:v>
                </c:pt>
                <c:pt idx="10">
                  <c:v>492.44565493942633</c:v>
                </c:pt>
                <c:pt idx="11">
                  <c:v>460.41840073765513</c:v>
                </c:pt>
                <c:pt idx="12">
                  <c:v>430.09906891557313</c:v>
                </c:pt>
                <c:pt idx="13">
                  <c:v>401.41709140792437</c:v>
                </c:pt>
                <c:pt idx="14">
                  <c:v>374.30394649935579</c:v>
                </c:pt>
                <c:pt idx="15">
                  <c:v>348.69312535555218</c:v>
                </c:pt>
                <c:pt idx="16">
                  <c:v>324.5200986673849</c:v>
                </c:pt>
                <c:pt idx="17">
                  <c:v>301.72228340919742</c:v>
                </c:pt>
                <c:pt idx="18">
                  <c:v>280.23900971237515</c:v>
                </c:pt>
                <c:pt idx="19">
                  <c:v>260.0114878553855</c:v>
                </c:pt>
                <c:pt idx="20">
                  <c:v>240.98277537148843</c:v>
                </c:pt>
                <c:pt idx="21">
                  <c:v>223.09774427535933</c:v>
                </c:pt>
                <c:pt idx="22">
                  <c:v>206.3030484098912</c:v>
                </c:pt>
                <c:pt idx="23">
                  <c:v>190.67785831665489</c:v>
                </c:pt>
                <c:pt idx="24">
                  <c:v>176.22144219451584</c:v>
                </c:pt>
                <c:pt idx="25">
                  <c:v>162.86105247492526</c:v>
                </c:pt>
                <c:pt idx="26">
                  <c:v>150.51359291432354</c:v>
                </c:pt>
              </c:numCache>
            </c:numRef>
          </c:xVal>
          <c:yVal>
            <c:numRef>
              <c:f>'Preliminary Sizing II'!$H$29:$H$55</c:f>
              <c:numCache>
                <c:formatCode>0.0</c:formatCode>
                <c:ptCount val="27"/>
                <c:pt idx="0">
                  <c:v>103.97931522999652</c:v>
                </c:pt>
                <c:pt idx="1">
                  <c:v>108.13387993836257</c:v>
                </c:pt>
                <c:pt idx="2">
                  <c:v>112.50500255679407</c:v>
                </c:pt>
                <c:pt idx="3">
                  <c:v>117.10666891572116</c:v>
                </c:pt>
                <c:pt idx="4">
                  <c:v>121.95394647206528</c:v>
                </c:pt>
                <c:pt idx="5">
                  <c:v>127.06308208914453</c:v>
                </c:pt>
                <c:pt idx="6">
                  <c:v>132.45160996458941</c:v>
                </c:pt>
                <c:pt idx="7">
                  <c:v>138.13847089865371</c:v>
                </c:pt>
                <c:pt idx="8">
                  <c:v>144.14414425217649</c:v>
                </c:pt>
                <c:pt idx="9">
                  <c:v>150.49079412321487</c:v>
                </c:pt>
                <c:pt idx="10">
                  <c:v>157.20243147772015</c:v>
                </c:pt>
                <c:pt idx="11">
                  <c:v>164.30509420688455</c:v>
                </c:pt>
                <c:pt idx="12">
                  <c:v>171.82704735705411</c:v>
                </c:pt>
                <c:pt idx="13">
                  <c:v>179.7990060934055</c:v>
                </c:pt>
                <c:pt idx="14">
                  <c:v>188.25438432304031</c:v>
                </c:pt>
                <c:pt idx="15">
                  <c:v>197.22957232521304</c:v>
                </c:pt>
                <c:pt idx="16">
                  <c:v>206.76424722611787</c:v>
                </c:pt>
                <c:pt idx="17">
                  <c:v>216.90172072496011</c:v>
                </c:pt>
                <c:pt idx="18">
                  <c:v>227.68932914120899</c:v>
                </c:pt>
                <c:pt idx="19">
                  <c:v>239.17887162704122</c:v>
                </c:pt>
                <c:pt idx="20">
                  <c:v>251.42710329450725</c:v>
                </c:pt>
                <c:pt idx="21">
                  <c:v>264.49629106852416</c:v>
                </c:pt>
                <c:pt idx="22">
                  <c:v>278.45484132407842</c:v>
                </c:pt>
                <c:pt idx="23">
                  <c:v>299.4788245106003</c:v>
                </c:pt>
                <c:pt idx="24">
                  <c:v>322.23749518734775</c:v>
                </c:pt>
                <c:pt idx="25">
                  <c:v>346.72569412646584</c:v>
                </c:pt>
                <c:pt idx="26">
                  <c:v>373.07485554275695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59B-8A4A-8926-1A83046B3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2430592"/>
        <c:axId val="59908864"/>
      </c:scatterChart>
      <c:valAx>
        <c:axId val="252430592"/>
        <c:scaling>
          <c:orientation val="minMax"/>
          <c:max val="80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Wing loading</a:t>
                </a:r>
              </a:p>
            </c:rich>
          </c:tx>
          <c:layout>
            <c:manualLayout>
              <c:xMode val="edge"/>
              <c:yMode val="edge"/>
              <c:x val="0.40495867499321242"/>
              <c:y val="0.9407783161720174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59908864"/>
        <c:crosses val="autoZero"/>
        <c:crossBetween val="midCat"/>
      </c:valAx>
      <c:valAx>
        <c:axId val="59908864"/>
        <c:scaling>
          <c:orientation val="minMax"/>
          <c:max val="4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Power to Weight Ratio</a:t>
                </a:r>
              </a:p>
            </c:rich>
          </c:tx>
          <c:layout>
            <c:manualLayout>
              <c:xMode val="edge"/>
              <c:yMode val="edge"/>
              <c:x val="3.0991800162910688E-2"/>
              <c:y val="0.43824028218192185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52430592"/>
        <c:crosses val="autoZero"/>
        <c:crossBetween val="midCat"/>
        <c:majorUnit val="5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717447732826543"/>
          <c:y val="0.11312217194570147"/>
          <c:w val="0.14542937822427371"/>
          <c:h val="0.2149321266968327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03968943045628"/>
          <c:y val="6.711615821891613E-2"/>
          <c:w val="0.5941391170868987"/>
          <c:h val="0.8389527653309734"/>
        </c:manualLayout>
      </c:layout>
      <c:scatterChart>
        <c:scatterStyle val="lineMarker"/>
        <c:varyColors val="0"/>
        <c:ser>
          <c:idx val="0"/>
          <c:order val="0"/>
          <c:tx>
            <c:v>KL Factor</c:v>
          </c:tx>
          <c:spPr>
            <a:ln w="28575">
              <a:noFill/>
            </a:ln>
          </c:spPr>
          <c:dLbls>
            <c:dLbl>
              <c:idx val="0"/>
              <c:layout>
                <c:manualLayout>
                  <c:x val="5.5555555555555558E-3"/>
                  <c:y val="1.8691588785046741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Shorts 360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B2AD-AB4F-9924-B0EC06A42B46}"/>
                </c:ext>
              </c:extLst>
            </c:dLbl>
            <c:dLbl>
              <c:idx val="1"/>
              <c:layout>
                <c:manualLayout>
                  <c:x val="-2.7777777777777835E-3"/>
                  <c:y val="4.7278681286334535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200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B2AD-AB4F-9924-B0EC06A42B46}"/>
                </c:ext>
              </c:extLst>
            </c:dLbl>
            <c:dLbl>
              <c:idx val="2"/>
              <c:layout>
                <c:manualLayout>
                  <c:x val="2.7777777777777835E-3"/>
                  <c:y val="1.3987538940809922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100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B2AD-AB4F-9924-B0EC06A42B46}"/>
                </c:ext>
              </c:extLst>
            </c:dLbl>
            <c:dLbl>
              <c:idx val="3"/>
              <c:layout>
                <c:manualLayout>
                  <c:x val="-2.7777777777777657E-3"/>
                  <c:y val="-9.8039215686274508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300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B2AD-AB4F-9924-B0EC06A42B4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400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B2AD-AB4F-9924-B0EC06A42B46}"/>
                </c:ext>
              </c:extLst>
            </c:dLbl>
            <c:dLbl>
              <c:idx val="5"/>
              <c:layout>
                <c:manualLayout>
                  <c:x val="1.9444225721784801E-2"/>
                  <c:y val="-2.2875816993464141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Embraer 120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B2AD-AB4F-9924-B0EC06A42B46}"/>
                </c:ext>
              </c:extLst>
            </c:dLbl>
            <c:dLbl>
              <c:idx val="6"/>
              <c:layout>
                <c:manualLayout>
                  <c:x val="2.77777777777779E-3"/>
                  <c:y val="-3.2679738562091608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340 B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B2AD-AB4F-9924-B0EC06A42B46}"/>
                </c:ext>
              </c:extLst>
            </c:dLbl>
            <c:dLbl>
              <c:idx val="7"/>
              <c:layout>
                <c:manualLayout>
                  <c:x val="-2.7777777777777835E-3"/>
                  <c:y val="-6.0166310986827648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2000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B2AD-AB4F-9924-B0EC06A42B46}"/>
                </c:ext>
              </c:extLst>
            </c:dLbl>
            <c:dLbl>
              <c:idx val="8"/>
              <c:layout>
                <c:manualLayout>
                  <c:x val="1.6666666666666698E-2"/>
                  <c:y val="9.8039215686274508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Dornier 328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B2AD-AB4F-9924-B0EC06A42B46}"/>
                </c:ext>
              </c:extLst>
            </c:dLbl>
            <c:dLbl>
              <c:idx val="9"/>
              <c:layout>
                <c:manualLayout>
                  <c:x val="5.5555555555555558E-3"/>
                  <c:y val="-1.2826550886746357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AN 140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B2AD-AB4F-9924-B0EC06A42B46}"/>
                </c:ext>
              </c:extLst>
            </c:dLbl>
            <c:dLbl>
              <c:idx val="10"/>
              <c:layout>
                <c:manualLayout>
                  <c:x val="0"/>
                  <c:y val="6.5359477124183139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IL 114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B2AD-AB4F-9924-B0EC06A42B46}"/>
                </c:ext>
              </c:extLst>
            </c:dLbl>
            <c:dLbl>
              <c:idx val="11"/>
              <c:layout>
                <c:manualLayout>
                  <c:x val="1.9444444444444445E-2"/>
                  <c:y val="9.3457943925234314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LET 610 G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B-B2AD-AB4F-9924-B0EC06A42B46}"/>
                </c:ext>
              </c:extLst>
            </c:dLbl>
            <c:dLbl>
              <c:idx val="12"/>
              <c:layout>
                <c:manualLayout>
                  <c:x val="1.6666666666666698E-2"/>
                  <c:y val="1.9607843137254902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ATR 72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B2AD-AB4F-9924-B0EC06A42B46}"/>
                </c:ext>
              </c:extLst>
            </c:dLbl>
            <c:dLbl>
              <c:idx val="13"/>
              <c:layout>
                <c:manualLayout>
                  <c:x val="1.9444444444444403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ATR 42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B2AD-AB4F-9924-B0EC06A42B4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intercept val="0"/>
            <c:dispRSqr val="0"/>
            <c:dispEq val="1"/>
            <c:trendlineLbl>
              <c:layout>
                <c:manualLayout>
                  <c:x val="0.23617082160758759"/>
                  <c:y val="6.7096638045872504E-3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de-DE"/>
                </a:p>
              </c:txPr>
            </c:trendlineLbl>
          </c:trendline>
          <c:xVal>
            <c:numRef>
              <c:f>'Parameters-Statistics'!$H$7:$H$20</c:f>
              <c:numCache>
                <c:formatCode>0.00</c:formatCode>
                <c:ptCount val="14"/>
                <c:pt idx="0">
                  <c:v>2111.5</c:v>
                </c:pt>
                <c:pt idx="1">
                  <c:v>1416.6000000000001</c:v>
                </c:pt>
                <c:pt idx="2">
                  <c:v>1429.2</c:v>
                </c:pt>
                <c:pt idx="3">
                  <c:v>1872</c:v>
                </c:pt>
                <c:pt idx="4">
                  <c:v>2316.6</c:v>
                </c:pt>
                <c:pt idx="5">
                  <c:v>3312</c:v>
                </c:pt>
                <c:pt idx="6">
                  <c:v>1859.4</c:v>
                </c:pt>
                <c:pt idx="7">
                  <c:v>2237.4</c:v>
                </c:pt>
                <c:pt idx="8">
                  <c:v>2095.2000000000003</c:v>
                </c:pt>
                <c:pt idx="9">
                  <c:v>2430</c:v>
                </c:pt>
                <c:pt idx="10">
                  <c:v>3120</c:v>
                </c:pt>
                <c:pt idx="11">
                  <c:v>2052</c:v>
                </c:pt>
                <c:pt idx="12">
                  <c:v>2603.48</c:v>
                </c:pt>
                <c:pt idx="13">
                  <c:v>2747.44</c:v>
                </c:pt>
              </c:numCache>
            </c:numRef>
          </c:xVal>
          <c:yVal>
            <c:numRef>
              <c:f>'Parameters-Statistics'!$G$7:$G$20</c:f>
              <c:numCache>
                <c:formatCode>0.00</c:formatCode>
                <c:ptCount val="14"/>
                <c:pt idx="0">
                  <c:v>247</c:v>
                </c:pt>
                <c:pt idx="1">
                  <c:v>287.66544117647061</c:v>
                </c:pt>
                <c:pt idx="2">
                  <c:v>287.66544117647061</c:v>
                </c:pt>
                <c:pt idx="3">
                  <c:v>338.98576512455514</c:v>
                </c:pt>
                <c:pt idx="4">
                  <c:v>443.88272583201268</c:v>
                </c:pt>
                <c:pt idx="5">
                  <c:v>296.95431472081219</c:v>
                </c:pt>
                <c:pt idx="6">
                  <c:v>309.33014354066989</c:v>
                </c:pt>
                <c:pt idx="7">
                  <c:v>394.68963042698238</c:v>
                </c:pt>
                <c:pt idx="8">
                  <c:v>330.75</c:v>
                </c:pt>
                <c:pt idx="9">
                  <c:v>374.50980392156862</c:v>
                </c:pt>
                <c:pt idx="10">
                  <c:v>286.89999999999998</c:v>
                </c:pt>
                <c:pt idx="11">
                  <c:v>264.28571428571428</c:v>
                </c:pt>
                <c:pt idx="12">
                  <c:v>366.39344262295083</c:v>
                </c:pt>
                <c:pt idx="13">
                  <c:v>335.77981651376149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B2AD-AB4F-9924-B0EC06A42B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15936"/>
        <c:axId val="61018112"/>
      </c:scatterChart>
      <c:valAx>
        <c:axId val="610159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C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L,max,L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·S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LFL</a:t>
                </a:r>
              </a:p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[m]</a:t>
                </a:r>
              </a:p>
            </c:rich>
          </c:tx>
          <c:layout>
            <c:manualLayout>
              <c:xMode val="edge"/>
              <c:yMode val="edge"/>
              <c:x val="0.84273644501661626"/>
              <c:y val="0.863724923831757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018112"/>
        <c:crosses val="autoZero"/>
        <c:crossBetween val="midCat"/>
      </c:valAx>
      <c:valAx>
        <c:axId val="610181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m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L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/S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W</a:t>
                </a:r>
              </a:p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[kg/m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2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]</a:t>
                </a:r>
              </a:p>
            </c:rich>
          </c:tx>
          <c:layout>
            <c:manualLayout>
              <c:xMode val="edge"/>
              <c:yMode val="edge"/>
              <c:x val="1.1353951478498648E-2"/>
              <c:y val="2.2631530355188015E-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015936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3539308488965949"/>
          <c:y val="0.20209314287975325"/>
          <c:w val="0.1824700037495314"/>
          <c:h val="7.0471921207868854E-2"/>
        </c:manualLayout>
      </c:layout>
      <c:overlay val="0"/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000000000000189" l="0.70000000000000062" r="0.70000000000000062" t="0.75000000000000189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155075956859958"/>
          <c:y val="8.2526857606518733E-2"/>
          <c:w val="0.60981290830353962"/>
          <c:h val="0.78643240777976642"/>
        </c:manualLayout>
      </c:layout>
      <c:scatterChart>
        <c:scatterStyle val="lineMarker"/>
        <c:varyColors val="0"/>
        <c:ser>
          <c:idx val="0"/>
          <c:order val="0"/>
          <c:tx>
            <c:v>Kapp Factor</c:v>
          </c:tx>
          <c:spPr>
            <a:ln w="28575">
              <a:noFill/>
            </a:ln>
          </c:spP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Q 8 200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D348-2241-A965-BB9C0ADC12C4}"/>
                </c:ext>
              </c:extLst>
            </c:dLbl>
            <c:dLbl>
              <c:idx val="1"/>
              <c:layout>
                <c:manualLayout>
                  <c:x val="6.4412238325282055E-3"/>
                  <c:y val="3.7037037037037056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100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348-2241-A965-BB9C0ADC12C4}"/>
                </c:ext>
              </c:extLst>
            </c:dLbl>
            <c:dLbl>
              <c:idx val="2"/>
              <c:layout>
                <c:manualLayout>
                  <c:x val="6.4412238325282055E-3"/>
                  <c:y val="-9.2592592592593385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Q 8 300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348-2241-A965-BB9C0ADC12C4}"/>
                </c:ext>
              </c:extLst>
            </c:dLbl>
            <c:dLbl>
              <c:idx val="3"/>
              <c:layout>
                <c:manualLayout>
                  <c:x val="1.2882447665056381E-2"/>
                  <c:y val="-3.2407407407407496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Embraer 120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D348-2241-A965-BB9C0ADC12C4}"/>
                </c:ext>
              </c:extLst>
            </c:dLbl>
            <c:dLbl>
              <c:idx val="4"/>
              <c:layout>
                <c:manualLayout>
                  <c:x val="8.5882984433709019E-3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340 B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348-2241-A965-BB9C0ADC12C4}"/>
                </c:ext>
              </c:extLst>
            </c:dLbl>
            <c:dLbl>
              <c:idx val="5"/>
              <c:layout>
                <c:manualLayout>
                  <c:x val="1.0735203993220654E-2"/>
                  <c:y val="-1.8518518518518556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2000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D348-2241-A965-BB9C0ADC12C4}"/>
                </c:ext>
              </c:extLst>
            </c:dLbl>
            <c:dLbl>
              <c:idx val="6"/>
              <c:layout>
                <c:manualLayout>
                  <c:x val="2.147057704743436E-2"/>
                  <c:y val="-3.7037037037037056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IL 114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D348-2241-A965-BB9C0ADC12C4}"/>
                </c:ext>
              </c:extLst>
            </c:dLbl>
            <c:dLbl>
              <c:idx val="7"/>
              <c:layout>
                <c:manualLayout>
                  <c:x val="5.1529790660225387E-2"/>
                  <c:y val="3.7037037037037153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LET 610 G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348-2241-A965-BB9C0ADC12C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intercept val="0"/>
            <c:dispRSqr val="0"/>
            <c:dispEq val="1"/>
            <c:trendlineLbl>
              <c:layout>
                <c:manualLayout>
                  <c:x val="0.28472370357560101"/>
                  <c:y val="9.1568876471086413E-2"/>
                </c:manualLayout>
              </c:layout>
              <c:tx>
                <c:rich>
                  <a:bodyPr/>
                  <a:lstStyle/>
                  <a:p>
                    <a:pPr>
                      <a:defRPr sz="13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de-DE"/>
                      <a:t>y = 1,643x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'Parameters-Statistics'!$E$28:$E$35</c:f>
              <c:numCache>
                <c:formatCode>0.00</c:formatCode>
                <c:ptCount val="8"/>
                <c:pt idx="0">
                  <c:v>28.053520278211074</c:v>
                </c:pt>
                <c:pt idx="1">
                  <c:v>28.178005607210743</c:v>
                </c:pt>
                <c:pt idx="2">
                  <c:v>32.249030993194197</c:v>
                </c:pt>
                <c:pt idx="3">
                  <c:v>37.148351242013419</c:v>
                </c:pt>
                <c:pt idx="4">
                  <c:v>32.140317359976393</c:v>
                </c:pt>
                <c:pt idx="5">
                  <c:v>35.256205127608389</c:v>
                </c:pt>
                <c:pt idx="6">
                  <c:v>36.055512754639892</c:v>
                </c:pt>
                <c:pt idx="7">
                  <c:v>33.763886032268267</c:v>
                </c:pt>
              </c:numCache>
            </c:numRef>
          </c:xVal>
          <c:yVal>
            <c:numRef>
              <c:f>'Parameters-Statistics'!$C$28:$C$35</c:f>
              <c:numCache>
                <c:formatCode>0.00</c:formatCode>
                <c:ptCount val="8"/>
                <c:pt idx="0">
                  <c:v>48.388888888888893</c:v>
                </c:pt>
                <c:pt idx="1">
                  <c:v>48.388888888888893</c:v>
                </c:pt>
                <c:pt idx="2">
                  <c:v>50.916666666666664</c:v>
                </c:pt>
                <c:pt idx="3">
                  <c:v>59.583333333333336</c:v>
                </c:pt>
                <c:pt idx="4">
                  <c:v>57.777777777777779</c:v>
                </c:pt>
                <c:pt idx="5">
                  <c:v>65.722222222222229</c:v>
                </c:pt>
                <c:pt idx="6">
                  <c:v>51.388888888888886</c:v>
                </c:pt>
                <c:pt idx="7">
                  <c:v>51.111111111111107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348-2241-A965-BB9C0ADC12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50880"/>
        <c:axId val="61052800"/>
      </c:scatterChart>
      <c:valAx>
        <c:axId val="61050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LFL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1/2</a:t>
                </a:r>
              </a:p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[m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1/2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]</a:t>
                </a:r>
              </a:p>
            </c:rich>
          </c:tx>
          <c:layout>
            <c:manualLayout>
              <c:xMode val="edge"/>
              <c:yMode val="edge"/>
              <c:x val="0.7982881162714367"/>
              <c:y val="0.79984007375422173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052800"/>
        <c:crosses val="autoZero"/>
        <c:crossBetween val="midCat"/>
      </c:valAx>
      <c:valAx>
        <c:axId val="61052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V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app</a:t>
                </a:r>
              </a:p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[m/s]</a:t>
                </a:r>
              </a:p>
            </c:rich>
          </c:tx>
          <c:layout>
            <c:manualLayout>
              <c:xMode val="edge"/>
              <c:yMode val="edge"/>
              <c:x val="1.6637431750883241E-3"/>
              <c:y val="2.84243501820336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050880"/>
        <c:crosses val="autoZero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2087125931311566"/>
          <c:y val="0.33335628745331597"/>
          <c:w val="0.15470093321668121"/>
          <c:h val="0.1019449199284872"/>
        </c:manualLayout>
      </c:layout>
      <c:overlay val="0"/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000000000000255" l="0.70000000000000062" r="0.70000000000000062" t="0.75000000000000255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95291011144868"/>
          <c:y val="8.5430070324730448E-2"/>
          <c:w val="0.63630438346835061"/>
          <c:h val="0.76887063292257529"/>
        </c:manualLayout>
      </c:layout>
      <c:scatterChart>
        <c:scatterStyle val="lineMarker"/>
        <c:varyColors val="0"/>
        <c:ser>
          <c:idx val="0"/>
          <c:order val="0"/>
          <c:tx>
            <c:v>KTO Factor</c:v>
          </c:tx>
          <c:spPr>
            <a:ln w="28575">
              <a:noFill/>
            </a:ln>
          </c:spPr>
          <c:dLbls>
            <c:dLbl>
              <c:idx val="0"/>
              <c:layout>
                <c:manualLayout>
                  <c:x val="0"/>
                  <c:y val="-1.8518518518518549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Shorts 330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DB51-B049-9300-837B2A73CA73}"/>
                </c:ext>
              </c:extLst>
            </c:dLbl>
            <c:dLbl>
              <c:idx val="1"/>
              <c:layout>
                <c:manualLayout>
                  <c:x val="0.1281575385331917"/>
                  <c:y val="3.2407407407407482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100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DB51-B049-9300-837B2A73CA7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200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DB51-B049-9300-837B2A73CA73}"/>
                </c:ext>
              </c:extLst>
            </c:dLbl>
            <c:dLbl>
              <c:idx val="3"/>
              <c:layout>
                <c:manualLayout>
                  <c:x val="7.3937153419593414E-3"/>
                  <c:y val="4.6296296296296406E-3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300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DB51-B049-9300-837B2A73CA7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Embraer 120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DB51-B049-9300-837B2A73CA7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340 B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DB51-B049-9300-837B2A73CA73}"/>
                </c:ext>
              </c:extLst>
            </c:dLbl>
            <c:dLbl>
              <c:idx val="6"/>
              <c:layout>
                <c:manualLayout>
                  <c:x val="1.2322858903265569E-2"/>
                  <c:y val="-1.3888888888888864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2000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DB51-B049-9300-837B2A73CA7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IL 114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DB51-B049-9300-837B2A73CA73}"/>
                </c:ext>
              </c:extLst>
            </c:dLbl>
            <c:dLbl>
              <c:idx val="8"/>
              <c:layout>
                <c:manualLayout>
                  <c:x val="7.3937153419593414E-3"/>
                  <c:y val="1.8518518518518549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LET 610 G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DB51-B049-9300-837B2A73CA73}"/>
                </c:ext>
              </c:extLst>
            </c:dLbl>
            <c:dLbl>
              <c:idx val="9"/>
              <c:layout>
                <c:manualLayout>
                  <c:x val="7.3937153419593388E-3"/>
                  <c:y val="1.3888888888888904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ATR 72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DB51-B049-9300-837B2A73CA7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intercept val="0"/>
            <c:dispRSqr val="0"/>
            <c:dispEq val="1"/>
            <c:trendlineLbl>
              <c:layout>
                <c:manualLayout>
                  <c:x val="0.1556583190048387"/>
                  <c:y val="-2.4430180404664638E-2"/>
                </c:manualLayout>
              </c:layout>
              <c:tx>
                <c:rich>
                  <a:bodyPr/>
                  <a:lstStyle/>
                  <a:p>
                    <a:pPr>
                      <a:defRPr sz="13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de-DE"/>
                      <a:t>y = 2,25x</a:t>
                    </a:r>
                  </a:p>
                </c:rich>
              </c:tx>
              <c:numFmt formatCode="General" sourceLinked="0"/>
              <c:spPr>
                <a:noFill/>
                <a:ln w="25400">
                  <a:noFill/>
                </a:ln>
              </c:spPr>
            </c:trendlineLbl>
          </c:trendline>
          <c:xVal>
            <c:numRef>
              <c:f>'Parameters-Statistics'!$J$49:$J$58</c:f>
              <c:numCache>
                <c:formatCode>0</c:formatCode>
                <c:ptCount val="10"/>
                <c:pt idx="0">
                  <c:v>77672.738349132516</c:v>
                </c:pt>
                <c:pt idx="1">
                  <c:v>93782.386146435674</c:v>
                </c:pt>
                <c:pt idx="2">
                  <c:v>93782.386146435674</c:v>
                </c:pt>
                <c:pt idx="3">
                  <c:v>113130.92608978345</c:v>
                </c:pt>
                <c:pt idx="4">
                  <c:v>116096.37283105409</c:v>
                </c:pt>
                <c:pt idx="5">
                  <c:v>125845.46686241415</c:v>
                </c:pt>
                <c:pt idx="6">
                  <c:v>194834.4522574365</c:v>
                </c:pt>
                <c:pt idx="7">
                  <c:v>106152.12581336789</c:v>
                </c:pt>
                <c:pt idx="8">
                  <c:v>87909.576111957373</c:v>
                </c:pt>
                <c:pt idx="9">
                  <c:v>168354.28162976974</c:v>
                </c:pt>
              </c:numCache>
            </c:numRef>
          </c:xVal>
          <c:yVal>
            <c:numRef>
              <c:f>'Parameters-Statistics'!$I$49:$I$58</c:f>
              <c:numCache>
                <c:formatCode>0</c:formatCode>
                <c:ptCount val="10"/>
                <c:pt idx="0">
                  <c:v>220363.51999999999</c:v>
                </c:pt>
                <c:pt idx="1">
                  <c:v>152568.00000000003</c:v>
                </c:pt>
                <c:pt idx="2">
                  <c:v>181584.00000000006</c:v>
                </c:pt>
                <c:pt idx="3">
                  <c:v>210598.12800000006</c:v>
                </c:pt>
                <c:pt idx="4">
                  <c:v>432338.4</c:v>
                </c:pt>
                <c:pt idx="5">
                  <c:v>342115.48800000001</c:v>
                </c:pt>
                <c:pt idx="6">
                  <c:v>328074.08400000003</c:v>
                </c:pt>
                <c:pt idx="7">
                  <c:v>301766.40000000002</c:v>
                </c:pt>
                <c:pt idx="8">
                  <c:v>162711.24480000004</c:v>
                </c:pt>
                <c:pt idx="9">
                  <c:v>294451.68479999999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B51-B049-9300-837B2A73CA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095296"/>
        <c:axId val="61130240"/>
      </c:scatterChart>
      <c:valAx>
        <c:axId val="610952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m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MTO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/S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W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·g·V</a:t>
                </a:r>
              </a:p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[kg/s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3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]</a:t>
                </a:r>
              </a:p>
            </c:rich>
          </c:tx>
          <c:layout>
            <c:manualLayout>
              <c:xMode val="edge"/>
              <c:yMode val="edge"/>
              <c:x val="0.84560202798996098"/>
              <c:y val="0.80199262433967955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130240"/>
        <c:crosses val="autoZero"/>
        <c:crossBetween val="midCat"/>
      </c:valAx>
      <c:valAx>
        <c:axId val="6113024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P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S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/m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MTO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·S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TOFL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·σ·C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L,max,TO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·η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P</a:t>
                </a:r>
              </a:p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[W·m/kg]</a:t>
                </a:r>
              </a:p>
            </c:rich>
          </c:tx>
          <c:layout>
            <c:manualLayout>
              <c:xMode val="edge"/>
              <c:yMode val="edge"/>
              <c:x val="1.0178621964009255E-2"/>
              <c:y val="0.1199923180334165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095296"/>
        <c:crosses val="autoZero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80002480398195452"/>
          <c:y val="0.41207451507585996"/>
          <c:w val="0.16632102012618397"/>
          <c:h val="0.10050585749951992"/>
        </c:manualLayout>
      </c:layout>
      <c:overlay val="1"/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000000000000178" l="0.70000000000000062" r="0.70000000000000062" t="0.75000000000000178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886788882180092"/>
          <c:y val="0.13942192008607621"/>
          <c:w val="0.6158016957917436"/>
          <c:h val="0.74610428354840796"/>
        </c:manualLayout>
      </c:layout>
      <c:scatterChart>
        <c:scatterStyle val="lineMarker"/>
        <c:varyColors val="0"/>
        <c:ser>
          <c:idx val="0"/>
          <c:order val="0"/>
          <c:tx>
            <c:v>(KE Factor)^2</c:v>
          </c:tx>
          <c:spPr>
            <a:ln w="28575">
              <a:noFill/>
            </a:ln>
          </c:spPr>
          <c:dLbls>
            <c:dLbl>
              <c:idx val="0"/>
              <c:layout>
                <c:manualLayout>
                  <c:x val="-2.2222222222222251E-2"/>
                  <c:y val="-3.7037037037037056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Fokker 27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4D9-D04D-A607-8C9F5D2660F8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Shorts 360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4D9-D04D-A607-8C9F5D2660F8}"/>
                </c:ext>
              </c:extLst>
            </c:dLbl>
            <c:dLbl>
              <c:idx val="2"/>
              <c:layout>
                <c:manualLayout>
                  <c:x val="-0.15000000000000022"/>
                  <c:y val="-4.2437781360066993E-17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Saab 340A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4D9-D04D-A607-8C9F5D2660F8}"/>
                </c:ext>
              </c:extLst>
            </c:dLbl>
            <c:dLbl>
              <c:idx val="3"/>
              <c:layout>
                <c:manualLayout>
                  <c:x val="-8.3333333333333367E-3"/>
                  <c:y val="-1.3888888888888919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BAE ATP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4D9-D04D-A607-8C9F5D2660F8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Embraer 120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4D9-D04D-A607-8C9F5D2660F8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Jetstream 41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4D9-D04D-A607-8C9F5D2660F8}"/>
                </c:ext>
              </c:extLst>
            </c:dLbl>
            <c:dLbl>
              <c:idx val="6"/>
              <c:layout>
                <c:manualLayout>
                  <c:x val="-8.3333333333333367E-3"/>
                  <c:y val="2.3148148148148147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Dornier 328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94D9-D04D-A607-8C9F5D2660F8}"/>
                </c:ext>
              </c:extLst>
            </c:dLbl>
            <c:dLbl>
              <c:idx val="7"/>
              <c:layout>
                <c:manualLayout>
                  <c:x val="-2.5000000000000001E-2"/>
                  <c:y val="2.7777777777777863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DHC 8 Q 300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94D9-D04D-A607-8C9F5D2660F8}"/>
                </c:ext>
              </c:extLst>
            </c:dLbl>
            <c:dLbl>
              <c:idx val="8"/>
              <c:layout>
                <c:manualLayout>
                  <c:x val="-1.3888888888888919E-2"/>
                  <c:y val="-1.3888888888888919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ATR42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94D9-D04D-A607-8C9F5D2660F8}"/>
                </c:ext>
              </c:extLst>
            </c:dLbl>
            <c:dLbl>
              <c:idx val="9"/>
              <c:layout>
                <c:manualLayout>
                  <c:x val="-1.1111111111111125E-2"/>
                  <c:y val="-2.3148148148148147E-2"/>
                </c:manualLayout>
              </c:layout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ATR 72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94D9-D04D-A607-8C9F5D2660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de-DE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trendlineType val="linear"/>
            <c:intercept val="0"/>
            <c:dispRSqr val="0"/>
            <c:dispEq val="1"/>
            <c:trendlineLbl>
              <c:layout>
                <c:manualLayout>
                  <c:x val="-0.35215638670166238"/>
                  <c:y val="-9.8374161563138066E-2"/>
                </c:manualLayout>
              </c:layout>
              <c:numFmt formatCode="General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3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de-DE"/>
                </a:p>
              </c:txPr>
            </c:trendlineLbl>
          </c:trendline>
          <c:xVal>
            <c:numRef>
              <c:f>'Parameters-Statistics'!$K$69:$K$78</c:f>
              <c:numCache>
                <c:formatCode>0.00</c:formatCode>
                <c:ptCount val="10"/>
                <c:pt idx="0">
                  <c:v>1.9313627081892957</c:v>
                </c:pt>
                <c:pt idx="1">
                  <c:v>1.8104985566910281</c:v>
                </c:pt>
                <c:pt idx="2">
                  <c:v>1.7701305149393614</c:v>
                </c:pt>
                <c:pt idx="3">
                  <c:v>2.3724392242556678</c:v>
                </c:pt>
                <c:pt idx="4">
                  <c:v>1.5725287180765117</c:v>
                </c:pt>
                <c:pt idx="5">
                  <c:v>1.7522288453393113</c:v>
                </c:pt>
                <c:pt idx="6">
                  <c:v>1.6314846881454099</c:v>
                </c:pt>
                <c:pt idx="7">
                  <c:v>2.1328152436192269</c:v>
                </c:pt>
                <c:pt idx="8">
                  <c:v>1.7600542316073675</c:v>
                </c:pt>
                <c:pt idx="9">
                  <c:v>1.845051003561553</c:v>
                </c:pt>
              </c:numCache>
            </c:numRef>
          </c:xVal>
          <c:yVal>
            <c:numRef>
              <c:f>'Parameters-Statistics'!$M$69:$M$78</c:f>
              <c:numCache>
                <c:formatCode>0.00</c:formatCode>
                <c:ptCount val="10"/>
                <c:pt idx="0">
                  <c:v>250.5889</c:v>
                </c:pt>
                <c:pt idx="1">
                  <c:v>348.19560000000001</c:v>
                </c:pt>
                <c:pt idx="2">
                  <c:v>256</c:v>
                </c:pt>
                <c:pt idx="3">
                  <c:v>242.7364</c:v>
                </c:pt>
                <c:pt idx="4">
                  <c:v>200.50560000000002</c:v>
                </c:pt>
                <c:pt idx="5">
                  <c:v>128.3689</c:v>
                </c:pt>
                <c:pt idx="6">
                  <c:v>193.4881</c:v>
                </c:pt>
                <c:pt idx="7">
                  <c:v>245.23560000000001</c:v>
                </c:pt>
                <c:pt idx="8">
                  <c:v>214.91560000000001</c:v>
                </c:pt>
                <c:pt idx="9">
                  <c:v>277.55560000000003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4D9-D04D-A607-8C9F5D266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242368"/>
        <c:axId val="61269120"/>
      </c:scatterChart>
      <c:valAx>
        <c:axId val="61242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A/(S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wet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/S</a:t>
                </a:r>
                <a:r>
                  <a:rPr lang="de-DE" sz="1300" b="0" i="0" u="none" strike="noStrike" baseline="-25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w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)</a:t>
                </a:r>
              </a:p>
            </c:rich>
          </c:tx>
          <c:layout>
            <c:manualLayout>
              <c:xMode val="edge"/>
              <c:yMode val="edge"/>
              <c:x val="0.8388414366419823"/>
              <c:y val="0.87624380285797654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269120"/>
        <c:crosses val="autoZero"/>
        <c:crossBetween val="midCat"/>
      </c:valAx>
      <c:valAx>
        <c:axId val="61269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E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2</a:t>
                </a:r>
                <a:r>
                  <a:rPr lang="de-DE" sz="1300" b="0" i="0" u="none" strike="noStrike" baseline="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=(L/D)</a:t>
                </a:r>
                <a:r>
                  <a:rPr lang="de-DE" sz="1300" b="0" i="0" u="none" strike="noStrike" baseline="30000">
                    <a:solidFill>
                      <a:srgbClr val="000000"/>
                    </a:solidFill>
                    <a:latin typeface="Calibri" pitchFamily="2" charset="0"/>
                    <a:cs typeface="Calibri" pitchFamily="2" charset="0"/>
                  </a:rPr>
                  <a:t>2</a:t>
                </a:r>
              </a:p>
            </c:rich>
          </c:tx>
          <c:layout>
            <c:manualLayout>
              <c:xMode val="edge"/>
              <c:yMode val="edge"/>
              <c:x val="3.4696406443618343E-2"/>
              <c:y val="4.001117872688271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61242368"/>
        <c:crosses val="autoZero"/>
        <c:crossBetween val="midCat"/>
      </c:valAx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23003141943023556"/>
          <c:y val="0.59162328123163666"/>
          <c:w val="0.17676092495737314"/>
          <c:h val="0.16412768833000357"/>
        </c:manualLayout>
      </c:layout>
      <c:overlay val="0"/>
      <c:txPr>
        <a:bodyPr/>
        <a:lstStyle/>
        <a:p>
          <a:pPr>
            <a:defRPr sz="11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>
    <tabColor theme="3" tint="0.39997558519241921"/>
  </sheetPr>
  <sheetViews>
    <sheetView zoomScale="120" workbookViewId="0"/>
  </sheetViews>
  <pageMargins left="0.75" right="0.75" top="1" bottom="1" header="0.4921259845" footer="0.4921259845"/>
  <pageSetup paperSize="9" orientation="landscape" horizontalDpi="96" verticalDpi="96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7" Type="http://schemas.openxmlformats.org/officeDocument/2006/relationships/image" Target="../media/image17.png"/><Relationship Id="rId2" Type="http://schemas.openxmlformats.org/officeDocument/2006/relationships/image" Target="../media/image12.png"/><Relationship Id="rId1" Type="http://schemas.openxmlformats.org/officeDocument/2006/relationships/image" Target="../media/image11.jpeg"/><Relationship Id="rId6" Type="http://schemas.openxmlformats.org/officeDocument/2006/relationships/image" Target="../media/image16.png"/><Relationship Id="rId5" Type="http://schemas.openxmlformats.org/officeDocument/2006/relationships/image" Target="../media/image15.png"/><Relationship Id="rId4" Type="http://schemas.openxmlformats.org/officeDocument/2006/relationships/image" Target="../media/image1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0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5.png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vmlDrawing2.vml.rels><?xml version="1.0" encoding="UTF-8" standalone="yes"?>
<Relationships xmlns="http://schemas.openxmlformats.org/package/2006/relationships"><Relationship Id="rId8" Type="http://schemas.openxmlformats.org/officeDocument/2006/relationships/image" Target="../media/image25.emf"/><Relationship Id="rId3" Type="http://schemas.openxmlformats.org/officeDocument/2006/relationships/image" Target="../media/image20.emf"/><Relationship Id="rId7" Type="http://schemas.openxmlformats.org/officeDocument/2006/relationships/image" Target="../media/image24.emf"/><Relationship Id="rId12" Type="http://schemas.openxmlformats.org/officeDocument/2006/relationships/image" Target="../media/image29.emf"/><Relationship Id="rId2" Type="http://schemas.openxmlformats.org/officeDocument/2006/relationships/image" Target="../media/image19.emf"/><Relationship Id="rId1" Type="http://schemas.openxmlformats.org/officeDocument/2006/relationships/image" Target="../media/image18.emf"/><Relationship Id="rId6" Type="http://schemas.openxmlformats.org/officeDocument/2006/relationships/image" Target="../media/image23.emf"/><Relationship Id="rId11" Type="http://schemas.openxmlformats.org/officeDocument/2006/relationships/image" Target="../media/image28.emf"/><Relationship Id="rId5" Type="http://schemas.openxmlformats.org/officeDocument/2006/relationships/image" Target="../media/image22.emf"/><Relationship Id="rId10" Type="http://schemas.openxmlformats.org/officeDocument/2006/relationships/image" Target="../media/image27.emf"/><Relationship Id="rId4" Type="http://schemas.openxmlformats.org/officeDocument/2006/relationships/image" Target="../media/image21.emf"/><Relationship Id="rId9" Type="http://schemas.openxmlformats.org/officeDocument/2006/relationships/image" Target="../media/image26.emf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33.emf"/><Relationship Id="rId2" Type="http://schemas.openxmlformats.org/officeDocument/2006/relationships/image" Target="../media/image32.emf"/><Relationship Id="rId1" Type="http://schemas.openxmlformats.org/officeDocument/2006/relationships/image" Target="../media/image31.emf"/><Relationship Id="rId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27</xdr:row>
      <xdr:rowOff>64576</xdr:rowOff>
    </xdr:from>
    <xdr:to>
      <xdr:col>4</xdr:col>
      <xdr:colOff>10763</xdr:colOff>
      <xdr:row>29</xdr:row>
      <xdr:rowOff>101599</xdr:rowOff>
    </xdr:to>
    <xdr:sp macro="" textlink="">
      <xdr:nvSpPr>
        <xdr:cNvPr id="2149" name="Line 63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SpPr>
          <a:spLocks noChangeShapeType="1"/>
        </xdr:cNvSpPr>
      </xdr:nvSpPr>
      <xdr:spPr bwMode="auto">
        <a:xfrm flipH="1">
          <a:off x="6718515" y="4864745"/>
          <a:ext cx="417163" cy="392193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3</xdr:col>
      <xdr:colOff>328478</xdr:colOff>
      <xdr:row>50</xdr:row>
      <xdr:rowOff>215</xdr:rowOff>
    </xdr:from>
    <xdr:ext cx="65" cy="172227"/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818393" y="9030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twoCellAnchor editAs="oneCell">
    <xdr:from>
      <xdr:col>4</xdr:col>
      <xdr:colOff>705427</xdr:colOff>
      <xdr:row>45</xdr:row>
      <xdr:rowOff>42141</xdr:rowOff>
    </xdr:from>
    <xdr:to>
      <xdr:col>6</xdr:col>
      <xdr:colOff>162646</xdr:colOff>
      <xdr:row>48</xdr:row>
      <xdr:rowOff>11657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52063" y="8204777"/>
          <a:ext cx="1522846" cy="52369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15</xdr:row>
          <xdr:rowOff>0</xdr:rowOff>
        </xdr:from>
        <xdr:to>
          <xdr:col>5</xdr:col>
          <xdr:colOff>47625</xdr:colOff>
          <xdr:row>16</xdr:row>
          <xdr:rowOff>28575</xdr:rowOff>
        </xdr:to>
        <xdr:sp macro="" textlink="">
          <xdr:nvSpPr>
            <xdr:cNvPr id="2092" name="Object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1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19</xdr:row>
          <xdr:rowOff>0</xdr:rowOff>
        </xdr:from>
        <xdr:to>
          <xdr:col>4</xdr:col>
          <xdr:colOff>352425</xdr:colOff>
          <xdr:row>21</xdr:row>
          <xdr:rowOff>38100</xdr:rowOff>
        </xdr:to>
        <xdr:sp macro="" textlink="">
          <xdr:nvSpPr>
            <xdr:cNvPr id="2093" name="Object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1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25</xdr:row>
          <xdr:rowOff>9525</xdr:rowOff>
        </xdr:from>
        <xdr:to>
          <xdr:col>5</xdr:col>
          <xdr:colOff>85725</xdr:colOff>
          <xdr:row>27</xdr:row>
          <xdr:rowOff>28575</xdr:rowOff>
        </xdr:to>
        <xdr:sp macro="" textlink="">
          <xdr:nvSpPr>
            <xdr:cNvPr id="2095" name="Object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1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29</xdr:row>
          <xdr:rowOff>19050</xdr:rowOff>
        </xdr:from>
        <xdr:to>
          <xdr:col>6</xdr:col>
          <xdr:colOff>9525</xdr:colOff>
          <xdr:row>30</xdr:row>
          <xdr:rowOff>47625</xdr:rowOff>
        </xdr:to>
        <xdr:sp macro="" textlink="">
          <xdr:nvSpPr>
            <xdr:cNvPr id="2097" name="Object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1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31</xdr:row>
          <xdr:rowOff>19050</xdr:rowOff>
        </xdr:from>
        <xdr:to>
          <xdr:col>5</xdr:col>
          <xdr:colOff>180975</xdr:colOff>
          <xdr:row>33</xdr:row>
          <xdr:rowOff>28575</xdr:rowOff>
        </xdr:to>
        <xdr:sp macro="" textlink="">
          <xdr:nvSpPr>
            <xdr:cNvPr id="2098" name="Object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1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49</xdr:row>
          <xdr:rowOff>9525</xdr:rowOff>
        </xdr:from>
        <xdr:to>
          <xdr:col>7</xdr:col>
          <xdr:colOff>85725</xdr:colOff>
          <xdr:row>51</xdr:row>
          <xdr:rowOff>47625</xdr:rowOff>
        </xdr:to>
        <xdr:sp macro="" textlink="">
          <xdr:nvSpPr>
            <xdr:cNvPr id="2101" name="Object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1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63</xdr:row>
          <xdr:rowOff>0</xdr:rowOff>
        </xdr:from>
        <xdr:to>
          <xdr:col>5</xdr:col>
          <xdr:colOff>114300</xdr:colOff>
          <xdr:row>66</xdr:row>
          <xdr:rowOff>47625</xdr:rowOff>
        </xdr:to>
        <xdr:sp macro="" textlink="">
          <xdr:nvSpPr>
            <xdr:cNvPr id="2102" name="Object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1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71</xdr:row>
          <xdr:rowOff>9525</xdr:rowOff>
        </xdr:from>
        <xdr:to>
          <xdr:col>6</xdr:col>
          <xdr:colOff>257175</xdr:colOff>
          <xdr:row>74</xdr:row>
          <xdr:rowOff>9525</xdr:rowOff>
        </xdr:to>
        <xdr:sp macro="" textlink="">
          <xdr:nvSpPr>
            <xdr:cNvPr id="2103" name="Object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1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92</xdr:row>
          <xdr:rowOff>19050</xdr:rowOff>
        </xdr:from>
        <xdr:to>
          <xdr:col>7</xdr:col>
          <xdr:colOff>123825</xdr:colOff>
          <xdr:row>95</xdr:row>
          <xdr:rowOff>9525</xdr:rowOff>
        </xdr:to>
        <xdr:sp macro="" textlink="">
          <xdr:nvSpPr>
            <xdr:cNvPr id="2104" name="Object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1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722314</xdr:colOff>
      <xdr:row>28</xdr:row>
      <xdr:rowOff>127002</xdr:rowOff>
    </xdr:from>
    <xdr:to>
      <xdr:col>6</xdr:col>
      <xdr:colOff>268139</xdr:colOff>
      <xdr:row>30</xdr:row>
      <xdr:rowOff>31749</xdr:rowOff>
    </xdr:to>
    <xdr:cxnSp macro="">
      <xdr:nvCxnSpPr>
        <xdr:cNvPr id="5" name="Gerade Verbindung mit Pfeil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>
          <a:cxnSpLocks/>
          <a:stCxn id="24" idx="0"/>
        </xdr:cNvCxnSpPr>
      </xdr:nvCxnSpPr>
      <xdr:spPr bwMode="auto">
        <a:xfrm flipH="1" flipV="1">
          <a:off x="6961189" y="4833940"/>
          <a:ext cx="371325" cy="23812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7</xdr:col>
      <xdr:colOff>531814</xdr:colOff>
      <xdr:row>27</xdr:row>
      <xdr:rowOff>87313</xdr:rowOff>
    </xdr:from>
    <xdr:to>
      <xdr:col>8</xdr:col>
      <xdr:colOff>50800</xdr:colOff>
      <xdr:row>27</xdr:row>
      <xdr:rowOff>107950</xdr:rowOff>
    </xdr:to>
    <xdr:cxnSp macro="">
      <xdr:nvCxnSpPr>
        <xdr:cNvPr id="8" name="Gerade Verbindung mit Pfeil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>
          <a:cxnSpLocks/>
          <a:stCxn id="21" idx="1"/>
        </xdr:cNvCxnSpPr>
      </xdr:nvCxnSpPr>
      <xdr:spPr bwMode="auto">
        <a:xfrm flipH="1" flipV="1">
          <a:off x="8418514" y="4583113"/>
          <a:ext cx="344486" cy="2063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 editAs="oneCell">
    <xdr:from>
      <xdr:col>14</xdr:col>
      <xdr:colOff>772583</xdr:colOff>
      <xdr:row>0</xdr:row>
      <xdr:rowOff>190501</xdr:rowOff>
    </xdr:from>
    <xdr:to>
      <xdr:col>19</xdr:col>
      <xdr:colOff>68262</xdr:colOff>
      <xdr:row>20</xdr:row>
      <xdr:rowOff>131218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467" t="8207" r="21029" b="47707"/>
        <a:stretch/>
      </xdr:blipFill>
      <xdr:spPr>
        <a:xfrm>
          <a:off x="14647333" y="190501"/>
          <a:ext cx="3418417" cy="3354372"/>
        </a:xfrm>
        <a:prstGeom prst="rect">
          <a:avLst/>
        </a:prstGeom>
      </xdr:spPr>
    </xdr:pic>
    <xdr:clientData/>
  </xdr:twoCellAnchor>
  <xdr:oneCellAnchor>
    <xdr:from>
      <xdr:col>5</xdr:col>
      <xdr:colOff>500591</xdr:colOff>
      <xdr:row>31</xdr:row>
      <xdr:rowOff>140758</xdr:rowOff>
    </xdr:from>
    <xdr:ext cx="65" cy="172227"/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6744758" y="542184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de-DE" sz="1100"/>
        </a:p>
      </xdr:txBody>
    </xdr:sp>
    <xdr:clientData/>
  </xdr:oneCellAnchor>
  <xdr:twoCellAnchor editAs="oneCell">
    <xdr:from>
      <xdr:col>2</xdr:col>
      <xdr:colOff>63499</xdr:colOff>
      <xdr:row>7</xdr:row>
      <xdr:rowOff>3044</xdr:rowOff>
    </xdr:from>
    <xdr:to>
      <xdr:col>6</xdr:col>
      <xdr:colOff>512762</xdr:colOff>
      <xdr:row>9</xdr:row>
      <xdr:rowOff>144474</xdr:rowOff>
    </xdr:to>
    <xdr:pic>
      <xdr:nvPicPr>
        <xdr:cNvPr id="13" name="Grafik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0" t="-7987" r="-21" b="-3124"/>
        <a:stretch/>
      </xdr:blipFill>
      <xdr:spPr>
        <a:xfrm>
          <a:off x="3365499" y="1196844"/>
          <a:ext cx="4203701" cy="466868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2</xdr:col>
      <xdr:colOff>55563</xdr:colOff>
      <xdr:row>12</xdr:row>
      <xdr:rowOff>38516</xdr:rowOff>
    </xdr:from>
    <xdr:to>
      <xdr:col>4</xdr:col>
      <xdr:colOff>627063</xdr:colOff>
      <xdr:row>16</xdr:row>
      <xdr:rowOff>59153</xdr:rowOff>
    </xdr:to>
    <xdr:pic>
      <xdr:nvPicPr>
        <xdr:cNvPr id="15" name="Grafik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357563" y="2057816"/>
          <a:ext cx="2514600" cy="681037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2</xdr:col>
      <xdr:colOff>63500</xdr:colOff>
      <xdr:row>17</xdr:row>
      <xdr:rowOff>34433</xdr:rowOff>
    </xdr:from>
    <xdr:to>
      <xdr:col>5</xdr:col>
      <xdr:colOff>695325</xdr:colOff>
      <xdr:row>22</xdr:row>
      <xdr:rowOff>97123</xdr:rowOff>
    </xdr:to>
    <xdr:pic>
      <xdr:nvPicPr>
        <xdr:cNvPr id="17" name="Grafik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365500" y="2879233"/>
          <a:ext cx="3560763" cy="88819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8</xdr:col>
      <xdr:colOff>7937</xdr:colOff>
      <xdr:row>21</xdr:row>
      <xdr:rowOff>73124</xdr:rowOff>
    </xdr:from>
    <xdr:to>
      <xdr:col>10</xdr:col>
      <xdr:colOff>314326</xdr:colOff>
      <xdr:row>23</xdr:row>
      <xdr:rowOff>125313</xdr:rowOff>
    </xdr:to>
    <xdr:pic>
      <xdr:nvPicPr>
        <xdr:cNvPr id="19" name="Grafik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720137" y="3578324"/>
          <a:ext cx="1952627" cy="382389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8</xdr:col>
      <xdr:colOff>50800</xdr:colOff>
      <xdr:row>26</xdr:row>
      <xdr:rowOff>139700</xdr:rowOff>
    </xdr:from>
    <xdr:to>
      <xdr:col>10</xdr:col>
      <xdr:colOff>639762</xdr:colOff>
      <xdr:row>28</xdr:row>
      <xdr:rowOff>76200</xdr:rowOff>
    </xdr:to>
    <xdr:pic>
      <xdr:nvPicPr>
        <xdr:cNvPr id="21" name="Grafik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14" t="936" r="1" b="-11343"/>
        <a:stretch/>
      </xdr:blipFill>
      <xdr:spPr>
        <a:xfrm>
          <a:off x="8763000" y="4470400"/>
          <a:ext cx="2235200" cy="2667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5</xdr:col>
      <xdr:colOff>236858</xdr:colOff>
      <xdr:row>30</xdr:row>
      <xdr:rowOff>31749</xdr:rowOff>
    </xdr:from>
    <xdr:to>
      <xdr:col>7</xdr:col>
      <xdr:colOff>304181</xdr:colOff>
      <xdr:row>36</xdr:row>
      <xdr:rowOff>150812</xdr:rowOff>
    </xdr:to>
    <xdr:pic>
      <xdr:nvPicPr>
        <xdr:cNvPr id="24" name="Grafik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72558" y="5022849"/>
          <a:ext cx="1713561" cy="1109663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>
    <xdr:from>
      <xdr:col>7</xdr:col>
      <xdr:colOff>531814</xdr:colOff>
      <xdr:row>28</xdr:row>
      <xdr:rowOff>87313</xdr:rowOff>
    </xdr:from>
    <xdr:to>
      <xdr:col>8</xdr:col>
      <xdr:colOff>50800</xdr:colOff>
      <xdr:row>28</xdr:row>
      <xdr:rowOff>107950</xdr:rowOff>
    </xdr:to>
    <xdr:cxnSp macro="">
      <xdr:nvCxnSpPr>
        <xdr:cNvPr id="2" name="Gerade Verbindung mit Pfeil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>
          <a:cxnSpLocks/>
        </xdr:cNvCxnSpPr>
      </xdr:nvCxnSpPr>
      <xdr:spPr bwMode="auto">
        <a:xfrm flipH="1" flipV="1">
          <a:off x="7904164" y="4516438"/>
          <a:ext cx="285748" cy="253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838200</xdr:colOff>
      <xdr:row>127</xdr:row>
      <xdr:rowOff>0</xdr:rowOff>
    </xdr:from>
    <xdr:to>
      <xdr:col>5</xdr:col>
      <xdr:colOff>266700</xdr:colOff>
      <xdr:row>127</xdr:row>
      <xdr:rowOff>0</xdr:rowOff>
    </xdr:to>
    <xdr:sp macro="" textlink="">
      <xdr:nvSpPr>
        <xdr:cNvPr id="5323781" name="Line 1582">
          <a:extLst>
            <a:ext uri="{FF2B5EF4-FFF2-40B4-BE49-F238E27FC236}">
              <a16:creationId xmlns:a16="http://schemas.microsoft.com/office/drawing/2014/main" id="{00000000-0008-0000-0400-0000053C5100}"/>
            </a:ext>
          </a:extLst>
        </xdr:cNvPr>
        <xdr:cNvSpPr>
          <a:spLocks noChangeShapeType="1"/>
        </xdr:cNvSpPr>
      </xdr:nvSpPr>
      <xdr:spPr bwMode="auto">
        <a:xfrm>
          <a:off x="6007100" y="224917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190500</xdr:colOff>
      <xdr:row>24</xdr:row>
      <xdr:rowOff>63500</xdr:rowOff>
    </xdr:from>
    <xdr:to>
      <xdr:col>5</xdr:col>
      <xdr:colOff>254000</xdr:colOff>
      <xdr:row>26</xdr:row>
      <xdr:rowOff>139700</xdr:rowOff>
    </xdr:to>
    <xdr:sp macro="" textlink="">
      <xdr:nvSpPr>
        <xdr:cNvPr id="2907134" name="Line 12">
          <a:extLst>
            <a:ext uri="{FF2B5EF4-FFF2-40B4-BE49-F238E27FC236}">
              <a16:creationId xmlns:a16="http://schemas.microsoft.com/office/drawing/2014/main" id="{00000000-0008-0000-0400-0000FE5B2C00}"/>
            </a:ext>
          </a:extLst>
        </xdr:cNvPr>
        <xdr:cNvSpPr>
          <a:spLocks noChangeShapeType="1"/>
        </xdr:cNvSpPr>
      </xdr:nvSpPr>
      <xdr:spPr bwMode="auto">
        <a:xfrm flipH="1">
          <a:off x="7480300" y="4178300"/>
          <a:ext cx="63500" cy="431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12700</xdr:colOff>
      <xdr:row>88</xdr:row>
      <xdr:rowOff>12700</xdr:rowOff>
    </xdr:from>
    <xdr:to>
      <xdr:col>5</xdr:col>
      <xdr:colOff>711200</xdr:colOff>
      <xdr:row>89</xdr:row>
      <xdr:rowOff>152400</xdr:rowOff>
    </xdr:to>
    <xdr:sp macro="" textlink="">
      <xdr:nvSpPr>
        <xdr:cNvPr id="2907135" name="Line 16">
          <a:extLst>
            <a:ext uri="{FF2B5EF4-FFF2-40B4-BE49-F238E27FC236}">
              <a16:creationId xmlns:a16="http://schemas.microsoft.com/office/drawing/2014/main" id="{00000000-0008-0000-0400-0000FF5B2C00}"/>
            </a:ext>
          </a:extLst>
        </xdr:cNvPr>
        <xdr:cNvSpPr>
          <a:spLocks noChangeShapeType="1"/>
        </xdr:cNvSpPr>
      </xdr:nvSpPr>
      <xdr:spPr bwMode="auto">
        <a:xfrm flipH="1">
          <a:off x="5181600" y="15214600"/>
          <a:ext cx="281940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25400</xdr:colOff>
      <xdr:row>95</xdr:row>
      <xdr:rowOff>12700</xdr:rowOff>
    </xdr:from>
    <xdr:to>
      <xdr:col>5</xdr:col>
      <xdr:colOff>812800</xdr:colOff>
      <xdr:row>97</xdr:row>
      <xdr:rowOff>25400</xdr:rowOff>
    </xdr:to>
    <xdr:sp macro="" textlink="">
      <xdr:nvSpPr>
        <xdr:cNvPr id="5323776" name="Line 18">
          <a:extLst>
            <a:ext uri="{FF2B5EF4-FFF2-40B4-BE49-F238E27FC236}">
              <a16:creationId xmlns:a16="http://schemas.microsoft.com/office/drawing/2014/main" id="{00000000-0008-0000-0400-0000003C5100}"/>
            </a:ext>
          </a:extLst>
        </xdr:cNvPr>
        <xdr:cNvSpPr>
          <a:spLocks noChangeShapeType="1"/>
        </xdr:cNvSpPr>
      </xdr:nvSpPr>
      <xdr:spPr bwMode="auto">
        <a:xfrm flipH="1">
          <a:off x="5194300" y="16471900"/>
          <a:ext cx="2908300" cy="368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673100</xdr:colOff>
      <xdr:row>24</xdr:row>
      <xdr:rowOff>63500</xdr:rowOff>
    </xdr:from>
    <xdr:to>
      <xdr:col>7</xdr:col>
      <xdr:colOff>876300</xdr:colOff>
      <xdr:row>26</xdr:row>
      <xdr:rowOff>152400</xdr:rowOff>
    </xdr:to>
    <xdr:sp macro="" textlink="">
      <xdr:nvSpPr>
        <xdr:cNvPr id="5323777" name="Line 44">
          <a:extLst>
            <a:ext uri="{FF2B5EF4-FFF2-40B4-BE49-F238E27FC236}">
              <a16:creationId xmlns:a16="http://schemas.microsoft.com/office/drawing/2014/main" id="{00000000-0008-0000-0400-0000013C5100}"/>
            </a:ext>
          </a:extLst>
        </xdr:cNvPr>
        <xdr:cNvSpPr>
          <a:spLocks noChangeShapeType="1"/>
        </xdr:cNvSpPr>
      </xdr:nvSpPr>
      <xdr:spPr bwMode="auto">
        <a:xfrm flipH="1">
          <a:off x="10147300" y="4178300"/>
          <a:ext cx="203200" cy="4445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622300</xdr:colOff>
      <xdr:row>23</xdr:row>
      <xdr:rowOff>101600</xdr:rowOff>
    </xdr:from>
    <xdr:to>
      <xdr:col>6</xdr:col>
      <xdr:colOff>673100</xdr:colOff>
      <xdr:row>27</xdr:row>
      <xdr:rowOff>0</xdr:rowOff>
    </xdr:to>
    <xdr:sp macro="" textlink="">
      <xdr:nvSpPr>
        <xdr:cNvPr id="5323778" name="Line 12">
          <a:extLst>
            <a:ext uri="{FF2B5EF4-FFF2-40B4-BE49-F238E27FC236}">
              <a16:creationId xmlns:a16="http://schemas.microsoft.com/office/drawing/2014/main" id="{00000000-0008-0000-0400-0000023C5100}"/>
            </a:ext>
          </a:extLst>
        </xdr:cNvPr>
        <xdr:cNvSpPr>
          <a:spLocks noChangeShapeType="1"/>
        </xdr:cNvSpPr>
      </xdr:nvSpPr>
      <xdr:spPr bwMode="auto">
        <a:xfrm flipH="1">
          <a:off x="9118600" y="4051300"/>
          <a:ext cx="50800" cy="5969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571500</xdr:colOff>
      <xdr:row>20</xdr:row>
      <xdr:rowOff>165100</xdr:rowOff>
    </xdr:from>
    <xdr:to>
      <xdr:col>6</xdr:col>
      <xdr:colOff>952500</xdr:colOff>
      <xdr:row>21</xdr:row>
      <xdr:rowOff>165100</xdr:rowOff>
    </xdr:to>
    <xdr:sp macro="" textlink="">
      <xdr:nvSpPr>
        <xdr:cNvPr id="5323779" name="Line 12">
          <a:extLst>
            <a:ext uri="{FF2B5EF4-FFF2-40B4-BE49-F238E27FC236}">
              <a16:creationId xmlns:a16="http://schemas.microsoft.com/office/drawing/2014/main" id="{00000000-0008-0000-0400-0000033C5100}"/>
            </a:ext>
          </a:extLst>
        </xdr:cNvPr>
        <xdr:cNvSpPr>
          <a:spLocks noChangeShapeType="1"/>
        </xdr:cNvSpPr>
      </xdr:nvSpPr>
      <xdr:spPr bwMode="auto">
        <a:xfrm flipV="1">
          <a:off x="9067800" y="3581400"/>
          <a:ext cx="381000" cy="177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850900</xdr:colOff>
      <xdr:row>128</xdr:row>
      <xdr:rowOff>0</xdr:rowOff>
    </xdr:from>
    <xdr:to>
      <xdr:col>5</xdr:col>
      <xdr:colOff>279400</xdr:colOff>
      <xdr:row>128</xdr:row>
      <xdr:rowOff>0</xdr:rowOff>
    </xdr:to>
    <xdr:sp macro="" textlink="">
      <xdr:nvSpPr>
        <xdr:cNvPr id="5323782" name="Line 1583">
          <a:extLst>
            <a:ext uri="{FF2B5EF4-FFF2-40B4-BE49-F238E27FC236}">
              <a16:creationId xmlns:a16="http://schemas.microsoft.com/office/drawing/2014/main" id="{00000000-0008-0000-0400-0000063C5100}"/>
            </a:ext>
          </a:extLst>
        </xdr:cNvPr>
        <xdr:cNvSpPr>
          <a:spLocks noChangeShapeType="1"/>
        </xdr:cNvSpPr>
      </xdr:nvSpPr>
      <xdr:spPr bwMode="auto">
        <a:xfrm>
          <a:off x="6019800" y="226822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838200</xdr:colOff>
      <xdr:row>129</xdr:row>
      <xdr:rowOff>0</xdr:rowOff>
    </xdr:from>
    <xdr:to>
      <xdr:col>5</xdr:col>
      <xdr:colOff>266700</xdr:colOff>
      <xdr:row>129</xdr:row>
      <xdr:rowOff>0</xdr:rowOff>
    </xdr:to>
    <xdr:sp macro="" textlink="">
      <xdr:nvSpPr>
        <xdr:cNvPr id="5323783" name="Line 1584">
          <a:extLst>
            <a:ext uri="{FF2B5EF4-FFF2-40B4-BE49-F238E27FC236}">
              <a16:creationId xmlns:a16="http://schemas.microsoft.com/office/drawing/2014/main" id="{00000000-0008-0000-0400-0000073C5100}"/>
            </a:ext>
          </a:extLst>
        </xdr:cNvPr>
        <xdr:cNvSpPr>
          <a:spLocks noChangeShapeType="1"/>
        </xdr:cNvSpPr>
      </xdr:nvSpPr>
      <xdr:spPr bwMode="auto">
        <a:xfrm>
          <a:off x="6007100" y="228727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838200</xdr:colOff>
      <xdr:row>130</xdr:row>
      <xdr:rowOff>0</xdr:rowOff>
    </xdr:from>
    <xdr:to>
      <xdr:col>5</xdr:col>
      <xdr:colOff>266700</xdr:colOff>
      <xdr:row>130</xdr:row>
      <xdr:rowOff>0</xdr:rowOff>
    </xdr:to>
    <xdr:sp macro="" textlink="">
      <xdr:nvSpPr>
        <xdr:cNvPr id="5323784" name="Line 1585">
          <a:extLst>
            <a:ext uri="{FF2B5EF4-FFF2-40B4-BE49-F238E27FC236}">
              <a16:creationId xmlns:a16="http://schemas.microsoft.com/office/drawing/2014/main" id="{00000000-0008-0000-0400-0000083C5100}"/>
            </a:ext>
          </a:extLst>
        </xdr:cNvPr>
        <xdr:cNvSpPr>
          <a:spLocks noChangeShapeType="1"/>
        </xdr:cNvSpPr>
      </xdr:nvSpPr>
      <xdr:spPr bwMode="auto">
        <a:xfrm>
          <a:off x="6007100" y="230632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838200</xdr:colOff>
      <xdr:row>130</xdr:row>
      <xdr:rowOff>177800</xdr:rowOff>
    </xdr:from>
    <xdr:to>
      <xdr:col>5</xdr:col>
      <xdr:colOff>266700</xdr:colOff>
      <xdr:row>130</xdr:row>
      <xdr:rowOff>177800</xdr:rowOff>
    </xdr:to>
    <xdr:sp macro="" textlink="">
      <xdr:nvSpPr>
        <xdr:cNvPr id="5323785" name="Line 1586">
          <a:extLst>
            <a:ext uri="{FF2B5EF4-FFF2-40B4-BE49-F238E27FC236}">
              <a16:creationId xmlns:a16="http://schemas.microsoft.com/office/drawing/2014/main" id="{00000000-0008-0000-0400-0000093C5100}"/>
            </a:ext>
          </a:extLst>
        </xdr:cNvPr>
        <xdr:cNvSpPr>
          <a:spLocks noChangeShapeType="1"/>
        </xdr:cNvSpPr>
      </xdr:nvSpPr>
      <xdr:spPr bwMode="auto">
        <a:xfrm>
          <a:off x="6007100" y="232410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838200</xdr:colOff>
      <xdr:row>132</xdr:row>
      <xdr:rowOff>177800</xdr:rowOff>
    </xdr:from>
    <xdr:to>
      <xdr:col>5</xdr:col>
      <xdr:colOff>266700</xdr:colOff>
      <xdr:row>132</xdr:row>
      <xdr:rowOff>177800</xdr:rowOff>
    </xdr:to>
    <xdr:sp macro="" textlink="">
      <xdr:nvSpPr>
        <xdr:cNvPr id="5323786" name="Line 1587">
          <a:extLst>
            <a:ext uri="{FF2B5EF4-FFF2-40B4-BE49-F238E27FC236}">
              <a16:creationId xmlns:a16="http://schemas.microsoft.com/office/drawing/2014/main" id="{00000000-0008-0000-0400-00000A3C5100}"/>
            </a:ext>
          </a:extLst>
        </xdr:cNvPr>
        <xdr:cNvSpPr>
          <a:spLocks noChangeShapeType="1"/>
        </xdr:cNvSpPr>
      </xdr:nvSpPr>
      <xdr:spPr bwMode="auto">
        <a:xfrm>
          <a:off x="6007100" y="2362200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837465</xdr:colOff>
      <xdr:row>136</xdr:row>
      <xdr:rowOff>176750</xdr:rowOff>
    </xdr:from>
    <xdr:to>
      <xdr:col>5</xdr:col>
      <xdr:colOff>265965</xdr:colOff>
      <xdr:row>136</xdr:row>
      <xdr:rowOff>176750</xdr:rowOff>
    </xdr:to>
    <xdr:sp macro="" textlink="">
      <xdr:nvSpPr>
        <xdr:cNvPr id="28" name="Line 1586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6006365" y="24357550"/>
          <a:ext cx="1549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9</xdr:col>
      <xdr:colOff>477693</xdr:colOff>
      <xdr:row>62</xdr:row>
      <xdr:rowOff>50800</xdr:rowOff>
    </xdr:from>
    <xdr:to>
      <xdr:col>11</xdr:col>
      <xdr:colOff>579293</xdr:colOff>
      <xdr:row>66</xdr:row>
      <xdr:rowOff>144462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7702" b="1077"/>
        <a:stretch/>
      </xdr:blipFill>
      <xdr:spPr>
        <a:xfrm>
          <a:off x="12085493" y="10795000"/>
          <a:ext cx="2159000" cy="80010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0</xdr:rowOff>
        </xdr:from>
        <xdr:to>
          <xdr:col>7</xdr:col>
          <xdr:colOff>104775</xdr:colOff>
          <xdr:row>23</xdr:row>
          <xdr:rowOff>28575</xdr:rowOff>
        </xdr:to>
        <xdr:sp macro="" textlink="">
          <xdr:nvSpPr>
            <xdr:cNvPr id="2906306" name="Object 1218" hidden="1">
              <a:extLst>
                <a:ext uri="{63B3BB69-23CF-44E3-9099-C40C66FF867C}">
                  <a14:compatExt spid="_x0000_s2906306"/>
                </a:ext>
                <a:ext uri="{FF2B5EF4-FFF2-40B4-BE49-F238E27FC236}">
                  <a16:creationId xmlns:a16="http://schemas.microsoft.com/office/drawing/2014/main" id="{00000000-0008-0000-0400-0000C2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21</xdr:row>
          <xdr:rowOff>66675</xdr:rowOff>
        </xdr:from>
        <xdr:to>
          <xdr:col>9</xdr:col>
          <xdr:colOff>142875</xdr:colOff>
          <xdr:row>24</xdr:row>
          <xdr:rowOff>47625</xdr:rowOff>
        </xdr:to>
        <xdr:sp macro="" textlink="">
          <xdr:nvSpPr>
            <xdr:cNvPr id="2906307" name="Object 1219" hidden="1">
              <a:extLst>
                <a:ext uri="{63B3BB69-23CF-44E3-9099-C40C66FF867C}">
                  <a14:compatExt spid="_x0000_s2906307"/>
                </a:ext>
                <a:ext uri="{FF2B5EF4-FFF2-40B4-BE49-F238E27FC236}">
                  <a16:creationId xmlns:a16="http://schemas.microsoft.com/office/drawing/2014/main" id="{00000000-0008-0000-0400-0000C3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38100</xdr:rowOff>
        </xdr:from>
        <xdr:to>
          <xdr:col>9</xdr:col>
          <xdr:colOff>190500</xdr:colOff>
          <xdr:row>13</xdr:row>
          <xdr:rowOff>9525</xdr:rowOff>
        </xdr:to>
        <xdr:sp macro="" textlink="">
          <xdr:nvSpPr>
            <xdr:cNvPr id="2906308" name="Object 1220" hidden="1">
              <a:extLst>
                <a:ext uri="{63B3BB69-23CF-44E3-9099-C40C66FF867C}">
                  <a14:compatExt spid="_x0000_s2906308"/>
                </a:ext>
                <a:ext uri="{FF2B5EF4-FFF2-40B4-BE49-F238E27FC236}">
                  <a16:creationId xmlns:a16="http://schemas.microsoft.com/office/drawing/2014/main" id="{00000000-0008-0000-0400-0000C4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6</xdr:row>
          <xdr:rowOff>57150</xdr:rowOff>
        </xdr:from>
        <xdr:to>
          <xdr:col>9</xdr:col>
          <xdr:colOff>314325</xdr:colOff>
          <xdr:row>8</xdr:row>
          <xdr:rowOff>19050</xdr:rowOff>
        </xdr:to>
        <xdr:sp macro="" textlink="">
          <xdr:nvSpPr>
            <xdr:cNvPr id="2906309" name="Object 1221" hidden="1">
              <a:extLst>
                <a:ext uri="{63B3BB69-23CF-44E3-9099-C40C66FF867C}">
                  <a14:compatExt spid="_x0000_s2906309"/>
                </a:ext>
                <a:ext uri="{FF2B5EF4-FFF2-40B4-BE49-F238E27FC236}">
                  <a16:creationId xmlns:a16="http://schemas.microsoft.com/office/drawing/2014/main" id="{00000000-0008-0000-0400-0000C5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85725</xdr:colOff>
          <xdr:row>21</xdr:row>
          <xdr:rowOff>66675</xdr:rowOff>
        </xdr:from>
        <xdr:to>
          <xdr:col>5</xdr:col>
          <xdr:colOff>409575</xdr:colOff>
          <xdr:row>24</xdr:row>
          <xdr:rowOff>47625</xdr:rowOff>
        </xdr:to>
        <xdr:sp macro="" textlink="">
          <xdr:nvSpPr>
            <xdr:cNvPr id="2906311" name="Object 1223" hidden="1">
              <a:extLst>
                <a:ext uri="{63B3BB69-23CF-44E3-9099-C40C66FF867C}">
                  <a14:compatExt spid="_x0000_s2906311"/>
                </a:ext>
                <a:ext uri="{FF2B5EF4-FFF2-40B4-BE49-F238E27FC236}">
                  <a16:creationId xmlns:a16="http://schemas.microsoft.com/office/drawing/2014/main" id="{00000000-0008-0000-0400-0000C7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9</xdr:row>
          <xdr:rowOff>28575</xdr:rowOff>
        </xdr:from>
        <xdr:to>
          <xdr:col>4</xdr:col>
          <xdr:colOff>28575</xdr:colOff>
          <xdr:row>11</xdr:row>
          <xdr:rowOff>47625</xdr:rowOff>
        </xdr:to>
        <xdr:sp macro="" textlink="">
          <xdr:nvSpPr>
            <xdr:cNvPr id="2906312" name="Object 1224" hidden="1">
              <a:extLst>
                <a:ext uri="{63B3BB69-23CF-44E3-9099-C40C66FF867C}">
                  <a14:compatExt spid="_x0000_s2906312"/>
                </a:ext>
                <a:ext uri="{FF2B5EF4-FFF2-40B4-BE49-F238E27FC236}">
                  <a16:creationId xmlns:a16="http://schemas.microsoft.com/office/drawing/2014/main" id="{00000000-0008-0000-0400-0000C8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7</xdr:row>
          <xdr:rowOff>28575</xdr:rowOff>
        </xdr:from>
        <xdr:to>
          <xdr:col>7</xdr:col>
          <xdr:colOff>438150</xdr:colOff>
          <xdr:row>9</xdr:row>
          <xdr:rowOff>47625</xdr:rowOff>
        </xdr:to>
        <xdr:sp macro="" textlink="">
          <xdr:nvSpPr>
            <xdr:cNvPr id="2906313" name="Object 1225" hidden="1">
              <a:extLst>
                <a:ext uri="{63B3BB69-23CF-44E3-9099-C40C66FF867C}">
                  <a14:compatExt spid="_x0000_s2906313"/>
                </a:ext>
                <a:ext uri="{FF2B5EF4-FFF2-40B4-BE49-F238E27FC236}">
                  <a16:creationId xmlns:a16="http://schemas.microsoft.com/office/drawing/2014/main" id="{00000000-0008-0000-0400-0000C9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0</xdr:rowOff>
        </xdr:from>
        <xdr:to>
          <xdr:col>13</xdr:col>
          <xdr:colOff>19050</xdr:colOff>
          <xdr:row>6</xdr:row>
          <xdr:rowOff>28575</xdr:rowOff>
        </xdr:to>
        <xdr:sp macro="" textlink="">
          <xdr:nvSpPr>
            <xdr:cNvPr id="2906314" name="Object 1226" hidden="1">
              <a:extLst>
                <a:ext uri="{63B3BB69-23CF-44E3-9099-C40C66FF867C}">
                  <a14:compatExt spid="_x0000_s2906314"/>
                </a:ext>
                <a:ext uri="{FF2B5EF4-FFF2-40B4-BE49-F238E27FC236}">
                  <a16:creationId xmlns:a16="http://schemas.microsoft.com/office/drawing/2014/main" id="{00000000-0008-0000-0400-0000CA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5</xdr:row>
          <xdr:rowOff>0</xdr:rowOff>
        </xdr:from>
        <xdr:to>
          <xdr:col>14</xdr:col>
          <xdr:colOff>47625</xdr:colOff>
          <xdr:row>7</xdr:row>
          <xdr:rowOff>9525</xdr:rowOff>
        </xdr:to>
        <xdr:sp macro="" textlink="">
          <xdr:nvSpPr>
            <xdr:cNvPr id="2906315" name="Object 1227" hidden="1">
              <a:extLst>
                <a:ext uri="{63B3BB69-23CF-44E3-9099-C40C66FF867C}">
                  <a14:compatExt spid="_x0000_s2906315"/>
                </a:ext>
                <a:ext uri="{FF2B5EF4-FFF2-40B4-BE49-F238E27FC236}">
                  <a16:creationId xmlns:a16="http://schemas.microsoft.com/office/drawing/2014/main" id="{00000000-0008-0000-0400-0000CB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6</xdr:row>
          <xdr:rowOff>38100</xdr:rowOff>
        </xdr:from>
        <xdr:to>
          <xdr:col>13</xdr:col>
          <xdr:colOff>85725</xdr:colOff>
          <xdr:row>8</xdr:row>
          <xdr:rowOff>28575</xdr:rowOff>
        </xdr:to>
        <xdr:sp macro="" textlink="">
          <xdr:nvSpPr>
            <xdr:cNvPr id="2906316" name="Object 1228" hidden="1">
              <a:extLst>
                <a:ext uri="{63B3BB69-23CF-44E3-9099-C40C66FF867C}">
                  <a14:compatExt spid="_x0000_s2906316"/>
                </a:ext>
                <a:ext uri="{FF2B5EF4-FFF2-40B4-BE49-F238E27FC236}">
                  <a16:creationId xmlns:a16="http://schemas.microsoft.com/office/drawing/2014/main" id="{00000000-0008-0000-0400-0000CC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9</xdr:row>
          <xdr:rowOff>0</xdr:rowOff>
        </xdr:from>
        <xdr:to>
          <xdr:col>13</xdr:col>
          <xdr:colOff>304800</xdr:colOff>
          <xdr:row>11</xdr:row>
          <xdr:rowOff>57150</xdr:rowOff>
        </xdr:to>
        <xdr:sp macro="" textlink="">
          <xdr:nvSpPr>
            <xdr:cNvPr id="2906317" name="Object 1229" hidden="1">
              <a:extLst>
                <a:ext uri="{63B3BB69-23CF-44E3-9099-C40C66FF867C}">
                  <a14:compatExt spid="_x0000_s2906317"/>
                </a:ext>
                <a:ext uri="{FF2B5EF4-FFF2-40B4-BE49-F238E27FC236}">
                  <a16:creationId xmlns:a16="http://schemas.microsoft.com/office/drawing/2014/main" id="{00000000-0008-0000-0400-0000CD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14</xdr:row>
          <xdr:rowOff>57150</xdr:rowOff>
        </xdr:from>
        <xdr:to>
          <xdr:col>13</xdr:col>
          <xdr:colOff>209550</xdr:colOff>
          <xdr:row>18</xdr:row>
          <xdr:rowOff>28575</xdr:rowOff>
        </xdr:to>
        <xdr:sp macro="" textlink="">
          <xdr:nvSpPr>
            <xdr:cNvPr id="2906318" name="Object 1230" hidden="1">
              <a:extLst>
                <a:ext uri="{63B3BB69-23CF-44E3-9099-C40C66FF867C}">
                  <a14:compatExt spid="_x0000_s2906318"/>
                </a:ext>
                <a:ext uri="{FF2B5EF4-FFF2-40B4-BE49-F238E27FC236}">
                  <a16:creationId xmlns:a16="http://schemas.microsoft.com/office/drawing/2014/main" id="{00000000-0008-0000-0400-0000CE582C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15438" cy="561975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0.85345</cdr:x>
      <cdr:y>0.93553</cdr:y>
    </cdr:from>
    <cdr:to>
      <cdr:x>0.97318</cdr:x>
      <cdr:y>0.99371</cdr:y>
    </cdr:to>
    <mc:AlternateContent xmlns:mc="http://schemas.openxmlformats.org/markup-compatibility/2006" xmlns:a14="http://schemas.microsoft.com/office/drawing/2010/main">
      <mc:Choice Requires="a14">
        <cdr:sp macro="" textlink="">
          <cdr:nvSpPr>
            <cdr:cNvPr id="2" name="Textfeld 1">
              <a:extLst xmlns:a="http://schemas.openxmlformats.org/drawingml/2006/main">
                <a:ext uri="{FF2B5EF4-FFF2-40B4-BE49-F238E27FC236}">
                  <a16:creationId xmlns:a16="http://schemas.microsoft.com/office/drawing/2014/main" id="{8F330AFF-F230-BC42-8C13-AD1F765C4AF3}"/>
                </a:ext>
              </a:extLst>
            </cdr:cNvPr>
            <cdr:cNvSpPr txBox="1"/>
          </cdr:nvSpPr>
          <cdr:spPr>
            <a:xfrm xmlns:a="http://schemas.openxmlformats.org/drawingml/2006/main">
              <a:off x="7858126" y="5247569"/>
              <a:ext cx="1102430" cy="326320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vertOverflow="clip" wrap="square" rtlCol="0"/>
            <a:lstStyle xmlns:a="http://schemas.openxmlformats.org/drawingml/2006/main"/>
            <a:p xmlns:a="http://schemas.openxmlformats.org/drawingml/2006/main"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type m:val="lin"/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num>
                      <m:den>
                        <m:sSup>
                          <m:sSupPr>
                            <m:ctrlPr>
                              <a:rPr lang="de-DE" sz="1100" i="1">
                                <a:latin typeface="Cambria Math" panose="02040503050406030204" pitchFamily="18" charset="0"/>
                              </a:rPr>
                            </m:ctrlPr>
                          </m:sSupPr>
                          <m:e>
                            <m:r>
                              <a:rPr lang="de-DE" sz="1100" b="0" i="1">
                                <a:latin typeface="Cambria Math" panose="02040503050406030204" pitchFamily="18" charset="0"/>
                              </a:rPr>
                              <m:t>𝑚</m:t>
                            </m:r>
                          </m:e>
                          <m:sup>
                            <m:r>
                              <a:rPr lang="de-DE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de-DE" sz="1100"/>
            </a:p>
          </cdr:txBody>
        </cdr:sp>
      </mc:Choice>
      <mc:Fallback xmlns="">
        <cdr:sp macro="" textlink="">
          <cdr:nvSpPr>
            <cdr:cNvPr id="2" name="Textfeld 1">
              <a:extLst xmlns:a="http://schemas.openxmlformats.org/drawingml/2006/main">
                <a:ext uri="{FF2B5EF4-FFF2-40B4-BE49-F238E27FC236}">
                  <a16:creationId xmlns:a14="http://schemas.microsoft.com/office/drawing/2010/main" xmlns="" xmlns:a16="http://schemas.microsoft.com/office/drawing/2014/main" id="{8F330AFF-F230-BC42-8C13-AD1F765C4AF3}"/>
                </a:ext>
              </a:extLst>
            </cdr:cNvPr>
            <cdr:cNvSpPr txBox="1"/>
          </cdr:nvSpPr>
          <cdr:spPr>
            <a:xfrm xmlns:a="http://schemas.openxmlformats.org/drawingml/2006/main">
              <a:off x="7858126" y="5247569"/>
              <a:ext cx="1102430" cy="326320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vertOverflow="clip" wrap="square" rtlCol="0"/>
            <a:lstStyle xmlns:a="http://schemas.openxmlformats.org/drawingml/2006/main"/>
            <a:p xmlns:a="http://schemas.openxmlformats.org/drawingml/2006/main">
              <a:r>
                <a:rPr lang="de-DE" sz="1100" b="0" i="0">
                  <a:latin typeface="Cambria Math" panose="02040503050406030204" pitchFamily="18" charset="0"/>
                </a:rPr>
                <a:t>𝑘𝑔∕𝑚^2 </a:t>
              </a:r>
              <a:endParaRPr lang="de-DE" sz="1100"/>
            </a:p>
          </cdr:txBody>
        </cdr:sp>
      </mc:Fallback>
    </mc:AlternateContent>
  </cdr:relSizeAnchor>
  <cdr:relSizeAnchor xmlns:cdr="http://schemas.openxmlformats.org/drawingml/2006/chartDrawing">
    <cdr:from>
      <cdr:x>0</cdr:x>
      <cdr:y>0.07824</cdr:y>
    </cdr:from>
    <cdr:to>
      <cdr:x>0.0728</cdr:x>
      <cdr:y>0.13642</cdr:y>
    </cdr:to>
    <mc:AlternateContent xmlns:mc="http://schemas.openxmlformats.org/markup-compatibility/2006" xmlns:a14="http://schemas.microsoft.com/office/drawing/2010/main">
      <mc:Choice Requires="a14">
        <cdr:sp macro="" textlink="">
          <cdr:nvSpPr>
            <cdr:cNvPr id="3" name="Textfeld 1">
              <a:extLst xmlns:a="http://schemas.openxmlformats.org/drawingml/2006/main">
                <a:ext uri="{FF2B5EF4-FFF2-40B4-BE49-F238E27FC236}">
                  <a16:creationId xmlns:a16="http://schemas.microsoft.com/office/drawing/2014/main" id="{972D7226-E642-9748-9593-3FD1F60D9F01}"/>
                </a:ext>
              </a:extLst>
            </cdr:cNvPr>
            <cdr:cNvSpPr txBox="1"/>
          </cdr:nvSpPr>
          <cdr:spPr>
            <a:xfrm xmlns:a="http://schemas.openxmlformats.org/drawingml/2006/main">
              <a:off x="0" y="438856"/>
              <a:ext cx="670278" cy="326320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square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type m:val="lin"/>
                        <m:ctrlPr>
                          <a:rPr lang="de-DE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𝑊</m:t>
                        </m:r>
                      </m:num>
                      <m:den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𝑘𝑔</m:t>
                        </m:r>
                      </m:den>
                    </m:f>
                  </m:oMath>
                </m:oMathPara>
              </a14:m>
              <a:endParaRPr lang="de-DE" sz="1100"/>
            </a:p>
          </cdr:txBody>
        </cdr:sp>
      </mc:Choice>
      <mc:Fallback xmlns="">
        <cdr:sp macro="" textlink="">
          <cdr:nvSpPr>
            <cdr:cNvPr id="3" name="Textfeld 1">
              <a:extLst xmlns:a="http://schemas.openxmlformats.org/drawingml/2006/main">
                <a:ext uri="{FF2B5EF4-FFF2-40B4-BE49-F238E27FC236}">
                  <a16:creationId xmlns:a14="http://schemas.microsoft.com/office/drawing/2010/main" xmlns="" xmlns:a16="http://schemas.microsoft.com/office/drawing/2014/main" id="{972D7226-E642-9748-9593-3FD1F60D9F01}"/>
                </a:ext>
              </a:extLst>
            </cdr:cNvPr>
            <cdr:cNvSpPr txBox="1"/>
          </cdr:nvSpPr>
          <cdr:spPr>
            <a:xfrm xmlns:a="http://schemas.openxmlformats.org/drawingml/2006/main">
              <a:off x="0" y="438856"/>
              <a:ext cx="670278" cy="326320"/>
            </a:xfrm>
            <a:prstGeom xmlns:a="http://schemas.openxmlformats.org/drawingml/2006/main" prst="rect">
              <a:avLst/>
            </a:prstGeom>
          </cdr:spPr>
          <cdr:txBody>
            <a:bodyPr xmlns:a="http://schemas.openxmlformats.org/drawingml/2006/main" wrap="square" rtlCol="0"/>
            <a:lstStyle xmlns:a="http://schemas.openxmlformats.org/drawingml/2006/main"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 xmlns:a="http://schemas.openxmlformats.org/drawingml/2006/main">
              <a:r>
                <a:rPr lang="de-DE" sz="1100" b="0" i="0">
                  <a:latin typeface="Cambria Math" panose="02040503050406030204" pitchFamily="18" charset="0"/>
                </a:rPr>
                <a:t>𝑊∕𝑘𝑔</a:t>
              </a:r>
              <a:endParaRPr lang="de-DE" sz="1100"/>
            </a:p>
          </cdr:txBody>
        </cdr:sp>
      </mc:Fallback>
    </mc:AlternateContent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355600</xdr:colOff>
      <xdr:row>2</xdr:row>
      <xdr:rowOff>127000</xdr:rowOff>
    </xdr:from>
    <xdr:to>
      <xdr:col>9</xdr:col>
      <xdr:colOff>660400</xdr:colOff>
      <xdr:row>5</xdr:row>
      <xdr:rowOff>12700</xdr:rowOff>
    </xdr:to>
    <xdr:sp macro="" textlink="">
      <xdr:nvSpPr>
        <xdr:cNvPr id="3565134" name="Line 12">
          <a:extLst>
            <a:ext uri="{FF2B5EF4-FFF2-40B4-BE49-F238E27FC236}">
              <a16:creationId xmlns:a16="http://schemas.microsoft.com/office/drawing/2014/main" id="{00000000-0008-0000-0600-00004E663600}"/>
            </a:ext>
          </a:extLst>
        </xdr:cNvPr>
        <xdr:cNvSpPr>
          <a:spLocks noChangeShapeType="1"/>
        </xdr:cNvSpPr>
      </xdr:nvSpPr>
      <xdr:spPr bwMode="auto">
        <a:xfrm flipH="1">
          <a:off x="9779000" y="520700"/>
          <a:ext cx="304800" cy="419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342900</xdr:colOff>
      <xdr:row>3</xdr:row>
      <xdr:rowOff>76200</xdr:rowOff>
    </xdr:from>
    <xdr:to>
      <xdr:col>8</xdr:col>
      <xdr:colOff>190500</xdr:colOff>
      <xdr:row>5</xdr:row>
      <xdr:rowOff>0</xdr:rowOff>
    </xdr:to>
    <xdr:sp macro="" textlink="">
      <xdr:nvSpPr>
        <xdr:cNvPr id="3565135" name="Line 12">
          <a:extLst>
            <a:ext uri="{FF2B5EF4-FFF2-40B4-BE49-F238E27FC236}">
              <a16:creationId xmlns:a16="http://schemas.microsoft.com/office/drawing/2014/main" id="{00000000-0008-0000-0600-00004F663600}"/>
            </a:ext>
          </a:extLst>
        </xdr:cNvPr>
        <xdr:cNvSpPr>
          <a:spLocks noChangeShapeType="1"/>
        </xdr:cNvSpPr>
      </xdr:nvSpPr>
      <xdr:spPr bwMode="auto">
        <a:xfrm>
          <a:off x="8369300" y="635000"/>
          <a:ext cx="546100" cy="2921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190500</xdr:colOff>
      <xdr:row>4</xdr:row>
      <xdr:rowOff>57150</xdr:rowOff>
    </xdr:from>
    <xdr:to>
      <xdr:col>18</xdr:col>
      <xdr:colOff>485775</xdr:colOff>
      <xdr:row>21</xdr:row>
      <xdr:rowOff>0</xdr:rowOff>
    </xdr:to>
    <xdr:graphicFrame macro="">
      <xdr:nvGraphicFramePr>
        <xdr:cNvPr id="3565136" name="Chart 3">
          <a:extLst>
            <a:ext uri="{FF2B5EF4-FFF2-40B4-BE49-F238E27FC236}">
              <a16:creationId xmlns:a16="http://schemas.microsoft.com/office/drawing/2014/main" id="{00000000-0008-0000-0600-00005066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203200</xdr:colOff>
      <xdr:row>23</xdr:row>
      <xdr:rowOff>139700</xdr:rowOff>
    </xdr:from>
    <xdr:to>
      <xdr:col>15</xdr:col>
      <xdr:colOff>0</xdr:colOff>
      <xdr:row>37</xdr:row>
      <xdr:rowOff>101600</xdr:rowOff>
    </xdr:to>
    <xdr:graphicFrame macro="">
      <xdr:nvGraphicFramePr>
        <xdr:cNvPr id="3565137" name="Chart 6">
          <a:extLst>
            <a:ext uri="{FF2B5EF4-FFF2-40B4-BE49-F238E27FC236}">
              <a16:creationId xmlns:a16="http://schemas.microsoft.com/office/drawing/2014/main" id="{00000000-0008-0000-0600-00005166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330199</xdr:colOff>
      <xdr:row>44</xdr:row>
      <xdr:rowOff>63500</xdr:rowOff>
    </xdr:from>
    <xdr:to>
      <xdr:col>20</xdr:col>
      <xdr:colOff>76199</xdr:colOff>
      <xdr:row>58</xdr:row>
      <xdr:rowOff>152400</xdr:rowOff>
    </xdr:to>
    <xdr:graphicFrame macro="">
      <xdr:nvGraphicFramePr>
        <xdr:cNvPr id="3565138" name="Chart 6">
          <a:extLst>
            <a:ext uri="{FF2B5EF4-FFF2-40B4-BE49-F238E27FC236}">
              <a16:creationId xmlns:a16="http://schemas.microsoft.com/office/drawing/2014/main" id="{00000000-0008-0000-0600-00005266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457200</xdr:colOff>
      <xdr:row>65</xdr:row>
      <xdr:rowOff>66675</xdr:rowOff>
    </xdr:from>
    <xdr:to>
      <xdr:col>22</xdr:col>
      <xdr:colOff>95250</xdr:colOff>
      <xdr:row>86</xdr:row>
      <xdr:rowOff>25400</xdr:rowOff>
    </xdr:to>
    <xdr:graphicFrame macro="">
      <xdr:nvGraphicFramePr>
        <xdr:cNvPr id="3565139" name="Chart 6">
          <a:extLst>
            <a:ext uri="{FF2B5EF4-FFF2-40B4-BE49-F238E27FC236}">
              <a16:creationId xmlns:a16="http://schemas.microsoft.com/office/drawing/2014/main" id="{00000000-0008-0000-0600-000053663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0</xdr:row>
          <xdr:rowOff>47625</xdr:rowOff>
        </xdr:from>
        <xdr:to>
          <xdr:col>7</xdr:col>
          <xdr:colOff>180975</xdr:colOff>
          <xdr:row>3</xdr:row>
          <xdr:rowOff>0</xdr:rowOff>
        </xdr:to>
        <xdr:sp macro="" textlink="">
          <xdr:nvSpPr>
            <xdr:cNvPr id="3564545" name="Object 1" hidden="1">
              <a:extLst>
                <a:ext uri="{63B3BB69-23CF-44E3-9099-C40C66FF867C}">
                  <a14:compatExt spid="_x0000_s3564545"/>
                </a:ext>
                <a:ext uri="{FF2B5EF4-FFF2-40B4-BE49-F238E27FC236}">
                  <a16:creationId xmlns:a16="http://schemas.microsoft.com/office/drawing/2014/main" id="{00000000-0008-0000-0600-000001643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0</xdr:row>
          <xdr:rowOff>57150</xdr:rowOff>
        </xdr:from>
        <xdr:to>
          <xdr:col>11</xdr:col>
          <xdr:colOff>142875</xdr:colOff>
          <xdr:row>2</xdr:row>
          <xdr:rowOff>9525</xdr:rowOff>
        </xdr:to>
        <xdr:sp macro="" textlink="">
          <xdr:nvSpPr>
            <xdr:cNvPr id="3564546" name="Object 2" hidden="1">
              <a:extLst>
                <a:ext uri="{63B3BB69-23CF-44E3-9099-C40C66FF867C}">
                  <a14:compatExt spid="_x0000_s3564546"/>
                </a:ext>
                <a:ext uri="{FF2B5EF4-FFF2-40B4-BE49-F238E27FC236}">
                  <a16:creationId xmlns:a16="http://schemas.microsoft.com/office/drawing/2014/main" id="{00000000-0008-0000-0600-000002643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43</xdr:row>
          <xdr:rowOff>28575</xdr:rowOff>
        </xdr:from>
        <xdr:to>
          <xdr:col>8</xdr:col>
          <xdr:colOff>66675</xdr:colOff>
          <xdr:row>45</xdr:row>
          <xdr:rowOff>66675</xdr:rowOff>
        </xdr:to>
        <xdr:sp macro="" textlink="">
          <xdr:nvSpPr>
            <xdr:cNvPr id="3564572" name="Object 28" hidden="1">
              <a:extLst>
                <a:ext uri="{63B3BB69-23CF-44E3-9099-C40C66FF867C}">
                  <a14:compatExt spid="_x0000_s3564572"/>
                </a:ext>
                <a:ext uri="{FF2B5EF4-FFF2-40B4-BE49-F238E27FC236}">
                  <a16:creationId xmlns:a16="http://schemas.microsoft.com/office/drawing/2014/main" id="{00000000-0008-0000-0600-00001C643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61</xdr:row>
          <xdr:rowOff>28575</xdr:rowOff>
        </xdr:from>
        <xdr:to>
          <xdr:col>0</xdr:col>
          <xdr:colOff>438150</xdr:colOff>
          <xdr:row>65</xdr:row>
          <xdr:rowOff>38100</xdr:rowOff>
        </xdr:to>
        <xdr:sp macro="" textlink="">
          <xdr:nvSpPr>
            <xdr:cNvPr id="3564617" name="Object 73" hidden="1">
              <a:extLst>
                <a:ext uri="{63B3BB69-23CF-44E3-9099-C40C66FF867C}">
                  <a14:compatExt spid="_x0000_s3564617"/>
                </a:ext>
                <a:ext uri="{FF2B5EF4-FFF2-40B4-BE49-F238E27FC236}">
                  <a16:creationId xmlns:a16="http://schemas.microsoft.com/office/drawing/2014/main" id="{00000000-0008-0000-0600-000049643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2</xdr:row>
      <xdr:rowOff>180975</xdr:rowOff>
    </xdr:from>
    <xdr:to>
      <xdr:col>3</xdr:col>
      <xdr:colOff>57150</xdr:colOff>
      <xdr:row>7</xdr:row>
      <xdr:rowOff>38100</xdr:rowOff>
    </xdr:to>
    <xdr:pic>
      <xdr:nvPicPr>
        <xdr:cNvPr id="2" name="Picture 5" descr="gplv3-127x51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00" y="561975"/>
          <a:ext cx="226695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ien/HAW/Arbeiten/SalcedoCampoamor/BuildingFinalThesis/Calculating_the_Power_of_a_Wind_Turbin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ien/HAW/Arbeiten/Caers/Ergebnisse/PassengerAircraftMinimumFuel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ien/HAW/Arbeiten/SalcedoCampoamor/WindTurbine_new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LHT\HAM-WI41\Shop\Praktikanten\03_Praktikanten\John\Sonstiges\Projekt\Projekt%20im%20Master\Flugzeuge%20Auswertung%20und%20Erkenntnisse\7.11_Erkenntnis_Flugzeug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Eigene%20Dateien/HAW/Arbeiten/Nita/Lover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 Page"/>
      <sheetName val="Input Data"/>
      <sheetName val="Results"/>
      <sheetName val="cP"/>
      <sheetName val="Subroutine Xi"/>
      <sheetName val="Twist, Pitch &amp; Chord"/>
      <sheetName val="Wind speed"/>
      <sheetName val="cP wind speed"/>
      <sheetName val="Subroutine Xi wind speed"/>
      <sheetName val="Twist, Pitch &amp; Chord wind speed"/>
      <sheetName val="Airfoils"/>
      <sheetName val="(c)"/>
    </sheetNames>
    <sheetDataSet>
      <sheetData sheetId="0"/>
      <sheetData sheetId="1">
        <row r="4">
          <cell r="H4">
            <v>1.0471975511965976</v>
          </cell>
          <cell r="R4">
            <v>0.03</v>
          </cell>
        </row>
        <row r="6">
          <cell r="H6">
            <v>0.52359877559829882</v>
          </cell>
          <cell r="M6">
            <v>0.06</v>
          </cell>
        </row>
        <row r="8">
          <cell r="E8">
            <v>10</v>
          </cell>
        </row>
        <row r="10">
          <cell r="E10">
            <v>1</v>
          </cell>
          <cell r="M10">
            <v>0</v>
          </cell>
        </row>
        <row r="12">
          <cell r="E12">
            <v>3</v>
          </cell>
          <cell r="M12">
            <v>40</v>
          </cell>
        </row>
        <row r="14">
          <cell r="H14">
            <v>10.471975511965978</v>
          </cell>
          <cell r="M14">
            <v>0</v>
          </cell>
        </row>
        <row r="20">
          <cell r="E20">
            <v>20</v>
          </cell>
        </row>
        <row r="22">
          <cell r="E22">
            <v>6.4285714285714293E-2</v>
          </cell>
        </row>
        <row r="27">
          <cell r="I27" t="str">
            <v>NACA 0015</v>
          </cell>
        </row>
        <row r="30">
          <cell r="F30" t="str">
            <v>NACA 0018</v>
          </cell>
        </row>
        <row r="31">
          <cell r="F31" t="str">
            <v>NACA 0015</v>
          </cell>
        </row>
        <row r="32">
          <cell r="F32" t="str">
            <v>NACA 0012</v>
          </cell>
        </row>
        <row r="37">
          <cell r="E37">
            <v>0.1</v>
          </cell>
        </row>
        <row r="39">
          <cell r="E39">
            <v>-44.444444444444443</v>
          </cell>
        </row>
        <row r="41">
          <cell r="E41">
            <v>8.6602540378443855</v>
          </cell>
        </row>
        <row r="43">
          <cell r="E43">
            <v>3.4641016151377546E-2</v>
          </cell>
        </row>
        <row r="45">
          <cell r="E45">
            <v>3.849001794597505E-2</v>
          </cell>
        </row>
        <row r="47">
          <cell r="E47">
            <v>3.6275987284684361</v>
          </cell>
        </row>
      </sheetData>
      <sheetData sheetId="2"/>
      <sheetData sheetId="3"/>
      <sheetData sheetId="4">
        <row r="3">
          <cell r="B3">
            <v>0</v>
          </cell>
        </row>
      </sheetData>
      <sheetData sheetId="5"/>
      <sheetData sheetId="6"/>
      <sheetData sheetId="7"/>
      <sheetData sheetId="8"/>
      <sheetData sheetId="9"/>
      <sheetData sheetId="10">
        <row r="5">
          <cell r="D5">
            <v>8</v>
          </cell>
          <cell r="L5">
            <v>7</v>
          </cell>
          <cell r="T5">
            <v>8</v>
          </cell>
        </row>
        <row r="46">
          <cell r="AB46">
            <v>40000</v>
          </cell>
        </row>
        <row r="47">
          <cell r="AB47">
            <v>360000</v>
          </cell>
        </row>
        <row r="48">
          <cell r="AB48">
            <v>10000</v>
          </cell>
        </row>
        <row r="50">
          <cell r="AB50" t="str">
            <v>ON</v>
          </cell>
        </row>
        <row r="51">
          <cell r="AB51" t="str">
            <v>OFF</v>
          </cell>
        </row>
      </sheetData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_Outputs"/>
      <sheetName val="Fuel"/>
      <sheetName val="DOC"/>
      <sheetName val="Environmental"/>
      <sheetName val="Flight time"/>
      <sheetName val="Extra information"/>
      <sheetName val="(c)"/>
    </sheetNames>
    <sheetDataSet>
      <sheetData sheetId="0">
        <row r="2">
          <cell r="B2">
            <v>73500</v>
          </cell>
          <cell r="F2">
            <v>2</v>
          </cell>
          <cell r="J2">
            <v>0.9</v>
          </cell>
          <cell r="N2">
            <v>9.8066499999999994</v>
          </cell>
        </row>
        <row r="3">
          <cell r="B3">
            <v>122.4</v>
          </cell>
          <cell r="F3">
            <v>5.7</v>
          </cell>
          <cell r="J3">
            <v>12500</v>
          </cell>
          <cell r="N3">
            <v>287.053</v>
          </cell>
        </row>
        <row r="4">
          <cell r="B4">
            <v>9.5</v>
          </cell>
          <cell r="F4">
            <v>120000</v>
          </cell>
          <cell r="J4">
            <v>41010.49868766404</v>
          </cell>
        </row>
        <row r="5">
          <cell r="F5">
            <v>32.6</v>
          </cell>
          <cell r="J5">
            <v>295.06956032434113</v>
          </cell>
        </row>
        <row r="6">
          <cell r="B6">
            <v>60500</v>
          </cell>
          <cell r="F6">
            <v>18</v>
          </cell>
          <cell r="J6">
            <v>216.65</v>
          </cell>
          <cell r="N6">
            <v>101325</v>
          </cell>
        </row>
        <row r="7">
          <cell r="B7">
            <v>25</v>
          </cell>
          <cell r="F7">
            <v>2</v>
          </cell>
          <cell r="J7">
            <v>17884.531472127925</v>
          </cell>
          <cell r="N7">
            <v>1.1225000000000001</v>
          </cell>
        </row>
        <row r="8">
          <cell r="B8">
            <v>0.43633231299858238</v>
          </cell>
          <cell r="F8">
            <v>2380</v>
          </cell>
          <cell r="J8">
            <v>0.28726392255536015</v>
          </cell>
          <cell r="N8">
            <v>216.65</v>
          </cell>
        </row>
        <row r="9">
          <cell r="B9">
            <v>42600</v>
          </cell>
          <cell r="N9">
            <v>22657</v>
          </cell>
        </row>
        <row r="10">
          <cell r="B10">
            <v>17900</v>
          </cell>
          <cell r="J10">
            <v>516.21240575100717</v>
          </cell>
          <cell r="N10">
            <v>0.36392000000000002</v>
          </cell>
        </row>
        <row r="11">
          <cell r="B11">
            <v>150</v>
          </cell>
        </row>
        <row r="12">
          <cell r="J12">
            <v>1500</v>
          </cell>
        </row>
        <row r="13">
          <cell r="B13">
            <v>0.78</v>
          </cell>
        </row>
        <row r="157">
          <cell r="B157">
            <v>0.5</v>
          </cell>
        </row>
        <row r="158">
          <cell r="B158">
            <v>0.5</v>
          </cell>
        </row>
        <row r="163">
          <cell r="B163">
            <v>0.5</v>
          </cell>
        </row>
        <row r="164">
          <cell r="B164">
            <v>0.5</v>
          </cell>
        </row>
      </sheetData>
      <sheetData sheetId="1">
        <row r="15">
          <cell r="C15">
            <v>0.57793155638612903</v>
          </cell>
        </row>
        <row r="23">
          <cell r="C23" t="str">
            <v/>
          </cell>
        </row>
        <row r="28">
          <cell r="C28">
            <v>1.1273111577958602E-2</v>
          </cell>
        </row>
        <row r="29">
          <cell r="C29">
            <v>0.58135534282882717</v>
          </cell>
        </row>
        <row r="31">
          <cell r="C31" t="e">
            <v>#VALUE!</v>
          </cell>
        </row>
        <row r="33">
          <cell r="C33" t="e">
            <v>#VALUE!</v>
          </cell>
        </row>
        <row r="35">
          <cell r="I35">
            <v>1.831465106715439E-5</v>
          </cell>
        </row>
        <row r="41">
          <cell r="I41" t="e">
            <v>#VALUE!</v>
          </cell>
        </row>
        <row r="42">
          <cell r="I42" t="e">
            <v>#VALUE!</v>
          </cell>
        </row>
      </sheetData>
      <sheetData sheetId="2">
        <row r="7">
          <cell r="C7">
            <v>1.76</v>
          </cell>
        </row>
        <row r="10">
          <cell r="C10">
            <v>2.131410279024593</v>
          </cell>
        </row>
        <row r="40">
          <cell r="C40">
            <v>1505</v>
          </cell>
        </row>
        <row r="41">
          <cell r="D41">
            <v>809.93520518358537</v>
          </cell>
        </row>
        <row r="43">
          <cell r="C43" t="e">
            <v>#VALUE!</v>
          </cell>
        </row>
        <row r="50">
          <cell r="C50" t="e">
            <v>#VALUE!</v>
          </cell>
        </row>
        <row r="59">
          <cell r="C59">
            <v>1.7412726422869818</v>
          </cell>
        </row>
        <row r="79">
          <cell r="C79">
            <v>1.9912726422869818</v>
          </cell>
        </row>
        <row r="84">
          <cell r="C84" t="e">
            <v>#VALUE!</v>
          </cell>
        </row>
        <row r="92">
          <cell r="C92" t="e">
            <v>#VALUE!</v>
          </cell>
        </row>
        <row r="96">
          <cell r="C96">
            <v>2621.0589309815036</v>
          </cell>
        </row>
      </sheetData>
      <sheetData sheetId="3">
        <row r="50">
          <cell r="C50" t="e">
            <v>#VALUE!</v>
          </cell>
        </row>
        <row r="64">
          <cell r="C64">
            <v>260.50657953811276</v>
          </cell>
        </row>
        <row r="65">
          <cell r="C65">
            <v>23.862727604905828</v>
          </cell>
        </row>
      </sheetData>
      <sheetData sheetId="4">
        <row r="166">
          <cell r="B166">
            <v>290</v>
          </cell>
        </row>
        <row r="167">
          <cell r="B167">
            <v>410</v>
          </cell>
        </row>
        <row r="168">
          <cell r="B168">
            <v>0.68350831146106727</v>
          </cell>
        </row>
        <row r="170">
          <cell r="B170">
            <v>488.75045848362186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cP"/>
      <sheetName val="Subroutine Xi"/>
      <sheetName val="Airfoils"/>
    </sheetNames>
    <sheetDataSet>
      <sheetData sheetId="0">
        <row r="14">
          <cell r="Q14" t="str">
            <v>OFF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F_mMTO"/>
      <sheetName val="Schneeballfaktor "/>
      <sheetName val="Flugzeuge 1940-1972"/>
      <sheetName val="Flugzeuge 1980-present"/>
      <sheetName val="Ergebnisvergleich"/>
    </sheetNames>
    <sheetDataSet>
      <sheetData sheetId="0" refreshError="1"/>
      <sheetData sheetId="1">
        <row r="4">
          <cell r="B4">
            <v>1</v>
          </cell>
        </row>
        <row r="5">
          <cell r="B5">
            <v>90000</v>
          </cell>
        </row>
        <row r="6">
          <cell r="B6">
            <v>0.48333333333333334</v>
          </cell>
        </row>
        <row r="7">
          <cell r="B7">
            <v>43500</v>
          </cell>
        </row>
        <row r="8">
          <cell r="B8">
            <v>0.29444444444444445</v>
          </cell>
        </row>
        <row r="9">
          <cell r="B9">
            <v>26500</v>
          </cell>
        </row>
        <row r="10">
          <cell r="B10">
            <v>20000</v>
          </cell>
        </row>
        <row r="13">
          <cell r="B13">
            <v>90004.500225011288</v>
          </cell>
        </row>
        <row r="32">
          <cell r="B32">
            <v>4.5002250112884212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aper.profscholz.de/" TargetMode="External"/><Relationship Id="rId2" Type="http://schemas.openxmlformats.org/officeDocument/2006/relationships/hyperlink" Target="http://aero.profscholz.de/" TargetMode="External"/><Relationship Id="rId1" Type="http://schemas.openxmlformats.org/officeDocument/2006/relationships/hyperlink" Target="http://www.profscholz.de/" TargetMode="External"/><Relationship Id="rId5" Type="http://schemas.openxmlformats.org/officeDocument/2006/relationships/hyperlink" Target="http://bibliothek.profscholz.de/" TargetMode="External"/><Relationship Id="rId4" Type="http://schemas.openxmlformats.org/officeDocument/2006/relationships/hyperlink" Target="http://bibliothek.profscholz.d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emf"/><Relationship Id="rId13" Type="http://schemas.openxmlformats.org/officeDocument/2006/relationships/oleObject" Target="../embeddings/oleObject6.bin"/><Relationship Id="rId18" Type="http://schemas.openxmlformats.org/officeDocument/2006/relationships/image" Target="../media/image8.emf"/><Relationship Id="rId3" Type="http://schemas.openxmlformats.org/officeDocument/2006/relationships/oleObject" Target="../embeddings/oleObject1.bin"/><Relationship Id="rId7" Type="http://schemas.openxmlformats.org/officeDocument/2006/relationships/oleObject" Target="../embeddings/oleObject3.bin"/><Relationship Id="rId12" Type="http://schemas.openxmlformats.org/officeDocument/2006/relationships/image" Target="../media/image5.emf"/><Relationship Id="rId17" Type="http://schemas.openxmlformats.org/officeDocument/2006/relationships/oleObject" Target="../embeddings/oleObject8.bin"/><Relationship Id="rId2" Type="http://schemas.openxmlformats.org/officeDocument/2006/relationships/vmlDrawing" Target="../drawings/vmlDrawing1.vml"/><Relationship Id="rId16" Type="http://schemas.openxmlformats.org/officeDocument/2006/relationships/image" Target="../media/image7.emf"/><Relationship Id="rId20" Type="http://schemas.openxmlformats.org/officeDocument/2006/relationships/image" Target="../media/image9.emf"/><Relationship Id="rId1" Type="http://schemas.openxmlformats.org/officeDocument/2006/relationships/drawing" Target="../drawings/drawing1.xml"/><Relationship Id="rId6" Type="http://schemas.openxmlformats.org/officeDocument/2006/relationships/image" Target="../media/image2.emf"/><Relationship Id="rId11" Type="http://schemas.openxmlformats.org/officeDocument/2006/relationships/oleObject" Target="../embeddings/oleObject5.bin"/><Relationship Id="rId5" Type="http://schemas.openxmlformats.org/officeDocument/2006/relationships/oleObject" Target="../embeddings/oleObject2.bin"/><Relationship Id="rId15" Type="http://schemas.openxmlformats.org/officeDocument/2006/relationships/oleObject" Target="../embeddings/oleObject7.bin"/><Relationship Id="rId10" Type="http://schemas.openxmlformats.org/officeDocument/2006/relationships/image" Target="../media/image4.emf"/><Relationship Id="rId19" Type="http://schemas.openxmlformats.org/officeDocument/2006/relationships/oleObject" Target="../embeddings/oleObject9.bin"/><Relationship Id="rId4" Type="http://schemas.openxmlformats.org/officeDocument/2006/relationships/image" Target="../media/image1.emf"/><Relationship Id="rId9" Type="http://schemas.openxmlformats.org/officeDocument/2006/relationships/oleObject" Target="../embeddings/oleObject4.bin"/><Relationship Id="rId14" Type="http://schemas.openxmlformats.org/officeDocument/2006/relationships/image" Target="../media/image6.emf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0.emf"/><Relationship Id="rId13" Type="http://schemas.openxmlformats.org/officeDocument/2006/relationships/oleObject" Target="../embeddings/oleObject15.bin"/><Relationship Id="rId18" Type="http://schemas.openxmlformats.org/officeDocument/2006/relationships/image" Target="../media/image25.emf"/><Relationship Id="rId26" Type="http://schemas.openxmlformats.org/officeDocument/2006/relationships/image" Target="../media/image29.emf"/><Relationship Id="rId3" Type="http://schemas.openxmlformats.org/officeDocument/2006/relationships/oleObject" Target="../embeddings/oleObject10.bin"/><Relationship Id="rId21" Type="http://schemas.openxmlformats.org/officeDocument/2006/relationships/oleObject" Target="../embeddings/oleObject19.bin"/><Relationship Id="rId7" Type="http://schemas.openxmlformats.org/officeDocument/2006/relationships/oleObject" Target="../embeddings/oleObject12.bin"/><Relationship Id="rId12" Type="http://schemas.openxmlformats.org/officeDocument/2006/relationships/image" Target="../media/image22.emf"/><Relationship Id="rId17" Type="http://schemas.openxmlformats.org/officeDocument/2006/relationships/oleObject" Target="../embeddings/oleObject17.bin"/><Relationship Id="rId25" Type="http://schemas.openxmlformats.org/officeDocument/2006/relationships/oleObject" Target="../embeddings/oleObject21.bin"/><Relationship Id="rId2" Type="http://schemas.openxmlformats.org/officeDocument/2006/relationships/vmlDrawing" Target="../drawings/vmlDrawing2.vml"/><Relationship Id="rId16" Type="http://schemas.openxmlformats.org/officeDocument/2006/relationships/image" Target="../media/image24.emf"/><Relationship Id="rId20" Type="http://schemas.openxmlformats.org/officeDocument/2006/relationships/image" Target="../media/image26.emf"/><Relationship Id="rId1" Type="http://schemas.openxmlformats.org/officeDocument/2006/relationships/drawing" Target="../drawings/drawing3.xml"/><Relationship Id="rId6" Type="http://schemas.openxmlformats.org/officeDocument/2006/relationships/image" Target="../media/image19.emf"/><Relationship Id="rId11" Type="http://schemas.openxmlformats.org/officeDocument/2006/relationships/oleObject" Target="../embeddings/oleObject14.bin"/><Relationship Id="rId24" Type="http://schemas.openxmlformats.org/officeDocument/2006/relationships/image" Target="../media/image28.emf"/><Relationship Id="rId5" Type="http://schemas.openxmlformats.org/officeDocument/2006/relationships/oleObject" Target="../embeddings/oleObject11.bin"/><Relationship Id="rId15" Type="http://schemas.openxmlformats.org/officeDocument/2006/relationships/oleObject" Target="../embeddings/oleObject16.bin"/><Relationship Id="rId23" Type="http://schemas.openxmlformats.org/officeDocument/2006/relationships/oleObject" Target="../embeddings/oleObject20.bin"/><Relationship Id="rId10" Type="http://schemas.openxmlformats.org/officeDocument/2006/relationships/image" Target="../media/image21.emf"/><Relationship Id="rId19" Type="http://schemas.openxmlformats.org/officeDocument/2006/relationships/oleObject" Target="../embeddings/oleObject18.bin"/><Relationship Id="rId4" Type="http://schemas.openxmlformats.org/officeDocument/2006/relationships/image" Target="../media/image18.emf"/><Relationship Id="rId9" Type="http://schemas.openxmlformats.org/officeDocument/2006/relationships/oleObject" Target="../embeddings/oleObject13.bin"/><Relationship Id="rId14" Type="http://schemas.openxmlformats.org/officeDocument/2006/relationships/image" Target="../media/image23.emf"/><Relationship Id="rId22" Type="http://schemas.openxmlformats.org/officeDocument/2006/relationships/image" Target="../media/image27.emf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24.bin"/><Relationship Id="rId3" Type="http://schemas.openxmlformats.org/officeDocument/2006/relationships/vmlDrawing" Target="../drawings/vmlDrawing3.vml"/><Relationship Id="rId7" Type="http://schemas.openxmlformats.org/officeDocument/2006/relationships/image" Target="../media/image32.emf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3.bin"/><Relationship Id="rId11" Type="http://schemas.openxmlformats.org/officeDocument/2006/relationships/image" Target="../media/image34.emf"/><Relationship Id="rId5" Type="http://schemas.openxmlformats.org/officeDocument/2006/relationships/image" Target="../media/image31.emf"/><Relationship Id="rId10" Type="http://schemas.openxmlformats.org/officeDocument/2006/relationships/oleObject" Target="../embeddings/oleObject25.bin"/><Relationship Id="rId4" Type="http://schemas.openxmlformats.org/officeDocument/2006/relationships/oleObject" Target="../embeddings/oleObject22.bin"/><Relationship Id="rId9" Type="http://schemas.openxmlformats.org/officeDocument/2006/relationships/image" Target="../media/image33.emf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doi.org/10.7910/DVN/ET4ZKV" TargetMode="External"/><Relationship Id="rId1" Type="http://schemas.openxmlformats.org/officeDocument/2006/relationships/hyperlink" Target="https://www.gnu.org/licen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0"/>
  <sheetViews>
    <sheetView tabSelected="1" zoomScaleNormal="100" workbookViewId="0">
      <selection activeCell="A2" sqref="A2"/>
    </sheetView>
  </sheetViews>
  <sheetFormatPr baseColWidth="10" defaultColWidth="9.140625" defaultRowHeight="12.75" x14ac:dyDescent="0.2"/>
  <cols>
    <col min="1" max="2" width="9.140625" customWidth="1"/>
    <col min="3" max="3" width="15.85546875" customWidth="1"/>
  </cols>
  <sheetData>
    <row r="1" spans="1:11" ht="18" x14ac:dyDescent="0.25">
      <c r="A1" s="147" t="s">
        <v>567</v>
      </c>
    </row>
    <row r="3" spans="1:11" ht="13.5" thickBot="1" x14ac:dyDescent="0.25"/>
    <row r="4" spans="1:11" x14ac:dyDescent="0.2">
      <c r="A4" s="55" t="s">
        <v>360</v>
      </c>
      <c r="B4" s="64"/>
      <c r="C4" s="57"/>
      <c r="E4" s="140" t="s">
        <v>360</v>
      </c>
      <c r="F4" s="64"/>
      <c r="G4" s="57"/>
      <c r="I4" s="140" t="s">
        <v>360</v>
      </c>
      <c r="J4" s="64"/>
      <c r="K4" s="57"/>
    </row>
    <row r="5" spans="1:11" x14ac:dyDescent="0.2">
      <c r="A5" s="65" t="s">
        <v>366</v>
      </c>
      <c r="C5" s="59"/>
      <c r="E5" s="65" t="s">
        <v>362</v>
      </c>
      <c r="G5" s="59"/>
      <c r="I5" s="230" t="s">
        <v>461</v>
      </c>
      <c r="K5" s="59"/>
    </row>
    <row r="6" spans="1:11" x14ac:dyDescent="0.2">
      <c r="A6" s="65" t="s">
        <v>361</v>
      </c>
      <c r="C6" s="59"/>
      <c r="E6" s="65" t="s">
        <v>361</v>
      </c>
      <c r="G6" s="59"/>
      <c r="I6" s="65" t="s">
        <v>361</v>
      </c>
      <c r="K6" s="59"/>
    </row>
    <row r="7" spans="1:11" ht="13.5" thickBot="1" x14ac:dyDescent="0.25">
      <c r="A7" s="146" t="s">
        <v>442</v>
      </c>
      <c r="B7" s="61"/>
      <c r="C7" s="62"/>
      <c r="E7" s="146" t="s">
        <v>365</v>
      </c>
      <c r="F7" s="61"/>
      <c r="G7" s="62"/>
      <c r="I7" s="146"/>
      <c r="J7" s="61"/>
      <c r="K7" s="62"/>
    </row>
    <row r="10" spans="1:11" ht="15.75" x14ac:dyDescent="0.25">
      <c r="A10" s="105" t="s">
        <v>441</v>
      </c>
    </row>
    <row r="11" spans="1:11" ht="15.75" x14ac:dyDescent="0.25">
      <c r="A11" s="105" t="s">
        <v>460</v>
      </c>
    </row>
    <row r="12" spans="1:11" ht="15.75" x14ac:dyDescent="0.25">
      <c r="A12" s="105"/>
    </row>
    <row r="13" spans="1:11" ht="15.75" x14ac:dyDescent="0.25">
      <c r="A13" s="236" t="s">
        <v>492</v>
      </c>
    </row>
    <row r="14" spans="1:11" ht="15.75" x14ac:dyDescent="0.25">
      <c r="A14" s="105"/>
    </row>
    <row r="15" spans="1:11" ht="15.75" x14ac:dyDescent="0.25">
      <c r="A15" s="105" t="s">
        <v>569</v>
      </c>
    </row>
    <row r="16" spans="1:11" ht="15.75" x14ac:dyDescent="0.25">
      <c r="A16" s="105" t="s">
        <v>493</v>
      </c>
    </row>
    <row r="17" spans="1:4" ht="15.75" x14ac:dyDescent="0.25">
      <c r="A17" s="105"/>
    </row>
    <row r="18" spans="1:4" ht="15.75" x14ac:dyDescent="0.25">
      <c r="A18" s="105" t="s">
        <v>509</v>
      </c>
    </row>
    <row r="19" spans="1:4" ht="15.75" x14ac:dyDescent="0.25">
      <c r="A19" s="105"/>
    </row>
    <row r="20" spans="1:4" ht="15.75" x14ac:dyDescent="0.25">
      <c r="A20" s="105" t="s">
        <v>510</v>
      </c>
    </row>
    <row r="21" spans="1:4" ht="15.75" x14ac:dyDescent="0.25">
      <c r="A21" s="105"/>
    </row>
    <row r="22" spans="1:4" ht="15.75" x14ac:dyDescent="0.25">
      <c r="A22" s="237" t="s">
        <v>497</v>
      </c>
    </row>
    <row r="23" spans="1:4" ht="15.75" x14ac:dyDescent="0.25">
      <c r="A23" s="105"/>
    </row>
    <row r="24" spans="1:4" ht="15.75" x14ac:dyDescent="0.25">
      <c r="A24" s="105" t="s">
        <v>363</v>
      </c>
    </row>
    <row r="26" spans="1:4" x14ac:dyDescent="0.2">
      <c r="A26" s="148" t="s">
        <v>382</v>
      </c>
      <c r="D26" s="12" t="s">
        <v>364</v>
      </c>
    </row>
    <row r="28" spans="1:4" x14ac:dyDescent="0.2">
      <c r="A28" s="158" t="s">
        <v>383</v>
      </c>
      <c r="D28" s="12" t="s">
        <v>565</v>
      </c>
    </row>
    <row r="30" spans="1:4" x14ac:dyDescent="0.2">
      <c r="A30" s="158" t="s">
        <v>383</v>
      </c>
      <c r="D30" s="12" t="s">
        <v>491</v>
      </c>
    </row>
  </sheetData>
  <phoneticPr fontId="0" type="noConversion"/>
  <hyperlinks>
    <hyperlink ref="A7" r:id="rId1" xr:uid="{00000000-0004-0000-0000-000000000000}"/>
    <hyperlink ref="E7" r:id="rId2" display="http://aero.profscholz.de/" xr:uid="{00000000-0004-0000-0000-000001000000}"/>
    <hyperlink ref="A26" r:id="rId3" xr:uid="{00000000-0004-0000-0000-000002000000}"/>
    <hyperlink ref="A28" r:id="rId4" xr:uid="{00000000-0004-0000-0000-000003000000}"/>
    <hyperlink ref="A30" r:id="rId5" xr:uid="{00000000-0004-0000-0000-000004000000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>
      <selection activeCell="C4" sqref="C4"/>
    </sheetView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I94"/>
  <sheetViews>
    <sheetView zoomScaleNormal="100" workbookViewId="0">
      <selection activeCell="A3" sqref="A3"/>
    </sheetView>
  </sheetViews>
  <sheetFormatPr baseColWidth="10" defaultColWidth="11.42578125" defaultRowHeight="12.75" x14ac:dyDescent="0.2"/>
  <cols>
    <col min="1" max="1" width="39.28515625" customWidth="1"/>
    <col min="2" max="2" width="32.7109375" customWidth="1"/>
    <col min="3" max="3" width="13.28515625" customWidth="1"/>
    <col min="4" max="4" width="8.28515625" customWidth="1"/>
    <col min="5" max="5" width="16" customWidth="1"/>
    <col min="6" max="6" width="11.42578125" bestFit="1" customWidth="1"/>
    <col min="7" max="9" width="11.42578125" customWidth="1"/>
    <col min="10" max="10" width="15.7109375" customWidth="1"/>
  </cols>
  <sheetData>
    <row r="1" spans="1:7" ht="15.75" x14ac:dyDescent="0.25">
      <c r="A1" s="105" t="s">
        <v>358</v>
      </c>
    </row>
    <row r="2" spans="1:7" x14ac:dyDescent="0.2">
      <c r="A2" s="11" t="s">
        <v>219</v>
      </c>
    </row>
    <row r="3" spans="1:7" ht="13.5" thickBot="1" x14ac:dyDescent="0.25">
      <c r="B3" s="11"/>
    </row>
    <row r="4" spans="1:7" x14ac:dyDescent="0.2">
      <c r="A4" s="55" t="s">
        <v>103</v>
      </c>
      <c r="B4" s="56"/>
      <c r="C4" s="57"/>
      <c r="E4" s="203" t="s">
        <v>368</v>
      </c>
      <c r="F4" s="204"/>
      <c r="G4" s="205"/>
    </row>
    <row r="5" spans="1:7" ht="13.5" thickBot="1" x14ac:dyDescent="0.25">
      <c r="A5" s="58" t="s">
        <v>205</v>
      </c>
      <c r="B5" s="11"/>
      <c r="C5" s="59"/>
      <c r="E5" s="206" t="s">
        <v>304</v>
      </c>
      <c r="F5" s="207"/>
      <c r="G5" s="208"/>
    </row>
    <row r="6" spans="1:7" x14ac:dyDescent="0.2">
      <c r="A6" s="58" t="s">
        <v>104</v>
      </c>
      <c r="B6" s="11"/>
      <c r="C6" s="59"/>
    </row>
    <row r="7" spans="1:7" x14ac:dyDescent="0.2">
      <c r="A7" s="58" t="s">
        <v>105</v>
      </c>
      <c r="B7" s="11"/>
      <c r="C7" s="59"/>
    </row>
    <row r="8" spans="1:7" ht="13.5" thickBot="1" x14ac:dyDescent="0.25">
      <c r="A8" s="60" t="s">
        <v>106</v>
      </c>
      <c r="B8" s="61"/>
      <c r="C8" s="62"/>
    </row>
    <row r="9" spans="1:7" x14ac:dyDescent="0.2">
      <c r="A9" s="18"/>
    </row>
    <row r="10" spans="1:7" x14ac:dyDescent="0.2">
      <c r="A10" s="8" t="s">
        <v>107</v>
      </c>
    </row>
    <row r="11" spans="1:7" ht="15.75" x14ac:dyDescent="0.3">
      <c r="A11" t="s">
        <v>108</v>
      </c>
      <c r="B11" s="12" t="s">
        <v>30</v>
      </c>
      <c r="C11" s="45">
        <v>1.78</v>
      </c>
      <c r="D11" s="41" t="s">
        <v>216</v>
      </c>
      <c r="E11" s="12" t="s">
        <v>500</v>
      </c>
      <c r="F11" s="12" t="s">
        <v>471</v>
      </c>
    </row>
    <row r="12" spans="1:7" x14ac:dyDescent="0.2">
      <c r="A12" t="s">
        <v>109</v>
      </c>
      <c r="B12" t="s">
        <v>33</v>
      </c>
      <c r="C12" s="9">
        <f>3.6/1.852</f>
        <v>1.9438444924406046</v>
      </c>
      <c r="D12" t="s">
        <v>3</v>
      </c>
    </row>
    <row r="13" spans="1:7" x14ac:dyDescent="0.2">
      <c r="C13" s="9"/>
    </row>
    <row r="14" spans="1:7" x14ac:dyDescent="0.2">
      <c r="A14" s="11" t="s">
        <v>110</v>
      </c>
      <c r="C14" s="33" t="s">
        <v>215</v>
      </c>
      <c r="E14" s="7" t="s">
        <v>218</v>
      </c>
    </row>
    <row r="15" spans="1:7" ht="15.75" x14ac:dyDescent="0.3">
      <c r="A15" t="s">
        <v>111</v>
      </c>
      <c r="B15" t="s">
        <v>31</v>
      </c>
      <c r="C15" s="19">
        <v>1067</v>
      </c>
      <c r="D15" s="19" t="s">
        <v>1</v>
      </c>
      <c r="E15" s="10"/>
    </row>
    <row r="16" spans="1:7" ht="15.75" x14ac:dyDescent="0.3">
      <c r="A16" t="s">
        <v>112</v>
      </c>
      <c r="B16" s="18" t="s">
        <v>32</v>
      </c>
      <c r="C16" s="10">
        <f>C11*SQRT(C15)</f>
        <v>58.143639376977433</v>
      </c>
      <c r="D16" t="s">
        <v>2</v>
      </c>
    </row>
    <row r="17" spans="1:8" ht="15.75" x14ac:dyDescent="0.3">
      <c r="A17" t="s">
        <v>112</v>
      </c>
      <c r="B17" s="18" t="s">
        <v>32</v>
      </c>
      <c r="C17" s="43">
        <f>C16*C12</f>
        <v>113.02219317339025</v>
      </c>
      <c r="D17" s="36" t="s">
        <v>4</v>
      </c>
    </row>
    <row r="18" spans="1:8" x14ac:dyDescent="0.2">
      <c r="B18" s="18"/>
      <c r="C18" s="35"/>
      <c r="D18" s="36"/>
    </row>
    <row r="19" spans="1:8" x14ac:dyDescent="0.2">
      <c r="A19" s="11" t="s">
        <v>113</v>
      </c>
      <c r="C19" s="39" t="str">
        <f>IF(C14="yes","no","yes")</f>
        <v>no</v>
      </c>
      <c r="D19" s="36"/>
    </row>
    <row r="20" spans="1:8" ht="15.75" x14ac:dyDescent="0.3">
      <c r="A20" t="s">
        <v>112</v>
      </c>
      <c r="B20" t="s">
        <v>32</v>
      </c>
      <c r="C20" s="44">
        <v>113</v>
      </c>
      <c r="D20" s="19" t="s">
        <v>4</v>
      </c>
    </row>
    <row r="21" spans="1:8" ht="15.75" x14ac:dyDescent="0.3">
      <c r="A21" t="s">
        <v>112</v>
      </c>
      <c r="B21" s="18" t="s">
        <v>32</v>
      </c>
      <c r="C21" s="42">
        <f>C20/C12</f>
        <v>58.132222222222225</v>
      </c>
      <c r="D21" t="s">
        <v>2</v>
      </c>
    </row>
    <row r="22" spans="1:8" ht="15.75" x14ac:dyDescent="0.3">
      <c r="A22" t="s">
        <v>111</v>
      </c>
      <c r="B22" t="s">
        <v>31</v>
      </c>
      <c r="C22" s="35">
        <f>(C21/C11)^2</f>
        <v>1066.5810063419478</v>
      </c>
      <c r="D22" s="36" t="s">
        <v>1</v>
      </c>
    </row>
    <row r="23" spans="1:8" x14ac:dyDescent="0.2">
      <c r="B23" s="18"/>
      <c r="C23" s="40"/>
      <c r="D23" s="18"/>
    </row>
    <row r="24" spans="1:8" x14ac:dyDescent="0.2">
      <c r="C24" s="18"/>
      <c r="D24" s="18"/>
    </row>
    <row r="25" spans="1:8" ht="15.75" x14ac:dyDescent="0.3">
      <c r="A25" s="8" t="s">
        <v>114</v>
      </c>
      <c r="E25" t="s">
        <v>406</v>
      </c>
    </row>
    <row r="26" spans="1:8" ht="15.75" x14ac:dyDescent="0.3">
      <c r="A26" t="s">
        <v>111</v>
      </c>
      <c r="B26" t="s">
        <v>31</v>
      </c>
      <c r="C26" s="5">
        <f>IF(C14="yes",C15,C22)</f>
        <v>1067</v>
      </c>
      <c r="D26" t="s">
        <v>1</v>
      </c>
      <c r="F26" s="123"/>
    </row>
    <row r="27" spans="1:8" ht="15.75" x14ac:dyDescent="0.3">
      <c r="A27" t="s">
        <v>115</v>
      </c>
      <c r="B27" s="3" t="s">
        <v>101</v>
      </c>
      <c r="C27" s="19">
        <v>0</v>
      </c>
      <c r="D27" s="19" t="s">
        <v>17</v>
      </c>
      <c r="G27" s="12" t="s">
        <v>407</v>
      </c>
    </row>
    <row r="28" spans="1:8" x14ac:dyDescent="0.2">
      <c r="A28" t="s">
        <v>116</v>
      </c>
      <c r="B28" s="3" t="s">
        <v>21</v>
      </c>
      <c r="C28" s="9">
        <f>288.15/(288.15+C27)</f>
        <v>1</v>
      </c>
    </row>
    <row r="29" spans="1:8" ht="15.75" x14ac:dyDescent="0.3">
      <c r="A29" t="s">
        <v>108</v>
      </c>
      <c r="B29" t="s">
        <v>34</v>
      </c>
      <c r="C29" s="15">
        <v>0.13700000000000001</v>
      </c>
      <c r="D29" t="s">
        <v>5</v>
      </c>
      <c r="E29" t="s">
        <v>220</v>
      </c>
    </row>
    <row r="30" spans="1:8" ht="15.75" x14ac:dyDescent="0.3">
      <c r="A30" t="s">
        <v>213</v>
      </c>
      <c r="B30" s="12" t="s">
        <v>408</v>
      </c>
      <c r="C30" s="19">
        <v>2.5</v>
      </c>
      <c r="H30" s="18"/>
    </row>
    <row r="31" spans="1:8" ht="15.75" x14ac:dyDescent="0.3">
      <c r="A31" t="s">
        <v>117</v>
      </c>
      <c r="B31" t="s">
        <v>45</v>
      </c>
      <c r="C31" s="37">
        <v>0.97</v>
      </c>
    </row>
    <row r="32" spans="1:8" ht="15.75" x14ac:dyDescent="0.3">
      <c r="A32" t="s">
        <v>118</v>
      </c>
      <c r="B32" s="18" t="s">
        <v>44</v>
      </c>
      <c r="C32" s="49">
        <f>C29*C28*C30*C26</f>
        <v>365.44750000000005</v>
      </c>
      <c r="D32" s="36" t="s">
        <v>6</v>
      </c>
      <c r="H32" s="78" t="s">
        <v>253</v>
      </c>
    </row>
    <row r="33" spans="1:8" ht="15.75" x14ac:dyDescent="0.3">
      <c r="A33" t="s">
        <v>119</v>
      </c>
      <c r="B33" s="18" t="s">
        <v>46</v>
      </c>
      <c r="C33" s="49">
        <f>C32/C31</f>
        <v>376.75000000000006</v>
      </c>
      <c r="D33" s="36" t="s">
        <v>6</v>
      </c>
      <c r="H33" s="78" t="s">
        <v>405</v>
      </c>
    </row>
    <row r="34" spans="1:8" x14ac:dyDescent="0.2">
      <c r="H34" s="78" t="s">
        <v>252</v>
      </c>
    </row>
    <row r="35" spans="1:8" x14ac:dyDescent="0.2">
      <c r="H35" s="78"/>
    </row>
    <row r="36" spans="1:8" x14ac:dyDescent="0.2">
      <c r="A36" s="8" t="s">
        <v>120</v>
      </c>
    </row>
    <row r="37" spans="1:8" ht="15.75" x14ac:dyDescent="0.3">
      <c r="A37" t="s">
        <v>121</v>
      </c>
      <c r="B37" t="s">
        <v>36</v>
      </c>
      <c r="C37" s="19">
        <v>1279</v>
      </c>
      <c r="D37" s="19" t="s">
        <v>1</v>
      </c>
    </row>
    <row r="38" spans="1:8" ht="15.75" x14ac:dyDescent="0.3">
      <c r="A38" t="s">
        <v>122</v>
      </c>
      <c r="B38" s="3" t="s">
        <v>102</v>
      </c>
      <c r="C38" s="19">
        <v>0</v>
      </c>
      <c r="D38" s="19" t="s">
        <v>17</v>
      </c>
    </row>
    <row r="39" spans="1:8" x14ac:dyDescent="0.2">
      <c r="A39" t="s">
        <v>116</v>
      </c>
      <c r="B39" s="3" t="s">
        <v>21</v>
      </c>
      <c r="C39" s="9">
        <f>288.15/(288.15+C38)</f>
        <v>1</v>
      </c>
      <c r="H39" s="78" t="s">
        <v>254</v>
      </c>
    </row>
    <row r="40" spans="1:8" ht="15.75" x14ac:dyDescent="0.3">
      <c r="A40" t="s">
        <v>108</v>
      </c>
      <c r="B40" t="s">
        <v>244</v>
      </c>
      <c r="C40" s="41">
        <v>2.25</v>
      </c>
      <c r="D40" s="41" t="s">
        <v>7</v>
      </c>
      <c r="E40" s="13"/>
      <c r="H40" s="78" t="s">
        <v>404</v>
      </c>
    </row>
    <row r="41" spans="1:8" ht="15.75" x14ac:dyDescent="0.3">
      <c r="A41" t="s">
        <v>123</v>
      </c>
      <c r="B41" t="s">
        <v>47</v>
      </c>
      <c r="C41">
        <f>0.8*C30</f>
        <v>2</v>
      </c>
      <c r="H41" s="78" t="s">
        <v>367</v>
      </c>
    </row>
    <row r="42" spans="1:8" ht="15.75" x14ac:dyDescent="0.3">
      <c r="A42" t="s">
        <v>398</v>
      </c>
      <c r="B42" t="s">
        <v>35</v>
      </c>
      <c r="C42" s="37">
        <v>2.0499999999999998</v>
      </c>
      <c r="D42" s="13"/>
    </row>
    <row r="43" spans="1:8" ht="15.75" x14ac:dyDescent="0.3">
      <c r="A43" t="s">
        <v>384</v>
      </c>
      <c r="B43" s="12" t="s">
        <v>400</v>
      </c>
      <c r="C43" s="157">
        <f>C16/1.3</f>
        <v>44.725876443828795</v>
      </c>
      <c r="D43" t="s">
        <v>2</v>
      </c>
    </row>
    <row r="44" spans="1:8" ht="15.75" x14ac:dyDescent="0.3">
      <c r="A44" t="s">
        <v>385</v>
      </c>
      <c r="B44" s="12" t="s">
        <v>401</v>
      </c>
      <c r="C44" s="157">
        <f>C43*SQRT(C30/C42)</f>
        <v>49.391467907270446</v>
      </c>
      <c r="D44" t="s">
        <v>2</v>
      </c>
    </row>
    <row r="45" spans="1:8" ht="15.75" x14ac:dyDescent="0.3">
      <c r="A45" t="s">
        <v>399</v>
      </c>
      <c r="B45" s="12" t="s">
        <v>402</v>
      </c>
      <c r="C45" s="213">
        <f>1.2*C44</f>
        <v>59.269761488724534</v>
      </c>
      <c r="D45" s="214" t="s">
        <v>2</v>
      </c>
      <c r="E45" s="12" t="s">
        <v>496</v>
      </c>
      <c r="G45" s="217"/>
    </row>
    <row r="46" spans="1:8" ht="15.75" x14ac:dyDescent="0.3">
      <c r="A46" t="s">
        <v>444</v>
      </c>
      <c r="B46" s="12" t="s">
        <v>445</v>
      </c>
      <c r="C46" s="49">
        <f>C45*SQRT(0.5)</f>
        <v>41.910050267986406</v>
      </c>
      <c r="D46" s="36" t="s">
        <v>2</v>
      </c>
      <c r="G46" s="217"/>
    </row>
    <row r="47" spans="1:8" ht="15.75" x14ac:dyDescent="0.3">
      <c r="A47" s="12" t="s">
        <v>410</v>
      </c>
      <c r="B47" s="12" t="s">
        <v>414</v>
      </c>
      <c r="C47" s="218">
        <v>138000</v>
      </c>
      <c r="D47" s="216" t="s">
        <v>455</v>
      </c>
    </row>
    <row r="48" spans="1:8" x14ac:dyDescent="0.2">
      <c r="A48" s="12" t="s">
        <v>451</v>
      </c>
      <c r="B48" s="12" t="s">
        <v>495</v>
      </c>
      <c r="C48" s="219">
        <f ca="1">C46/'Propeller Efficiency'!C28</f>
        <v>0.15997829789504911</v>
      </c>
      <c r="D48" s="36"/>
    </row>
    <row r="49" spans="1:9" ht="15.75" x14ac:dyDescent="0.3">
      <c r="A49" t="s">
        <v>238</v>
      </c>
      <c r="B49" s="12" t="s">
        <v>403</v>
      </c>
      <c r="C49" s="220">
        <f ca="1">IF(Prop_eff_formula="Wolf", (-0.0002*C47/1000+0.9001)*(1-e^(-0.134*(C47/1000)^(-0.3008)*C45)), IF(Prop_eff_formula="Truckenbrodt1", 0.9*2/(1+SQRT(1+2*C47/(C45^3))), 0.9*(2-2*C48^2*LN(1+1/C48^2))/(1+SQRT(1+(2*C47/(C45^3)))-2*C48^2*LN(1+1/C48^2))))</f>
        <v>0.69774204070353874</v>
      </c>
      <c r="D49" s="13"/>
      <c r="E49" s="7"/>
      <c r="I49" s="9"/>
    </row>
    <row r="50" spans="1:9" x14ac:dyDescent="0.2">
      <c r="A50" t="s">
        <v>212</v>
      </c>
      <c r="B50" s="18" t="s">
        <v>0</v>
      </c>
      <c r="C50" s="38">
        <f ca="1">(C40*1.2*C44*9.81)/(C37*C39*C42*SQRT(2)*C49)</f>
        <v>0.50565046458213248</v>
      </c>
      <c r="D50" s="36" t="s">
        <v>5</v>
      </c>
    </row>
    <row r="51" spans="1:9" ht="15.75" x14ac:dyDescent="0.3">
      <c r="A51" t="s">
        <v>251</v>
      </c>
      <c r="B51" s="221" t="s">
        <v>386</v>
      </c>
      <c r="C51" s="43">
        <f ca="1">C50*C33</f>
        <v>190.50381253131843</v>
      </c>
      <c r="D51" s="36" t="s">
        <v>387</v>
      </c>
    </row>
    <row r="52" spans="1:9" x14ac:dyDescent="0.2">
      <c r="B52" s="221"/>
      <c r="C52" s="38"/>
      <c r="D52" s="13"/>
    </row>
    <row r="53" spans="1:9" x14ac:dyDescent="0.2">
      <c r="D53" s="13"/>
    </row>
    <row r="54" spans="1:9" x14ac:dyDescent="0.2">
      <c r="A54" s="8" t="s">
        <v>124</v>
      </c>
    </row>
    <row r="55" spans="1:9" x14ac:dyDescent="0.2">
      <c r="A55" s="11" t="s">
        <v>125</v>
      </c>
    </row>
    <row r="56" spans="1:9" x14ac:dyDescent="0.2">
      <c r="A56" t="s">
        <v>126</v>
      </c>
      <c r="B56" t="s">
        <v>8</v>
      </c>
      <c r="C56" s="19">
        <v>12</v>
      </c>
    </row>
    <row r="57" spans="1:9" ht="15.75" x14ac:dyDescent="0.3">
      <c r="A57" t="s">
        <v>127</v>
      </c>
      <c r="B57" t="s">
        <v>48</v>
      </c>
      <c r="C57" s="4">
        <f>C42/1.2^2</f>
        <v>1.4236111111111109</v>
      </c>
    </row>
    <row r="58" spans="1:9" ht="15.75" x14ac:dyDescent="0.3">
      <c r="A58" t="s">
        <v>128</v>
      </c>
      <c r="B58" s="12" t="s">
        <v>526</v>
      </c>
      <c r="C58" s="45">
        <v>0.02</v>
      </c>
      <c r="E58" s="30" t="s">
        <v>37</v>
      </c>
      <c r="F58" s="27" t="s">
        <v>39</v>
      </c>
    </row>
    <row r="59" spans="1:9" x14ac:dyDescent="0.2">
      <c r="A59" t="s">
        <v>222</v>
      </c>
      <c r="B59" t="s">
        <v>223</v>
      </c>
      <c r="C59" s="45">
        <f>C30/1.3^2</f>
        <v>1.4792899408284022</v>
      </c>
      <c r="E59" s="74"/>
      <c r="F59" s="75"/>
    </row>
    <row r="60" spans="1:9" ht="15.75" x14ac:dyDescent="0.3">
      <c r="A60" t="s">
        <v>130</v>
      </c>
      <c r="B60" s="3" t="s">
        <v>49</v>
      </c>
      <c r="C60" s="9">
        <f>IF(0.05*(C59-1.3)+0.01&lt;0, 0, 0.05*(C57-1.3)+0.01)</f>
        <v>1.6180555555555545E-2</v>
      </c>
      <c r="E60" s="23">
        <v>2</v>
      </c>
      <c r="F60" s="20">
        <v>2.4E-2</v>
      </c>
    </row>
    <row r="61" spans="1:9" ht="15.75" x14ac:dyDescent="0.3">
      <c r="A61" t="s">
        <v>129</v>
      </c>
      <c r="B61" s="3" t="s">
        <v>50</v>
      </c>
      <c r="C61" s="45">
        <v>0</v>
      </c>
      <c r="E61" s="23">
        <v>3</v>
      </c>
      <c r="F61" s="20">
        <v>2.7E-2</v>
      </c>
    </row>
    <row r="62" spans="1:9" ht="15.75" x14ac:dyDescent="0.3">
      <c r="A62" t="s">
        <v>131</v>
      </c>
      <c r="B62" t="s">
        <v>38</v>
      </c>
      <c r="C62" s="15">
        <f>C58+C60+C61</f>
        <v>3.6180555555555549E-2</v>
      </c>
      <c r="E62" s="24">
        <v>4</v>
      </c>
      <c r="F62" s="28">
        <v>0.03</v>
      </c>
    </row>
    <row r="63" spans="1:9" x14ac:dyDescent="0.2">
      <c r="A63" t="s">
        <v>132</v>
      </c>
      <c r="B63" t="s">
        <v>95</v>
      </c>
      <c r="C63" s="41">
        <v>0.7</v>
      </c>
      <c r="F63" s="4"/>
    </row>
    <row r="64" spans="1:9" ht="15.75" x14ac:dyDescent="0.3">
      <c r="A64" t="s">
        <v>133</v>
      </c>
      <c r="B64" t="s">
        <v>52</v>
      </c>
      <c r="C64" s="4">
        <f>C57/(C62+C57^2/PI()/C56/C63)</f>
        <v>12.600647341050475</v>
      </c>
    </row>
    <row r="65" spans="1:9" x14ac:dyDescent="0.2">
      <c r="C65" s="4"/>
    </row>
    <row r="66" spans="1:9" x14ac:dyDescent="0.2">
      <c r="A66" s="11" t="s">
        <v>258</v>
      </c>
      <c r="C66" s="4"/>
    </row>
    <row r="67" spans="1:9" ht="15.75" x14ac:dyDescent="0.3">
      <c r="A67" t="s">
        <v>134</v>
      </c>
      <c r="B67" t="s">
        <v>37</v>
      </c>
      <c r="C67" s="19">
        <v>2</v>
      </c>
    </row>
    <row r="68" spans="1:9" ht="15.75" x14ac:dyDescent="0.3">
      <c r="A68" t="s">
        <v>399</v>
      </c>
      <c r="B68" s="12" t="s">
        <v>402</v>
      </c>
      <c r="C68" s="49">
        <f>C45</f>
        <v>59.269761488724534</v>
      </c>
      <c r="D68" s="36" t="s">
        <v>2</v>
      </c>
      <c r="E68" t="s">
        <v>446</v>
      </c>
      <c r="G68" s="217"/>
    </row>
    <row r="69" spans="1:9" ht="15.75" x14ac:dyDescent="0.3">
      <c r="A69" t="s">
        <v>410</v>
      </c>
      <c r="B69" s="12" t="s">
        <v>414</v>
      </c>
      <c r="C69" s="222">
        <f>C47</f>
        <v>138000</v>
      </c>
      <c r="D69" s="223" t="s">
        <v>455</v>
      </c>
      <c r="E69" t="s">
        <v>446</v>
      </c>
    </row>
    <row r="70" spans="1:9" x14ac:dyDescent="0.2">
      <c r="A70" s="12" t="s">
        <v>451</v>
      </c>
      <c r="B70" s="12" t="s">
        <v>495</v>
      </c>
      <c r="C70" s="219">
        <f ca="1">C68/'Propeller Efficiency'!C28</f>
        <v>0.22624347856854157</v>
      </c>
      <c r="D70" s="223"/>
    </row>
    <row r="71" spans="1:9" ht="15.75" x14ac:dyDescent="0.3">
      <c r="A71" s="12" t="s">
        <v>267</v>
      </c>
      <c r="B71" s="12" t="s">
        <v>403</v>
      </c>
      <c r="C71" s="220">
        <f ca="1">IF(Prop_eff_formula="Wolf", (-0.0002*C69/1000+0.9001)*(1-e^(-0.134*(C69/1000)^(-0.3008)*C68)), IF(Prop_eff_formula="Truckenbrodt1", 0.9*2/(1+SQRT(1+2*C69/(C68^3))), 0.9*(2-2*C70^2*LN(1+1/C70^2))/(1+SQRT(1+(2/C68^3*C69))-2*C70^2*LN(1+1/C70^2))))</f>
        <v>0.68674390567300092</v>
      </c>
      <c r="E71" s="7"/>
    </row>
    <row r="72" spans="1:9" x14ac:dyDescent="0.2">
      <c r="A72" t="s">
        <v>135</v>
      </c>
      <c r="B72" t="s">
        <v>39</v>
      </c>
      <c r="C72">
        <f>CHOOSE(C67-1,F60,F61,F62)</f>
        <v>2.4E-2</v>
      </c>
    </row>
    <row r="73" spans="1:9" ht="15.75" x14ac:dyDescent="0.3">
      <c r="A73" s="18" t="s">
        <v>251</v>
      </c>
      <c r="B73" s="18" t="s">
        <v>221</v>
      </c>
      <c r="C73" s="43">
        <f ca="1">(C67/(C67-1))*(1/C64+C72)*(C45*9.81/C71)</f>
        <v>175.02257929714835</v>
      </c>
      <c r="D73" s="36" t="s">
        <v>387</v>
      </c>
      <c r="I73" s="78" t="s">
        <v>255</v>
      </c>
    </row>
    <row r="74" spans="1:9" x14ac:dyDescent="0.2">
      <c r="I74" s="78" t="s">
        <v>256</v>
      </c>
    </row>
    <row r="75" spans="1:9" x14ac:dyDescent="0.2">
      <c r="I75" s="78" t="s">
        <v>257</v>
      </c>
    </row>
    <row r="76" spans="1:9" x14ac:dyDescent="0.2">
      <c r="A76" s="8" t="s">
        <v>136</v>
      </c>
    </row>
    <row r="77" spans="1:9" x14ac:dyDescent="0.2">
      <c r="A77" s="11" t="s">
        <v>137</v>
      </c>
    </row>
    <row r="78" spans="1:9" ht="15.75" x14ac:dyDescent="0.3">
      <c r="A78" t="s">
        <v>138</v>
      </c>
      <c r="B78" t="s">
        <v>53</v>
      </c>
      <c r="C78" s="4">
        <f>C30/1.3^2</f>
        <v>1.4792899408284022</v>
      </c>
      <c r="E78" s="29"/>
      <c r="F78" s="25"/>
      <c r="G78" s="27" t="s">
        <v>55</v>
      </c>
      <c r="H78" s="27" t="s">
        <v>56</v>
      </c>
    </row>
    <row r="79" spans="1:9" ht="15.75" x14ac:dyDescent="0.3">
      <c r="A79" t="s">
        <v>128</v>
      </c>
      <c r="B79" s="12" t="s">
        <v>527</v>
      </c>
      <c r="C79" s="45">
        <v>0.02</v>
      </c>
      <c r="E79" s="46" t="s">
        <v>51</v>
      </c>
      <c r="F79" s="1"/>
      <c r="G79" s="71">
        <v>0</v>
      </c>
      <c r="H79" s="70">
        <v>1.4999999999999999E-2</v>
      </c>
    </row>
    <row r="80" spans="1:9" ht="15.75" x14ac:dyDescent="0.3">
      <c r="A80" t="s">
        <v>130</v>
      </c>
      <c r="B80" s="3" t="s">
        <v>49</v>
      </c>
      <c r="C80" s="9">
        <f>IF(0.05*(C78-1.3)+0.01&lt;0, 0, 0.05*(C78-1.3)+0.01)</f>
        <v>1.8964497041420107E-2</v>
      </c>
    </row>
    <row r="81" spans="1:7" ht="15.75" x14ac:dyDescent="0.3">
      <c r="A81" t="s">
        <v>129</v>
      </c>
      <c r="B81" s="3" t="s">
        <v>50</v>
      </c>
      <c r="C81" s="45">
        <v>0</v>
      </c>
    </row>
    <row r="82" spans="1:7" x14ac:dyDescent="0.2">
      <c r="A82" t="s">
        <v>139</v>
      </c>
      <c r="B82" t="s">
        <v>55</v>
      </c>
      <c r="C82" s="33" t="s">
        <v>215</v>
      </c>
      <c r="E82" s="7" t="s">
        <v>140</v>
      </c>
    </row>
    <row r="83" spans="1:7" x14ac:dyDescent="0.2">
      <c r="B83" t="s">
        <v>56</v>
      </c>
      <c r="C83" s="39" t="str">
        <f>IF(C82="yes","no","yes")</f>
        <v>no</v>
      </c>
    </row>
    <row r="84" spans="1:7" ht="15.75" x14ac:dyDescent="0.3">
      <c r="A84" t="s">
        <v>141</v>
      </c>
      <c r="B84" s="3" t="s">
        <v>51</v>
      </c>
      <c r="C84" s="15">
        <f>IF(C82="yes",G79,H79)</f>
        <v>0</v>
      </c>
      <c r="E84" s="30" t="s">
        <v>37</v>
      </c>
      <c r="F84" s="27" t="s">
        <v>39</v>
      </c>
    </row>
    <row r="85" spans="1:7" ht="15.75" x14ac:dyDescent="0.3">
      <c r="A85" t="s">
        <v>131</v>
      </c>
      <c r="B85" t="s">
        <v>38</v>
      </c>
      <c r="C85" s="15">
        <f>C79+C80+C81+C84</f>
        <v>3.8964497041420104E-2</v>
      </c>
      <c r="E85" s="23">
        <v>2</v>
      </c>
      <c r="F85" s="20">
        <v>2.1000000000000001E-2</v>
      </c>
    </row>
    <row r="86" spans="1:7" ht="15.75" x14ac:dyDescent="0.3">
      <c r="A86" t="s">
        <v>142</v>
      </c>
      <c r="B86" t="s">
        <v>54</v>
      </c>
      <c r="C86" s="4">
        <f>C78/(C85+C78^2/PI()/C56/C63)</f>
        <v>12.136472681366007</v>
      </c>
      <c r="E86" s="23">
        <v>3</v>
      </c>
      <c r="F86" s="20">
        <v>2.4E-2</v>
      </c>
    </row>
    <row r="87" spans="1:7" x14ac:dyDescent="0.2">
      <c r="C87" s="4"/>
      <c r="E87" s="24">
        <v>4</v>
      </c>
      <c r="F87" s="28">
        <v>2.7E-2</v>
      </c>
    </row>
    <row r="88" spans="1:7" x14ac:dyDescent="0.2">
      <c r="A88" s="11" t="s">
        <v>258</v>
      </c>
      <c r="C88" s="4"/>
      <c r="E88" s="18"/>
      <c r="F88" s="18"/>
    </row>
    <row r="89" spans="1:7" ht="15.75" x14ac:dyDescent="0.3">
      <c r="A89" t="s">
        <v>112</v>
      </c>
      <c r="B89" s="18" t="s">
        <v>32</v>
      </c>
      <c r="C89" s="43">
        <f>C21</f>
        <v>58.132222222222225</v>
      </c>
      <c r="D89" s="36" t="s">
        <v>2</v>
      </c>
      <c r="E89" s="18"/>
      <c r="F89" s="18"/>
      <c r="G89" s="217"/>
    </row>
    <row r="90" spans="1:7" ht="15.75" x14ac:dyDescent="0.3">
      <c r="A90" s="12" t="s">
        <v>410</v>
      </c>
      <c r="B90" s="12" t="s">
        <v>414</v>
      </c>
      <c r="C90" s="222">
        <f>C47*C39/C28</f>
        <v>138000</v>
      </c>
      <c r="D90" s="223" t="s">
        <v>455</v>
      </c>
      <c r="F90" s="18"/>
    </row>
    <row r="91" spans="1:7" x14ac:dyDescent="0.2">
      <c r="A91" s="12" t="s">
        <v>451</v>
      </c>
      <c r="B91" s="12" t="s">
        <v>495</v>
      </c>
      <c r="C91" s="219">
        <f ca="1">C89/'Propeller Efficiency'!C28</f>
        <v>0.22190128392834971</v>
      </c>
      <c r="D91" s="224"/>
      <c r="F91" s="18"/>
    </row>
    <row r="92" spans="1:7" ht="15.75" x14ac:dyDescent="0.3">
      <c r="A92" s="12" t="s">
        <v>268</v>
      </c>
      <c r="B92" s="12" t="s">
        <v>403</v>
      </c>
      <c r="C92" s="220">
        <f ca="1">IF(Prop_eff_formula="Wolf", (-0.0002*C90/1000+0.9001)*(1-e^(-0.134*(C90/1000)^(-0.3008)*C89)), IF(Prop_eff_formula="Truckenbrodt1", 0.9*2/(1+SQRT(1+2*C90/(C89^3))), 0.9*(2-2*C91^2*LN(1+1/C91^2))/(1+SQRT(1+(2/C89^3*C90))-2*C91^2*LN(1+1/C91^2))))</f>
        <v>0.67963850344240562</v>
      </c>
      <c r="E92" s="7"/>
      <c r="F92" s="18"/>
    </row>
    <row r="93" spans="1:7" x14ac:dyDescent="0.2">
      <c r="A93" t="s">
        <v>135</v>
      </c>
      <c r="B93" t="s">
        <v>39</v>
      </c>
      <c r="C93">
        <f>CHOOSE(C67-1,F85,F86,F87)</f>
        <v>2.1000000000000001E-2</v>
      </c>
    </row>
    <row r="94" spans="1:7" ht="15.75" x14ac:dyDescent="0.3">
      <c r="A94" t="s">
        <v>251</v>
      </c>
      <c r="B94" s="18" t="s">
        <v>221</v>
      </c>
      <c r="C94" s="43">
        <f ca="1">(C67/(C67-1))*(1/C86+C93)*C31*(C45*9.81/C92)</f>
        <v>171.60533534348502</v>
      </c>
      <c r="D94" s="36" t="s">
        <v>387</v>
      </c>
    </row>
  </sheetData>
  <phoneticPr fontId="5" type="noConversion"/>
  <dataValidations count="1">
    <dataValidation type="list" allowBlank="1" showInputMessage="1" showErrorMessage="1" sqref="C82 C14" xr:uid="{00000000-0002-0000-0100-000000000000}">
      <formula1>"yes, no"</formula1>
    </dataValidation>
  </dataValidations>
  <pageMargins left="0.75" right="0.75" top="0.87" bottom="1" header="0.4921259845" footer="0.4921259845"/>
  <pageSetup paperSize="9" scale="96" orientation="landscape" horizontalDpi="300" verticalDpi="300"/>
  <headerFooter alignWithMargins="0">
    <oddHeader>&amp;A</oddHeader>
    <oddFooter>Seite &amp;P</oddFooter>
  </headerFooter>
  <rowBreaks count="2" manualBreakCount="2">
    <brk id="35" max="16383" man="1"/>
    <brk id="74" max="16383" man="1"/>
  </rowBreaks>
  <drawing r:id="rId1"/>
  <legacyDrawing r:id="rId2"/>
  <oleObjects>
    <mc:AlternateContent xmlns:mc="http://schemas.openxmlformats.org/markup-compatibility/2006">
      <mc:Choice Requires="x14">
        <oleObject progId="Equation.DSMT4" shapeId="2092" r:id="rId3">
          <objectPr defaultSize="0" r:id="rId4">
            <anchor moveWithCells="1">
              <from>
                <xdr:col>4</xdr:col>
                <xdr:colOff>0</xdr:colOff>
                <xdr:row>15</xdr:row>
                <xdr:rowOff>0</xdr:rowOff>
              </from>
              <to>
                <xdr:col>5</xdr:col>
                <xdr:colOff>47625</xdr:colOff>
                <xdr:row>16</xdr:row>
                <xdr:rowOff>28575</xdr:rowOff>
              </to>
            </anchor>
          </objectPr>
        </oleObject>
      </mc:Choice>
      <mc:Fallback>
        <oleObject progId="Equation.DSMT4" shapeId="2092" r:id="rId3"/>
      </mc:Fallback>
    </mc:AlternateContent>
    <mc:AlternateContent xmlns:mc="http://schemas.openxmlformats.org/markup-compatibility/2006">
      <mc:Choice Requires="x14">
        <oleObject progId="Equation.DSMT4" shapeId="2093" r:id="rId5">
          <objectPr defaultSize="0" r:id="rId6">
            <anchor moveWithCells="1">
              <from>
                <xdr:col>4</xdr:col>
                <xdr:colOff>0</xdr:colOff>
                <xdr:row>19</xdr:row>
                <xdr:rowOff>0</xdr:rowOff>
              </from>
              <to>
                <xdr:col>4</xdr:col>
                <xdr:colOff>352425</xdr:colOff>
                <xdr:row>21</xdr:row>
                <xdr:rowOff>38100</xdr:rowOff>
              </to>
            </anchor>
          </objectPr>
        </oleObject>
      </mc:Choice>
      <mc:Fallback>
        <oleObject progId="Equation.DSMT4" shapeId="2093" r:id="rId5"/>
      </mc:Fallback>
    </mc:AlternateContent>
    <mc:AlternateContent xmlns:mc="http://schemas.openxmlformats.org/markup-compatibility/2006">
      <mc:Choice Requires="x14">
        <oleObject progId="Equation.DSMT4" shapeId="2095" r:id="rId7">
          <objectPr defaultSize="0" r:id="rId8">
            <anchor moveWithCells="1">
              <from>
                <xdr:col>4</xdr:col>
                <xdr:colOff>9525</xdr:colOff>
                <xdr:row>25</xdr:row>
                <xdr:rowOff>9525</xdr:rowOff>
              </from>
              <to>
                <xdr:col>5</xdr:col>
                <xdr:colOff>85725</xdr:colOff>
                <xdr:row>27</xdr:row>
                <xdr:rowOff>28575</xdr:rowOff>
              </to>
            </anchor>
          </objectPr>
        </oleObject>
      </mc:Choice>
      <mc:Fallback>
        <oleObject progId="Equation.DSMT4" shapeId="2095" r:id="rId7"/>
      </mc:Fallback>
    </mc:AlternateContent>
    <mc:AlternateContent xmlns:mc="http://schemas.openxmlformats.org/markup-compatibility/2006">
      <mc:Choice Requires="x14">
        <oleObject progId="Equation.DSMT4" shapeId="2097" r:id="rId9">
          <objectPr defaultSize="0" autoPict="0" r:id="rId10">
            <anchor moveWithCells="1">
              <from>
                <xdr:col>4</xdr:col>
                <xdr:colOff>0</xdr:colOff>
                <xdr:row>29</xdr:row>
                <xdr:rowOff>19050</xdr:rowOff>
              </from>
              <to>
                <xdr:col>6</xdr:col>
                <xdr:colOff>9525</xdr:colOff>
                <xdr:row>30</xdr:row>
                <xdr:rowOff>47625</xdr:rowOff>
              </to>
            </anchor>
          </objectPr>
        </oleObject>
      </mc:Choice>
      <mc:Fallback>
        <oleObject progId="Equation.DSMT4" shapeId="2097" r:id="rId9"/>
      </mc:Fallback>
    </mc:AlternateContent>
    <mc:AlternateContent xmlns:mc="http://schemas.openxmlformats.org/markup-compatibility/2006">
      <mc:Choice Requires="x14">
        <oleObject progId="Equation.DSMT4" shapeId="2098" r:id="rId11">
          <objectPr defaultSize="0" r:id="rId12">
            <anchor moveWithCells="1">
              <from>
                <xdr:col>4</xdr:col>
                <xdr:colOff>0</xdr:colOff>
                <xdr:row>31</xdr:row>
                <xdr:rowOff>19050</xdr:rowOff>
              </from>
              <to>
                <xdr:col>5</xdr:col>
                <xdr:colOff>180975</xdr:colOff>
                <xdr:row>33</xdr:row>
                <xdr:rowOff>28575</xdr:rowOff>
              </to>
            </anchor>
          </objectPr>
        </oleObject>
      </mc:Choice>
      <mc:Fallback>
        <oleObject progId="Equation.DSMT4" shapeId="2098" r:id="rId11"/>
      </mc:Fallback>
    </mc:AlternateContent>
    <mc:AlternateContent xmlns:mc="http://schemas.openxmlformats.org/markup-compatibility/2006">
      <mc:Choice Requires="x14">
        <oleObject progId="Equation.DSMT4" shapeId="2101" r:id="rId13">
          <objectPr defaultSize="0" r:id="rId14">
            <anchor moveWithCells="1">
              <from>
                <xdr:col>4</xdr:col>
                <xdr:colOff>9525</xdr:colOff>
                <xdr:row>49</xdr:row>
                <xdr:rowOff>9525</xdr:rowOff>
              </from>
              <to>
                <xdr:col>7</xdr:col>
                <xdr:colOff>85725</xdr:colOff>
                <xdr:row>51</xdr:row>
                <xdr:rowOff>47625</xdr:rowOff>
              </to>
            </anchor>
          </objectPr>
        </oleObject>
      </mc:Choice>
      <mc:Fallback>
        <oleObject progId="Equation.DSMT4" shapeId="2101" r:id="rId13"/>
      </mc:Fallback>
    </mc:AlternateContent>
    <mc:AlternateContent xmlns:mc="http://schemas.openxmlformats.org/markup-compatibility/2006">
      <mc:Choice Requires="x14">
        <oleObject progId="Equation.DSMT4" shapeId="2102" r:id="rId15">
          <objectPr defaultSize="0" r:id="rId16">
            <anchor moveWithCells="1">
              <from>
                <xdr:col>4</xdr:col>
                <xdr:colOff>0</xdr:colOff>
                <xdr:row>63</xdr:row>
                <xdr:rowOff>0</xdr:rowOff>
              </from>
              <to>
                <xdr:col>5</xdr:col>
                <xdr:colOff>114300</xdr:colOff>
                <xdr:row>66</xdr:row>
                <xdr:rowOff>47625</xdr:rowOff>
              </to>
            </anchor>
          </objectPr>
        </oleObject>
      </mc:Choice>
      <mc:Fallback>
        <oleObject progId="Equation.DSMT4" shapeId="2102" r:id="rId15"/>
      </mc:Fallback>
    </mc:AlternateContent>
    <mc:AlternateContent xmlns:mc="http://schemas.openxmlformats.org/markup-compatibility/2006">
      <mc:Choice Requires="x14">
        <oleObject progId="Equation.DSMT4" shapeId="2103" r:id="rId17">
          <objectPr defaultSize="0" r:id="rId18">
            <anchor moveWithCells="1">
              <from>
                <xdr:col>4</xdr:col>
                <xdr:colOff>0</xdr:colOff>
                <xdr:row>71</xdr:row>
                <xdr:rowOff>9525</xdr:rowOff>
              </from>
              <to>
                <xdr:col>6</xdr:col>
                <xdr:colOff>257175</xdr:colOff>
                <xdr:row>74</xdr:row>
                <xdr:rowOff>9525</xdr:rowOff>
              </to>
            </anchor>
          </objectPr>
        </oleObject>
      </mc:Choice>
      <mc:Fallback>
        <oleObject progId="Equation.DSMT4" shapeId="2103" r:id="rId17"/>
      </mc:Fallback>
    </mc:AlternateContent>
    <mc:AlternateContent xmlns:mc="http://schemas.openxmlformats.org/markup-compatibility/2006">
      <mc:Choice Requires="x14">
        <oleObject progId="Equation.DSMT4" shapeId="2104" r:id="rId19">
          <objectPr defaultSize="0" autoPict="0" r:id="rId20">
            <anchor moveWithCells="1">
              <from>
                <xdr:col>4</xdr:col>
                <xdr:colOff>9525</xdr:colOff>
                <xdr:row>92</xdr:row>
                <xdr:rowOff>19050</xdr:rowOff>
              </from>
              <to>
                <xdr:col>7</xdr:col>
                <xdr:colOff>123825</xdr:colOff>
                <xdr:row>95</xdr:row>
                <xdr:rowOff>9525</xdr:rowOff>
              </to>
            </anchor>
          </objectPr>
        </oleObject>
      </mc:Choice>
      <mc:Fallback>
        <oleObject progId="Equation.DSMT4" shapeId="2104" r:id="rId19"/>
      </mc:Fallback>
    </mc:AlternateContent>
  </oleObjec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9"/>
  <sheetViews>
    <sheetView zoomScaleNormal="100" workbookViewId="0">
      <selection activeCell="A2" sqref="A2"/>
    </sheetView>
  </sheetViews>
  <sheetFormatPr baseColWidth="10" defaultColWidth="11.42578125" defaultRowHeight="12.75" x14ac:dyDescent="0.2"/>
  <cols>
    <col min="1" max="1" width="40.42578125" customWidth="1"/>
    <col min="2" max="2" width="20.85546875" bestFit="1" customWidth="1"/>
  </cols>
  <sheetData>
    <row r="1" spans="1:4" ht="15.75" x14ac:dyDescent="0.25">
      <c r="A1" s="105" t="s">
        <v>369</v>
      </c>
    </row>
    <row r="3" spans="1:4" ht="14.25" x14ac:dyDescent="0.25">
      <c r="A3" s="11" t="s">
        <v>143</v>
      </c>
    </row>
    <row r="5" spans="1:4" x14ac:dyDescent="0.2">
      <c r="A5" s="48" t="s">
        <v>144</v>
      </c>
    </row>
    <row r="6" spans="1:4" ht="15.75" x14ac:dyDescent="0.3">
      <c r="A6" t="s">
        <v>145</v>
      </c>
      <c r="B6" t="s">
        <v>95</v>
      </c>
      <c r="C6" s="41">
        <v>0.75</v>
      </c>
    </row>
    <row r="7" spans="1:4" ht="15.75" x14ac:dyDescent="0.3">
      <c r="A7" t="s">
        <v>147</v>
      </c>
      <c r="B7" t="s">
        <v>146</v>
      </c>
      <c r="C7" s="41">
        <v>4.0000000000000001E-3</v>
      </c>
      <c r="D7" t="s">
        <v>440</v>
      </c>
    </row>
    <row r="8" spans="1:4" ht="15.75" x14ac:dyDescent="0.3">
      <c r="A8" t="s">
        <v>108</v>
      </c>
      <c r="B8" t="s">
        <v>57</v>
      </c>
      <c r="C8" s="50">
        <f>1/2*SQRT(PI()*C6/C7)</f>
        <v>12.135161953473119</v>
      </c>
    </row>
    <row r="10" spans="1:4" x14ac:dyDescent="0.2">
      <c r="A10" s="48" t="s">
        <v>148</v>
      </c>
    </row>
    <row r="11" spans="1:4" ht="15.75" x14ac:dyDescent="0.3">
      <c r="A11" t="s">
        <v>108</v>
      </c>
      <c r="B11" s="18" t="s">
        <v>259</v>
      </c>
      <c r="C11">
        <v>11.07</v>
      </c>
      <c r="D11" t="s">
        <v>439</v>
      </c>
    </row>
    <row r="13" spans="1:4" x14ac:dyDescent="0.2">
      <c r="A13" s="48" t="s">
        <v>149</v>
      </c>
    </row>
    <row r="14" spans="1:4" ht="15.75" x14ac:dyDescent="0.3">
      <c r="A14" t="s">
        <v>108</v>
      </c>
      <c r="B14" t="s">
        <v>57</v>
      </c>
      <c r="C14" s="238">
        <v>11.22</v>
      </c>
      <c r="D14" s="12" t="s">
        <v>470</v>
      </c>
    </row>
    <row r="16" spans="1:4" ht="14.25" x14ac:dyDescent="0.25">
      <c r="A16" s="11" t="s">
        <v>150</v>
      </c>
    </row>
    <row r="18" spans="1:6" ht="15.75" x14ac:dyDescent="0.3">
      <c r="A18" t="s">
        <v>108</v>
      </c>
      <c r="B18" t="s">
        <v>153</v>
      </c>
      <c r="C18" s="37">
        <v>12.14</v>
      </c>
      <c r="E18" s="7" t="s">
        <v>140</v>
      </c>
    </row>
    <row r="19" spans="1:6" ht="15.75" x14ac:dyDescent="0.3">
      <c r="A19" t="s">
        <v>151</v>
      </c>
      <c r="B19" t="s">
        <v>58</v>
      </c>
      <c r="C19" s="19">
        <v>6</v>
      </c>
      <c r="E19" s="12" t="s">
        <v>506</v>
      </c>
    </row>
    <row r="20" spans="1:6" x14ac:dyDescent="0.2">
      <c r="A20" t="s">
        <v>126</v>
      </c>
      <c r="B20" t="s">
        <v>8</v>
      </c>
      <c r="C20">
        <f>'Preliminary Sizing I'!C56</f>
        <v>12</v>
      </c>
      <c r="F20" s="78"/>
    </row>
    <row r="21" spans="1:6" ht="15.75" x14ac:dyDescent="0.3">
      <c r="A21" t="s">
        <v>152</v>
      </c>
      <c r="B21" t="s">
        <v>59</v>
      </c>
      <c r="C21" s="49">
        <f>C18*SQRT(C20/C19)</f>
        <v>17.168552647209374</v>
      </c>
      <c r="F21" s="78"/>
    </row>
    <row r="25" spans="1:6" x14ac:dyDescent="0.2">
      <c r="C25" s="37"/>
      <c r="E25" s="7"/>
    </row>
    <row r="28" spans="1:6" x14ac:dyDescent="0.2">
      <c r="A28" s="12"/>
      <c r="B28" s="12"/>
    </row>
    <row r="29" spans="1:6" x14ac:dyDescent="0.2">
      <c r="A29" s="12"/>
    </row>
  </sheetData>
  <phoneticPr fontId="5" type="noConversion"/>
  <pageMargins left="0.75" right="0.75" top="1" bottom="1" header="0.4921259845" footer="0.4921259845"/>
  <pageSetup paperSize="9" orientation="landscape" horizontalDpi="96" verticalDpi="96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49"/>
  <sheetViews>
    <sheetView zoomScaleNormal="100" workbookViewId="0">
      <selection activeCell="A2" sqref="A2"/>
    </sheetView>
  </sheetViews>
  <sheetFormatPr baseColWidth="10" defaultRowHeight="12.75" x14ac:dyDescent="0.2"/>
  <cols>
    <col min="1" max="1" width="33.140625" customWidth="1"/>
    <col min="2" max="2" width="10.140625" customWidth="1"/>
    <col min="3" max="3" width="14.7109375" customWidth="1"/>
    <col min="5" max="5" width="13" customWidth="1"/>
  </cols>
  <sheetData>
    <row r="1" spans="1:8" ht="15.75" x14ac:dyDescent="0.25">
      <c r="A1" s="105" t="s">
        <v>516</v>
      </c>
    </row>
    <row r="4" spans="1:8" x14ac:dyDescent="0.2">
      <c r="A4" s="12" t="s">
        <v>483</v>
      </c>
      <c r="C4" s="231" t="s">
        <v>475</v>
      </c>
      <c r="D4" s="7" t="s">
        <v>140</v>
      </c>
    </row>
    <row r="5" spans="1:8" x14ac:dyDescent="0.2">
      <c r="A5" s="12" t="s">
        <v>469</v>
      </c>
      <c r="C5" s="172" t="str">
        <f>C4</f>
        <v>Truckenbrodt2</v>
      </c>
    </row>
    <row r="8" spans="1:8" x14ac:dyDescent="0.2">
      <c r="A8" s="12" t="s">
        <v>472</v>
      </c>
      <c r="B8" s="12" t="s">
        <v>476</v>
      </c>
      <c r="H8" s="12" t="s">
        <v>501</v>
      </c>
    </row>
    <row r="9" spans="1:8" x14ac:dyDescent="0.2">
      <c r="H9" s="12" t="s">
        <v>479</v>
      </c>
    </row>
    <row r="10" spans="1:8" x14ac:dyDescent="0.2">
      <c r="H10" s="12" t="s">
        <v>511</v>
      </c>
    </row>
    <row r="11" spans="1:8" x14ac:dyDescent="0.2">
      <c r="H11" s="12" t="s">
        <v>489</v>
      </c>
    </row>
    <row r="12" spans="1:8" x14ac:dyDescent="0.2">
      <c r="E12" s="12"/>
    </row>
    <row r="13" spans="1:8" x14ac:dyDescent="0.2">
      <c r="A13" s="12" t="s">
        <v>473</v>
      </c>
      <c r="B13" s="12" t="s">
        <v>476</v>
      </c>
      <c r="F13" s="12" t="s">
        <v>525</v>
      </c>
    </row>
    <row r="14" spans="1:8" x14ac:dyDescent="0.2">
      <c r="F14" s="12" t="s">
        <v>502</v>
      </c>
    </row>
    <row r="15" spans="1:8" x14ac:dyDescent="0.2">
      <c r="F15" s="12" t="s">
        <v>508</v>
      </c>
    </row>
    <row r="16" spans="1:8" x14ac:dyDescent="0.2">
      <c r="F16" s="12" t="s">
        <v>478</v>
      </c>
    </row>
    <row r="18" spans="1:17" x14ac:dyDescent="0.2">
      <c r="A18" s="12" t="s">
        <v>474</v>
      </c>
      <c r="B18" s="12" t="s">
        <v>476</v>
      </c>
      <c r="G18" s="12" t="s">
        <v>512</v>
      </c>
    </row>
    <row r="19" spans="1:17" x14ac:dyDescent="0.2">
      <c r="G19" s="12" t="s">
        <v>513</v>
      </c>
    </row>
    <row r="20" spans="1:17" x14ac:dyDescent="0.2">
      <c r="G20" s="12" t="s">
        <v>503</v>
      </c>
    </row>
    <row r="21" spans="1:17" x14ac:dyDescent="0.2">
      <c r="G21" s="12" t="s">
        <v>508</v>
      </c>
    </row>
    <row r="22" spans="1:17" x14ac:dyDescent="0.2">
      <c r="G22" s="12" t="s">
        <v>477</v>
      </c>
      <c r="Q22" s="12" t="s">
        <v>490</v>
      </c>
    </row>
    <row r="26" spans="1:17" x14ac:dyDescent="0.2">
      <c r="A26" s="12" t="s">
        <v>466</v>
      </c>
      <c r="C26" s="232" t="s">
        <v>462</v>
      </c>
      <c r="D26" s="7" t="s">
        <v>523</v>
      </c>
    </row>
    <row r="27" spans="1:17" x14ac:dyDescent="0.2">
      <c r="A27" s="12" t="s">
        <v>453</v>
      </c>
      <c r="B27" s="12" t="s">
        <v>266</v>
      </c>
      <c r="C27" s="234">
        <f>IF(C26="given",G27/60,IF(C26="statistic",G28/60,G29/60))</f>
        <v>20.2</v>
      </c>
      <c r="D27" s="209" t="s">
        <v>465</v>
      </c>
      <c r="F27" s="12" t="s">
        <v>462</v>
      </c>
      <c r="G27" s="218">
        <v>1212</v>
      </c>
      <c r="H27" s="216" t="s">
        <v>454</v>
      </c>
    </row>
    <row r="28" spans="1:17" x14ac:dyDescent="0.2">
      <c r="A28" s="12" t="s">
        <v>467</v>
      </c>
      <c r="B28" s="12" t="s">
        <v>452</v>
      </c>
      <c r="C28" s="234">
        <f ca="1">C27*PI()*'Preliminary Sizing II'!C137</f>
        <v>261.97334775671095</v>
      </c>
      <c r="D28" s="209" t="s">
        <v>2</v>
      </c>
      <c r="F28" s="12" t="s">
        <v>463</v>
      </c>
      <c r="G28" s="4">
        <f ca="1">1986.8-1.3267*'Preliminary Sizing II'!C137*'Preliminary Sizing II'!C78</f>
        <v>1228.7180802808386</v>
      </c>
      <c r="H28" s="12" t="s">
        <v>454</v>
      </c>
    </row>
    <row r="29" spans="1:17" x14ac:dyDescent="0.2">
      <c r="F29" s="12" t="s">
        <v>464</v>
      </c>
      <c r="G29" s="4">
        <f ca="1">SQRT((F43*'Preliminary Sizing II'!C77)^2-'Preliminary Sizing II'!C78^2)/(PI()*'Preliminary Sizing II'!C137)*60</f>
        <v>1193.59037276547</v>
      </c>
      <c r="H29" s="12" t="s">
        <v>454</v>
      </c>
    </row>
    <row r="30" spans="1:17" x14ac:dyDescent="0.2">
      <c r="I30" s="12" t="s">
        <v>468</v>
      </c>
    </row>
    <row r="31" spans="1:17" x14ac:dyDescent="0.2">
      <c r="I31" s="192" t="s">
        <v>456</v>
      </c>
      <c r="M31" s="209" t="str">
        <f ca="1">IF(86&lt;'Preliminary Sizing II'!C78,IF('Preliminary Sizing II'!C78&lt;185,"yes","no"),"no")</f>
        <v>yes</v>
      </c>
      <c r="N31" s="7" t="s">
        <v>514</v>
      </c>
    </row>
    <row r="32" spans="1:17" x14ac:dyDescent="0.2">
      <c r="I32" s="192" t="s">
        <v>457</v>
      </c>
      <c r="M32" s="209" t="str">
        <f ca="1">IF(2.6&lt;'Preliminary Sizing II'!C137,IF('Preliminary Sizing II'!C137&lt;4.2,"yes","no"),"no")</f>
        <v>yes</v>
      </c>
      <c r="N32" s="7" t="s">
        <v>514</v>
      </c>
    </row>
    <row r="35" spans="3:8" x14ac:dyDescent="0.2">
      <c r="E35" s="12"/>
      <c r="F35" s="12"/>
    </row>
    <row r="39" spans="3:8" x14ac:dyDescent="0.2">
      <c r="F39" s="12" t="s">
        <v>480</v>
      </c>
    </row>
    <row r="40" spans="3:8" x14ac:dyDescent="0.2">
      <c r="F40" s="12" t="s">
        <v>481</v>
      </c>
    </row>
    <row r="42" spans="3:8" ht="15.75" x14ac:dyDescent="0.3">
      <c r="C42" s="12" t="s">
        <v>515</v>
      </c>
      <c r="E42" s="12" t="s">
        <v>524</v>
      </c>
      <c r="F42" s="216">
        <v>35</v>
      </c>
      <c r="G42" s="7" t="s">
        <v>571</v>
      </c>
    </row>
    <row r="43" spans="3:8" ht="15.75" x14ac:dyDescent="0.3">
      <c r="C43" s="192" t="s">
        <v>504</v>
      </c>
      <c r="E43" s="12" t="s">
        <v>505</v>
      </c>
      <c r="F43" s="9">
        <f>F44/(SQRT(COS(F42/180*PI())))</f>
        <v>0.93915368304668423</v>
      </c>
    </row>
    <row r="44" spans="3:8" ht="15.75" x14ac:dyDescent="0.3">
      <c r="E44" s="12" t="s">
        <v>482</v>
      </c>
      <c r="F44" s="278">
        <v>0.85</v>
      </c>
      <c r="G44" s="12" t="s">
        <v>568</v>
      </c>
    </row>
    <row r="46" spans="3:8" x14ac:dyDescent="0.2">
      <c r="F46" s="12"/>
      <c r="G46" s="12"/>
      <c r="H46" s="12"/>
    </row>
    <row r="47" spans="3:8" x14ac:dyDescent="0.2">
      <c r="F47" s="9"/>
      <c r="G47" s="12"/>
      <c r="H47" s="9"/>
    </row>
    <row r="48" spans="3:8" x14ac:dyDescent="0.2">
      <c r="F48" s="9"/>
      <c r="H48" s="9"/>
    </row>
    <row r="49" spans="6:8" x14ac:dyDescent="0.2">
      <c r="F49" s="9"/>
      <c r="H49" s="9"/>
    </row>
  </sheetData>
  <dataValidations count="2">
    <dataValidation type="list" allowBlank="1" showInputMessage="1" showErrorMessage="1" sqref="C26" xr:uid="{00000000-0002-0000-0300-000000000000}">
      <formula1>"given, statistic, theory"</formula1>
    </dataValidation>
    <dataValidation type="list" allowBlank="1" showInputMessage="1" showErrorMessage="1" sqref="C4" xr:uid="{00000000-0002-0000-0300-000001000000}">
      <formula1>"Wolf, Truckenbrodt1, Truckenbrodt2"</formula1>
    </dataValidation>
  </dataValidation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T152"/>
  <sheetViews>
    <sheetView zoomScaleNormal="100" workbookViewId="0">
      <selection activeCell="A4" sqref="A4"/>
    </sheetView>
  </sheetViews>
  <sheetFormatPr baseColWidth="10" defaultColWidth="11.42578125" defaultRowHeight="12.75" x14ac:dyDescent="0.2"/>
  <cols>
    <col min="1" max="1" width="36.42578125" customWidth="1"/>
    <col min="2" max="2" width="18.42578125" customWidth="1"/>
    <col min="3" max="3" width="12.85546875" customWidth="1"/>
    <col min="4" max="4" width="14.140625" bestFit="1" customWidth="1"/>
    <col min="5" max="5" width="13.7109375" customWidth="1"/>
    <col min="6" max="6" width="15.85546875" customWidth="1"/>
    <col min="7" max="7" width="12.85546875" customWidth="1"/>
    <col min="8" max="8" width="16.42578125" bestFit="1" customWidth="1"/>
    <col min="9" max="10" width="11.42578125" customWidth="1"/>
    <col min="11" max="11" width="15.42578125" customWidth="1"/>
    <col min="12" max="12" width="11.42578125" customWidth="1"/>
    <col min="13" max="13" width="12.28515625" customWidth="1"/>
    <col min="14" max="18" width="11.42578125" customWidth="1"/>
    <col min="19" max="19" width="11.140625" customWidth="1"/>
    <col min="20" max="20" width="15.42578125" customWidth="1"/>
    <col min="21" max="21" width="16" customWidth="1"/>
  </cols>
  <sheetData>
    <row r="1" spans="1:15" ht="15.75" x14ac:dyDescent="0.25">
      <c r="A1" s="105" t="s">
        <v>359</v>
      </c>
      <c r="E1" s="78"/>
    </row>
    <row r="2" spans="1:15" x14ac:dyDescent="0.2">
      <c r="A2" s="11" t="s">
        <v>154</v>
      </c>
      <c r="E2" s="78"/>
    </row>
    <row r="3" spans="1:15" ht="14.25" x14ac:dyDescent="0.25">
      <c r="A3" s="11" t="s">
        <v>155</v>
      </c>
      <c r="E3" s="78"/>
    </row>
    <row r="4" spans="1:15" x14ac:dyDescent="0.2">
      <c r="E4" s="78"/>
    </row>
    <row r="5" spans="1:15" x14ac:dyDescent="0.2">
      <c r="A5" s="6" t="s">
        <v>9</v>
      </c>
      <c r="B5" s="1"/>
      <c r="C5" s="2" t="s">
        <v>156</v>
      </c>
      <c r="F5" s="6" t="s">
        <v>9</v>
      </c>
      <c r="G5" s="2" t="s">
        <v>156</v>
      </c>
    </row>
    <row r="6" spans="1:15" x14ac:dyDescent="0.2">
      <c r="C6" s="19"/>
      <c r="D6" s="12"/>
      <c r="I6" s="63"/>
      <c r="J6" s="63"/>
      <c r="K6" s="63"/>
      <c r="L6" s="63"/>
    </row>
    <row r="7" spans="1:15" ht="15.75" x14ac:dyDescent="0.3">
      <c r="A7" t="s">
        <v>209</v>
      </c>
      <c r="B7" s="18" t="s">
        <v>59</v>
      </c>
      <c r="C7" s="50">
        <f>'Max. Glide Ratio in Cruise'!C21</f>
        <v>17.168552647209374</v>
      </c>
      <c r="D7" s="12"/>
      <c r="F7" t="s">
        <v>227</v>
      </c>
      <c r="G7" s="34">
        <v>1.2</v>
      </c>
      <c r="H7" s="12" t="s">
        <v>356</v>
      </c>
    </row>
    <row r="8" spans="1:15" ht="15.75" x14ac:dyDescent="0.3">
      <c r="A8" t="s">
        <v>126</v>
      </c>
      <c r="B8" t="s">
        <v>8</v>
      </c>
      <c r="C8" s="12">
        <f>'Preliminary Sizing I'!C56</f>
        <v>12</v>
      </c>
      <c r="D8" s="12"/>
      <c r="F8" t="s">
        <v>226</v>
      </c>
      <c r="G8" s="9">
        <f>1/G7^2</f>
        <v>0.69444444444444442</v>
      </c>
      <c r="N8" s="12" t="s">
        <v>355</v>
      </c>
    </row>
    <row r="9" spans="1:15" ht="15.75" x14ac:dyDescent="0.3">
      <c r="A9" t="s">
        <v>157</v>
      </c>
      <c r="B9" t="s">
        <v>95</v>
      </c>
      <c r="C9" s="41">
        <v>0.85</v>
      </c>
      <c r="F9" t="s">
        <v>10</v>
      </c>
      <c r="G9" s="9">
        <f>CL_m/G7^2</f>
        <v>0.64807291622642271</v>
      </c>
    </row>
    <row r="10" spans="1:15" ht="15.75" x14ac:dyDescent="0.3">
      <c r="A10" t="s">
        <v>210</v>
      </c>
      <c r="B10" t="s">
        <v>28</v>
      </c>
      <c r="C10" s="15">
        <f>PI()*C8*C9/4/L_D_max^2</f>
        <v>2.7178324770368391E-2</v>
      </c>
      <c r="F10" t="s">
        <v>60</v>
      </c>
      <c r="G10" s="9">
        <f>(2*L_D_max)/(G8+1/G8)</f>
        <v>16.087139388327369</v>
      </c>
    </row>
    <row r="11" spans="1:15" x14ac:dyDescent="0.2">
      <c r="A11" t="s">
        <v>224</v>
      </c>
      <c r="B11" t="s">
        <v>225</v>
      </c>
      <c r="C11" s="4">
        <f>(PI()*C8*C9)/2/L_D_max</f>
        <v>0.93322499936604875</v>
      </c>
    </row>
    <row r="12" spans="1:15" ht="15.75" x14ac:dyDescent="0.3">
      <c r="A12" t="s">
        <v>211</v>
      </c>
      <c r="B12" t="s">
        <v>236</v>
      </c>
      <c r="C12" s="34">
        <v>0.44400000000000001</v>
      </c>
      <c r="E12" s="34"/>
      <c r="O12" t="s">
        <v>230</v>
      </c>
    </row>
    <row r="13" spans="1:15" ht="15.75" x14ac:dyDescent="0.3">
      <c r="A13" s="18" t="s">
        <v>424</v>
      </c>
      <c r="B13" t="s">
        <v>425</v>
      </c>
      <c r="C13" s="35">
        <f ca="1">C133*C71</f>
        <v>1167573.6701169866</v>
      </c>
      <c r="D13" s="36" t="s">
        <v>272</v>
      </c>
      <c r="F13" s="217"/>
    </row>
    <row r="14" spans="1:15" ht="15.75" x14ac:dyDescent="0.3">
      <c r="A14" t="s">
        <v>426</v>
      </c>
      <c r="B14" s="12" t="s">
        <v>427</v>
      </c>
      <c r="C14" s="222">
        <f ca="1">C13/(C72*1.225*C136)</f>
        <v>150159.84637864729</v>
      </c>
      <c r="D14" s="223" t="s">
        <v>455</v>
      </c>
    </row>
    <row r="15" spans="1:15" x14ac:dyDescent="0.2">
      <c r="A15" s="12" t="s">
        <v>451</v>
      </c>
      <c r="B15" s="12" t="s">
        <v>495</v>
      </c>
      <c r="C15" s="219">
        <f ca="1">C78/'Propeller Efficiency'!C28</f>
        <v>0.52836060873385959</v>
      </c>
      <c r="D15" s="223"/>
    </row>
    <row r="16" spans="1:15" ht="15.75" x14ac:dyDescent="0.3">
      <c r="A16" t="s">
        <v>208</v>
      </c>
      <c r="B16" s="12" t="s">
        <v>40</v>
      </c>
      <c r="C16" s="225">
        <f ca="1">C78</f>
        <v>138.41639749278292</v>
      </c>
      <c r="D16" s="223" t="s">
        <v>2</v>
      </c>
    </row>
    <row r="17" spans="1:15" ht="15.75" x14ac:dyDescent="0.3">
      <c r="A17" s="12" t="s">
        <v>269</v>
      </c>
      <c r="B17" s="12" t="s">
        <v>403</v>
      </c>
      <c r="C17" s="77">
        <f ca="1">IF(Prop_eff_formula="Wolf", (-0.0002*C14/1000+0.9001)*(1-e^(-0.134*(C14/1000)^(-0.3008)*C16)), IF(Prop_eff_formula="Truckenbrodt1", 0.9*2/(1+SQRT(1+2*C14/(C16^3))), 0.9*(2-2*C15^2*LN(1+1/C15^2))/(1+SQRT(1+2*C14/(C16^3))-2*C15^2*LN(1+1/C15^2))))</f>
        <v>0.85885119090987683</v>
      </c>
      <c r="D17" s="11"/>
      <c r="J17" s="12" t="s">
        <v>570</v>
      </c>
      <c r="O17" t="s">
        <v>231</v>
      </c>
    </row>
    <row r="18" spans="1:15" x14ac:dyDescent="0.2">
      <c r="D18" s="19"/>
      <c r="J18" s="12" t="s">
        <v>459</v>
      </c>
    </row>
    <row r="19" spans="1:15" x14ac:dyDescent="0.2">
      <c r="A19" s="1" t="s">
        <v>158</v>
      </c>
      <c r="B19" s="1"/>
      <c r="C19" s="1"/>
      <c r="D19" s="1"/>
      <c r="H19" s="280" t="s">
        <v>370</v>
      </c>
      <c r="I19" s="281">
        <v>1.8828998790472999</v>
      </c>
      <c r="J19" s="279">
        <v>1.8828998790472999</v>
      </c>
      <c r="K19" s="78"/>
      <c r="L19" s="78"/>
      <c r="M19" s="78"/>
      <c r="N19" s="78"/>
    </row>
    <row r="20" spans="1:15" x14ac:dyDescent="0.2">
      <c r="A20" s="18" t="s">
        <v>217</v>
      </c>
      <c r="B20" s="3" t="s">
        <v>11</v>
      </c>
      <c r="C20">
        <v>1.4</v>
      </c>
      <c r="H20" s="282" t="s">
        <v>371</v>
      </c>
      <c r="I20" s="283">
        <v>0.74093011138974996</v>
      </c>
      <c r="J20" s="279">
        <v>0.74093011138974996</v>
      </c>
      <c r="K20" s="78"/>
      <c r="L20" s="78"/>
      <c r="M20" s="78"/>
      <c r="N20" s="78"/>
    </row>
    <row r="21" spans="1:15" x14ac:dyDescent="0.2">
      <c r="A21" t="s">
        <v>159</v>
      </c>
      <c r="B21" t="s">
        <v>11</v>
      </c>
      <c r="C21">
        <v>9.81</v>
      </c>
      <c r="D21" t="s">
        <v>12</v>
      </c>
      <c r="H21" s="284" t="s">
        <v>372</v>
      </c>
      <c r="I21" s="285">
        <v>0.92866802165791495</v>
      </c>
      <c r="J21" s="279">
        <v>0.92866802165791495</v>
      </c>
    </row>
    <row r="22" spans="1:15" ht="15.75" x14ac:dyDescent="0.3">
      <c r="A22" t="s">
        <v>160</v>
      </c>
      <c r="B22" t="s">
        <v>29</v>
      </c>
      <c r="C22">
        <v>101325</v>
      </c>
      <c r="D22" t="s">
        <v>13</v>
      </c>
    </row>
    <row r="23" spans="1:15" x14ac:dyDescent="0.2">
      <c r="A23" t="s">
        <v>161</v>
      </c>
      <c r="B23" t="s">
        <v>95</v>
      </c>
      <c r="C23">
        <v>2.7182818281827998</v>
      </c>
    </row>
    <row r="24" spans="1:15" x14ac:dyDescent="0.2">
      <c r="A24" t="s">
        <v>232</v>
      </c>
      <c r="B24" t="s">
        <v>233</v>
      </c>
      <c r="C24" s="12">
        <f>6.5*10^-3</f>
        <v>6.5000000000000006E-3</v>
      </c>
      <c r="D24" t="s">
        <v>234</v>
      </c>
    </row>
    <row r="25" spans="1:15" x14ac:dyDescent="0.2">
      <c r="A25" t="s">
        <v>235</v>
      </c>
      <c r="B25" t="s">
        <v>18</v>
      </c>
      <c r="C25">
        <v>287.053</v>
      </c>
      <c r="D25" t="s">
        <v>396</v>
      </c>
    </row>
    <row r="26" spans="1:15" ht="15.75" x14ac:dyDescent="0.3">
      <c r="A26" s="12" t="s">
        <v>274</v>
      </c>
      <c r="B26" t="s">
        <v>397</v>
      </c>
      <c r="C26">
        <v>288.14999999999998</v>
      </c>
      <c r="D26" s="12" t="s">
        <v>17</v>
      </c>
    </row>
    <row r="27" spans="1:15" ht="13.5" thickBot="1" x14ac:dyDescent="0.25">
      <c r="H27" t="s">
        <v>248</v>
      </c>
      <c r="I27" s="61"/>
      <c r="J27" s="61" t="s">
        <v>245</v>
      </c>
      <c r="K27" s="61" t="s">
        <v>246</v>
      </c>
      <c r="L27" s="61" t="s">
        <v>250</v>
      </c>
      <c r="M27" s="61"/>
      <c r="N27" s="61" t="s">
        <v>249</v>
      </c>
      <c r="O27" s="61"/>
    </row>
    <row r="28" spans="1:15" ht="16.5" thickBot="1" x14ac:dyDescent="0.35">
      <c r="A28" s="177" t="s">
        <v>14</v>
      </c>
      <c r="B28" s="178" t="s">
        <v>15</v>
      </c>
      <c r="C28" s="130" t="s">
        <v>228</v>
      </c>
      <c r="D28" s="179" t="s">
        <v>229</v>
      </c>
      <c r="E28" s="180" t="s">
        <v>16</v>
      </c>
      <c r="F28" s="179" t="s">
        <v>390</v>
      </c>
      <c r="G28" s="181" t="s">
        <v>391</v>
      </c>
      <c r="H28" s="182" t="s">
        <v>392</v>
      </c>
      <c r="I28" s="179" t="s">
        <v>389</v>
      </c>
      <c r="J28" s="179" t="s">
        <v>393</v>
      </c>
      <c r="K28" s="179" t="s">
        <v>394</v>
      </c>
      <c r="L28" s="179" t="s">
        <v>394</v>
      </c>
      <c r="M28" s="179" t="s">
        <v>247</v>
      </c>
      <c r="N28" s="179" t="s">
        <v>395</v>
      </c>
      <c r="O28" s="201" t="s">
        <v>394</v>
      </c>
    </row>
    <row r="29" spans="1:15" x14ac:dyDescent="0.2">
      <c r="A29" s="183">
        <v>0</v>
      </c>
      <c r="B29" s="175">
        <f t="shared" ref="B29:B55" si="0">A29*1000*3.281</f>
        <v>0</v>
      </c>
      <c r="C29" s="184">
        <f t="shared" ref="C29:C51" si="1">T0-L*A29*10^3</f>
        <v>288.14999999999998</v>
      </c>
      <c r="D29" s="185">
        <f t="shared" ref="D29:D51" si="2">(C29/T0)^(g/Rconstant/L-1)</f>
        <v>1</v>
      </c>
      <c r="E29" s="175">
        <f t="shared" ref="E29:E51" si="3">p0*POWER(1-0.0225588*A29,5.25588)</f>
        <v>101325</v>
      </c>
      <c r="F29" s="175">
        <f>CL*M^2*gamma*E29/g/2</f>
        <v>923.70960039888871</v>
      </c>
      <c r="G29" s="186">
        <f>Acoef*M^mcoef*D29^ncoef</f>
        <v>1.031721907251872</v>
      </c>
      <c r="H29" s="196">
        <f ca="1">(M*I29*g)/G29/L_D/propefcruise</f>
        <v>103.97931522999652</v>
      </c>
      <c r="I29" s="193">
        <f t="shared" ref="I29:I55" si="4">SQRT(gamma*Rconstant*C29)</f>
        <v>340.29406508195228</v>
      </c>
      <c r="J29" s="193">
        <f ca="1">'Preliminary Sizing I'!C73</f>
        <v>175.02257929714835</v>
      </c>
      <c r="K29" s="193">
        <f ca="1">'Preliminary Sizing I'!C94</f>
        <v>171.60533534348502</v>
      </c>
      <c r="L29" s="193">
        <f ca="1">M29*F29</f>
        <v>467.0741885806741</v>
      </c>
      <c r="M29" s="185">
        <f ca="1">'Preliminary Sizing I'!$C$50</f>
        <v>0.50565046458213248</v>
      </c>
      <c r="N29" s="175">
        <f>'Preliminary Sizing I'!C33</f>
        <v>376.75000000000006</v>
      </c>
      <c r="O29" s="99">
        <v>0</v>
      </c>
    </row>
    <row r="30" spans="1:15" x14ac:dyDescent="0.2">
      <c r="A30" s="149">
        <v>0.5</v>
      </c>
      <c r="B30" s="86">
        <f t="shared" si="0"/>
        <v>1640.5</v>
      </c>
      <c r="C30" s="122">
        <f t="shared" si="1"/>
        <v>284.89999999999998</v>
      </c>
      <c r="D30" s="160">
        <f t="shared" si="2"/>
        <v>0.95285311865061828</v>
      </c>
      <c r="E30" s="118">
        <f t="shared" si="3"/>
        <v>95460.554929191218</v>
      </c>
      <c r="F30" s="86">
        <f>CL*M*M/g*gamma/2*E30</f>
        <v>870.24753069330745</v>
      </c>
      <c r="G30" s="32">
        <f t="shared" ref="G30:G55" si="5">Acoef*M^mcoef*D30^ncoef</f>
        <v>0.98647192976069475</v>
      </c>
      <c r="H30" s="197">
        <f t="shared" ref="H30:H55" ca="1" si="6">(M*I30*g)/G30/L_D/propefcruise</f>
        <v>108.13387993836257</v>
      </c>
      <c r="I30" s="151">
        <f t="shared" si="4"/>
        <v>338.36956065816554</v>
      </c>
      <c r="J30" s="151">
        <f ca="1">'Preliminary Sizing I'!C73</f>
        <v>175.02257929714835</v>
      </c>
      <c r="K30" s="151">
        <f ca="1">'Preliminary Sizing I'!C94</f>
        <v>171.60533534348502</v>
      </c>
      <c r="L30" s="151">
        <f t="shared" ref="L30:L47" ca="1" si="7">M30*F30</f>
        <v>440.04106819652458</v>
      </c>
      <c r="M30" s="161">
        <f ca="1">'Preliminary Sizing I'!$C$50</f>
        <v>0.50565046458213248</v>
      </c>
      <c r="N30" s="86"/>
      <c r="O30" s="100"/>
    </row>
    <row r="31" spans="1:15" x14ac:dyDescent="0.2">
      <c r="A31" s="149">
        <v>1</v>
      </c>
      <c r="B31" s="86">
        <f t="shared" si="0"/>
        <v>3281</v>
      </c>
      <c r="C31" s="122">
        <f t="shared" si="1"/>
        <v>281.64999999999998</v>
      </c>
      <c r="D31" s="160">
        <f t="shared" si="2"/>
        <v>0.90742612826950209</v>
      </c>
      <c r="E31" s="118">
        <f t="shared" si="3"/>
        <v>89874.02883009192</v>
      </c>
      <c r="F31" s="86">
        <f t="shared" ref="F31:F43" si="8">CL*M*M/g*gamma/2*E31</f>
        <v>819.31905508889611</v>
      </c>
      <c r="G31" s="32">
        <f t="shared" si="5"/>
        <v>0.94272133811542247</v>
      </c>
      <c r="H31" s="197">
        <f t="shared" ca="1" si="6"/>
        <v>112.50500255679407</v>
      </c>
      <c r="I31" s="151">
        <f t="shared" si="4"/>
        <v>336.43404766759261</v>
      </c>
      <c r="J31" s="151">
        <f ca="1">'Preliminary Sizing I'!C73</f>
        <v>175.02257929714835</v>
      </c>
      <c r="K31" s="151">
        <f ca="1">'Preliminary Sizing I'!C94</f>
        <v>171.60533534348502</v>
      </c>
      <c r="L31" s="151">
        <f t="shared" ca="1" si="7"/>
        <v>414.28906084669421</v>
      </c>
      <c r="M31" s="161">
        <f ca="1">'Preliminary Sizing I'!$C$50</f>
        <v>0.50565046458213248</v>
      </c>
      <c r="N31" s="86"/>
      <c r="O31" s="100"/>
    </row>
    <row r="32" spans="1:15" x14ac:dyDescent="0.2">
      <c r="A32" s="149">
        <v>1.5</v>
      </c>
      <c r="B32" s="86">
        <f t="shared" si="0"/>
        <v>4921.5</v>
      </c>
      <c r="C32" s="122">
        <f t="shared" si="1"/>
        <v>278.39999999999998</v>
      </c>
      <c r="D32" s="160">
        <f t="shared" si="2"/>
        <v>0.8636750526796233</v>
      </c>
      <c r="E32" s="118">
        <f t="shared" si="3"/>
        <v>84555.231558858533</v>
      </c>
      <c r="F32" s="86">
        <f t="shared" si="8"/>
        <v>770.83127712675764</v>
      </c>
      <c r="G32" s="32">
        <f t="shared" si="5"/>
        <v>0.90043689376483371</v>
      </c>
      <c r="H32" s="197">
        <f t="shared" ca="1" si="6"/>
        <v>117.10666891572116</v>
      </c>
      <c r="I32" s="151">
        <f t="shared" si="4"/>
        <v>334.48733500687285</v>
      </c>
      <c r="J32" s="151">
        <f ca="1">'Preliminary Sizing I'!C73</f>
        <v>175.02257929714835</v>
      </c>
      <c r="K32" s="151">
        <f ca="1">'Preliminary Sizing I'!C94</f>
        <v>171.60533534348502</v>
      </c>
      <c r="L32" s="151">
        <f t="shared" ca="1" si="7"/>
        <v>389.77119339358359</v>
      </c>
      <c r="M32" s="161">
        <f ca="1">'Preliminary Sizing I'!$C$50</f>
        <v>0.50565046458213248</v>
      </c>
      <c r="N32" s="86"/>
      <c r="O32" s="100"/>
    </row>
    <row r="33" spans="1:15" x14ac:dyDescent="0.2">
      <c r="A33" s="149">
        <v>2</v>
      </c>
      <c r="B33" s="86">
        <f t="shared" si="0"/>
        <v>6562</v>
      </c>
      <c r="C33" s="122">
        <f t="shared" si="1"/>
        <v>275.14999999999998</v>
      </c>
      <c r="D33" s="160">
        <f t="shared" si="2"/>
        <v>0.82155654929980437</v>
      </c>
      <c r="E33" s="118">
        <f t="shared" si="3"/>
        <v>79494.234812819603</v>
      </c>
      <c r="F33" s="86">
        <f t="shared" si="8"/>
        <v>724.69368737197158</v>
      </c>
      <c r="G33" s="32">
        <f t="shared" si="5"/>
        <v>0.85958572204364603</v>
      </c>
      <c r="H33" s="197">
        <f t="shared" ca="1" si="6"/>
        <v>121.95394647206528</v>
      </c>
      <c r="I33" s="151">
        <f t="shared" si="4"/>
        <v>332.52922597871003</v>
      </c>
      <c r="J33" s="151">
        <f ca="1">'Preliminary Sizing I'!C73</f>
        <v>175.02257929714835</v>
      </c>
      <c r="K33" s="151">
        <f ca="1">'Preliminary Sizing I'!C94</f>
        <v>171.60533534348502</v>
      </c>
      <c r="L33" s="151">
        <f t="shared" ca="1" si="7"/>
        <v>366.44169969937616</v>
      </c>
      <c r="M33" s="161">
        <f ca="1">'Preliminary Sizing I'!$C$50</f>
        <v>0.50565046458213248</v>
      </c>
      <c r="N33" s="86"/>
      <c r="O33" s="100"/>
    </row>
    <row r="34" spans="1:15" x14ac:dyDescent="0.2">
      <c r="A34" s="149">
        <v>2.5</v>
      </c>
      <c r="B34" s="86">
        <f t="shared" si="0"/>
        <v>8202.5</v>
      </c>
      <c r="C34" s="122">
        <f t="shared" si="1"/>
        <v>271.89999999999998</v>
      </c>
      <c r="D34" s="160">
        <f t="shared" si="2"/>
        <v>0.78102790725264437</v>
      </c>
      <c r="E34" s="118">
        <f t="shared" si="3"/>
        <v>74681.368341402413</v>
      </c>
      <c r="F34" s="86">
        <f t="shared" si="8"/>
        <v>680.81812887124636</v>
      </c>
      <c r="G34" s="32">
        <f t="shared" si="5"/>
        <v>0.82013531236699744</v>
      </c>
      <c r="H34" s="197">
        <f t="shared" ca="1" si="6"/>
        <v>127.06308208914453</v>
      </c>
      <c r="I34" s="151">
        <f t="shared" si="4"/>
        <v>330.55951805991003</v>
      </c>
      <c r="J34" s="151">
        <f ca="1">'Preliminary Sizing I'!C73</f>
        <v>175.02257929714835</v>
      </c>
      <c r="K34" s="151">
        <f ca="1">'Preliminary Sizing I'!C94</f>
        <v>171.60533534348502</v>
      </c>
      <c r="L34" s="151">
        <f t="shared" ca="1" si="7"/>
        <v>344.25600315968393</v>
      </c>
      <c r="M34" s="161">
        <f ca="1">'Preliminary Sizing I'!$C$50</f>
        <v>0.50565046458213248</v>
      </c>
      <c r="N34" s="86"/>
      <c r="O34" s="100"/>
    </row>
    <row r="35" spans="1:15" x14ac:dyDescent="0.2">
      <c r="A35" s="149">
        <v>3</v>
      </c>
      <c r="B35" s="86">
        <f t="shared" si="0"/>
        <v>9843</v>
      </c>
      <c r="C35" s="122">
        <f t="shared" si="1"/>
        <v>268.64999999999998</v>
      </c>
      <c r="D35" s="160">
        <f t="shared" si="2"/>
        <v>0.74204704545597633</v>
      </c>
      <c r="E35" s="118">
        <f t="shared" si="3"/>
        <v>70107.216168362953</v>
      </c>
      <c r="F35" s="86">
        <f t="shared" si="8"/>
        <v>639.11876271361507</v>
      </c>
      <c r="G35" s="32">
        <f t="shared" si="5"/>
        <v>0.78205351842732063</v>
      </c>
      <c r="H35" s="197">
        <f t="shared" ca="1" si="6"/>
        <v>132.45160996458941</v>
      </c>
      <c r="I35" s="151">
        <f t="shared" si="4"/>
        <v>328.57800265690338</v>
      </c>
      <c r="J35" s="151">
        <f ca="1">'Preliminary Sizing I'!C73</f>
        <v>175.02257929714835</v>
      </c>
      <c r="K35" s="151">
        <f ca="1">'Preliminary Sizing I'!C94</f>
        <v>171.60533534348502</v>
      </c>
      <c r="L35" s="151">
        <f t="shared" ca="1" si="7"/>
        <v>323.1706992892972</v>
      </c>
      <c r="M35" s="161">
        <f ca="1">'Preliminary Sizing I'!$C$50</f>
        <v>0.50565046458213248</v>
      </c>
      <c r="N35" s="86"/>
      <c r="O35" s="100"/>
    </row>
    <row r="36" spans="1:15" x14ac:dyDescent="0.2">
      <c r="A36" s="149">
        <v>3.5</v>
      </c>
      <c r="B36" s="86">
        <f t="shared" si="0"/>
        <v>11483.5</v>
      </c>
      <c r="C36" s="122">
        <f t="shared" si="1"/>
        <v>265.39999999999998</v>
      </c>
      <c r="D36" s="160">
        <f t="shared" si="2"/>
        <v>0.70457251069751925</v>
      </c>
      <c r="E36" s="118">
        <f t="shared" si="3"/>
        <v>65762.612825417091</v>
      </c>
      <c r="F36" s="86">
        <f t="shared" si="8"/>
        <v>599.51203369506879</v>
      </c>
      <c r="G36" s="32">
        <f t="shared" si="5"/>
        <v>0.74530855839366683</v>
      </c>
      <c r="H36" s="197">
        <f t="shared" ca="1" si="6"/>
        <v>138.13847089865371</v>
      </c>
      <c r="I36" s="151">
        <f t="shared" si="4"/>
        <v>326.58446484791648</v>
      </c>
      <c r="J36" s="151">
        <f ca="1">'Preliminary Sizing I'!C73</f>
        <v>175.02257929714835</v>
      </c>
      <c r="K36" s="151">
        <f ca="1">'Preliminary Sizing I'!C94</f>
        <v>171.60533534348502</v>
      </c>
      <c r="L36" s="151">
        <f t="shared" ca="1" si="7"/>
        <v>303.14353836049065</v>
      </c>
      <c r="M36" s="161">
        <f ca="1">'Preliminary Sizing I'!$C$50</f>
        <v>0.50565046458213248</v>
      </c>
      <c r="N36" s="86"/>
      <c r="O36" s="100"/>
    </row>
    <row r="37" spans="1:15" x14ac:dyDescent="0.2">
      <c r="A37" s="149">
        <v>4</v>
      </c>
      <c r="B37" s="86">
        <f t="shared" si="0"/>
        <v>13124</v>
      </c>
      <c r="C37" s="122">
        <f t="shared" si="1"/>
        <v>262.14999999999998</v>
      </c>
      <c r="D37" s="160">
        <f t="shared" si="2"/>
        <v>0.66856347569236174</v>
      </c>
      <c r="E37" s="118">
        <f t="shared" si="3"/>
        <v>61638.639597375557</v>
      </c>
      <c r="F37" s="86">
        <f t="shared" si="8"/>
        <v>561.91663608806209</v>
      </c>
      <c r="G37" s="32">
        <f t="shared" si="5"/>
        <v>0.70986901511353362</v>
      </c>
      <c r="H37" s="197">
        <f t="shared" ca="1" si="6"/>
        <v>144.14414425217649</v>
      </c>
      <c r="I37" s="151">
        <f t="shared" si="4"/>
        <v>324.57868311089067</v>
      </c>
      <c r="J37" s="151">
        <f ca="1">'Preliminary Sizing I'!C73</f>
        <v>175.02257929714835</v>
      </c>
      <c r="K37" s="151">
        <f ca="1">'Preliminary Sizing I'!C94</f>
        <v>171.60533534348502</v>
      </c>
      <c r="L37" s="151">
        <f t="shared" ca="1" si="7"/>
        <v>284.13340809435772</v>
      </c>
      <c r="M37" s="161">
        <f ca="1">'Preliminary Sizing I'!$C$50</f>
        <v>0.50565046458213248</v>
      </c>
      <c r="N37" s="86"/>
      <c r="O37" s="100"/>
    </row>
    <row r="38" spans="1:15" x14ac:dyDescent="0.2">
      <c r="A38" s="149">
        <v>4.5</v>
      </c>
      <c r="B38" s="86">
        <f t="shared" si="0"/>
        <v>14764.5</v>
      </c>
      <c r="C38" s="122">
        <f t="shared" si="1"/>
        <v>258.89999999999998</v>
      </c>
      <c r="D38" s="160">
        <f t="shared" si="2"/>
        <v>0.63397973712292621</v>
      </c>
      <c r="E38" s="118">
        <f t="shared" si="3"/>
        <v>57726.62077888479</v>
      </c>
      <c r="F38" s="86">
        <f t="shared" si="8"/>
        <v>526.25347951682068</v>
      </c>
      <c r="G38" s="32">
        <f t="shared" si="5"/>
        <v>0.67570383631726749</v>
      </c>
      <c r="H38" s="197">
        <f t="shared" ca="1" si="6"/>
        <v>150.49079412321487</v>
      </c>
      <c r="I38" s="151">
        <f t="shared" si="4"/>
        <v>322.56042903617299</v>
      </c>
      <c r="J38" s="151">
        <f ca="1">'Preliminary Sizing I'!C73</f>
        <v>175.02257929714835</v>
      </c>
      <c r="K38" s="151">
        <f ca="1">'Preliminary Sizing I'!C94</f>
        <v>171.60533534348502</v>
      </c>
      <c r="L38" s="151">
        <f t="shared" ca="1" si="7"/>
        <v>266.10031640564415</v>
      </c>
      <c r="M38" s="161">
        <f ca="1">'Preliminary Sizing I'!$C$50</f>
        <v>0.50565046458213248</v>
      </c>
      <c r="N38" s="86"/>
      <c r="O38" s="100"/>
    </row>
    <row r="39" spans="1:15" x14ac:dyDescent="0.2">
      <c r="A39" s="149">
        <v>5</v>
      </c>
      <c r="B39" s="86">
        <f t="shared" si="0"/>
        <v>16405</v>
      </c>
      <c r="C39" s="122">
        <f t="shared" si="1"/>
        <v>255.64999999999998</v>
      </c>
      <c r="D39" s="160">
        <f t="shared" si="2"/>
        <v>0.60078171366103017</v>
      </c>
      <c r="E39" s="118">
        <f t="shared" si="3"/>
        <v>54018.11994288049</v>
      </c>
      <c r="F39" s="86">
        <f t="shared" si="8"/>
        <v>492.44565493942633</v>
      </c>
      <c r="G39" s="32">
        <f t="shared" si="5"/>
        <v>0.64278233482509994</v>
      </c>
      <c r="H39" s="197">
        <f t="shared" ca="1" si="6"/>
        <v>157.20243147772015</v>
      </c>
      <c r="I39" s="151">
        <f t="shared" si="4"/>
        <v>320.52946702292439</v>
      </c>
      <c r="J39" s="151">
        <f ca="1">'Preliminary Sizing I'!C73</f>
        <v>175.02257929714835</v>
      </c>
      <c r="K39" s="151">
        <f ca="1">'Preliminary Sizing I'!C94</f>
        <v>171.60533534348502</v>
      </c>
      <c r="L39" s="151">
        <f t="shared" ca="1" si="7"/>
        <v>249.00537420157349</v>
      </c>
      <c r="M39" s="161">
        <f ca="1">'Preliminary Sizing I'!$C$50</f>
        <v>0.50565046458213248</v>
      </c>
      <c r="N39" s="86"/>
      <c r="O39" s="100"/>
    </row>
    <row r="40" spans="1:15" x14ac:dyDescent="0.2">
      <c r="A40" s="149">
        <v>5.5</v>
      </c>
      <c r="B40" s="86">
        <f t="shared" si="0"/>
        <v>18045.5</v>
      </c>
      <c r="C40" s="122">
        <f t="shared" si="1"/>
        <v>252.39999999999998</v>
      </c>
      <c r="D40" s="160">
        <f t="shared" si="2"/>
        <v>0.56893044397165604</v>
      </c>
      <c r="E40" s="118">
        <f t="shared" si="3"/>
        <v>50504.93622086104</v>
      </c>
      <c r="F40" s="86">
        <f t="shared" si="8"/>
        <v>460.41840073765513</v>
      </c>
      <c r="G40" s="32">
        <f t="shared" si="5"/>
        <v>0.61107418875688457</v>
      </c>
      <c r="H40" s="197">
        <f t="shared" ca="1" si="6"/>
        <v>164.30509420688455</v>
      </c>
      <c r="I40" s="151">
        <f t="shared" si="4"/>
        <v>318.48555395810337</v>
      </c>
      <c r="J40" s="151">
        <f ca="1">'Preliminary Sizing I'!C73</f>
        <v>175.02257929714835</v>
      </c>
      <c r="K40" s="151">
        <f ca="1">'Preliminary Sizing I'!C94</f>
        <v>171.60533534348502</v>
      </c>
      <c r="L40" s="151">
        <f t="shared" ca="1" si="7"/>
        <v>232.81077823515781</v>
      </c>
      <c r="M40" s="161">
        <f ca="1">'Preliminary Sizing I'!$C$50</f>
        <v>0.50565046458213248</v>
      </c>
      <c r="N40" s="86"/>
      <c r="O40" s="100"/>
    </row>
    <row r="41" spans="1:15" x14ac:dyDescent="0.2">
      <c r="A41" s="149">
        <v>6</v>
      </c>
      <c r="B41" s="86">
        <f t="shared" si="0"/>
        <v>19686</v>
      </c>
      <c r="C41" s="122">
        <f t="shared" si="1"/>
        <v>249.14999999999998</v>
      </c>
      <c r="D41" s="160">
        <f t="shared" si="2"/>
        <v>0.53838758469803505</v>
      </c>
      <c r="E41" s="118">
        <f t="shared" si="3"/>
        <v>47179.100595090968</v>
      </c>
      <c r="F41" s="86">
        <f t="shared" si="8"/>
        <v>430.09906891557313</v>
      </c>
      <c r="G41" s="32">
        <f t="shared" si="5"/>
        <v>0.58054944174461187</v>
      </c>
      <c r="H41" s="197">
        <f t="shared" ca="1" si="6"/>
        <v>171.82704735705411</v>
      </c>
      <c r="I41" s="151">
        <f t="shared" si="4"/>
        <v>316.42843887678612</v>
      </c>
      <c r="J41" s="151">
        <f ca="1">'Preliminary Sizing I'!C73</f>
        <v>175.02257929714835</v>
      </c>
      <c r="K41" s="151">
        <f ca="1">'Preliminary Sizing I'!C94</f>
        <v>171.60533534348502</v>
      </c>
      <c r="L41" s="151">
        <f t="shared" ca="1" si="7"/>
        <v>217.47979401350221</v>
      </c>
      <c r="M41" s="161">
        <f ca="1">'Preliminary Sizing I'!$C$50</f>
        <v>0.50565046458213248</v>
      </c>
      <c r="N41" s="86"/>
      <c r="O41" s="100"/>
    </row>
    <row r="42" spans="1:15" x14ac:dyDescent="0.2">
      <c r="A42" s="149">
        <v>6.5</v>
      </c>
      <c r="B42" s="86">
        <f t="shared" si="0"/>
        <v>21326.5</v>
      </c>
      <c r="C42" s="122">
        <f t="shared" si="1"/>
        <v>245.89999999999998</v>
      </c>
      <c r="D42" s="160">
        <f t="shared" si="2"/>
        <v>0.50911540842761904</v>
      </c>
      <c r="E42" s="118">
        <f t="shared" si="3"/>
        <v>44032.872202847873</v>
      </c>
      <c r="F42" s="86">
        <f t="shared" si="8"/>
        <v>401.41709140792437</v>
      </c>
      <c r="G42" s="32">
        <f t="shared" si="5"/>
        <v>0.55117850314776384</v>
      </c>
      <c r="H42" s="197">
        <f t="shared" ca="1" si="6"/>
        <v>179.7990060934055</v>
      </c>
      <c r="I42" s="151">
        <f t="shared" si="4"/>
        <v>314.35786260248045</v>
      </c>
      <c r="J42" s="151">
        <f ca="1">'Preliminary Sizing I'!C73</f>
        <v>175.02257929714835</v>
      </c>
      <c r="K42" s="151">
        <f ca="1">'Preliminary Sizing I'!C94</f>
        <v>171.60533534348502</v>
      </c>
      <c r="L42" s="151">
        <f t="shared" ca="1" si="7"/>
        <v>202.97673876162534</v>
      </c>
      <c r="M42" s="161">
        <f ca="1">'Preliminary Sizing I'!$C$50</f>
        <v>0.50565046458213248</v>
      </c>
      <c r="N42" s="86"/>
      <c r="O42" s="100"/>
    </row>
    <row r="43" spans="1:15" x14ac:dyDescent="0.2">
      <c r="A43" s="149">
        <v>7</v>
      </c>
      <c r="B43" s="86">
        <f t="shared" si="0"/>
        <v>22967</v>
      </c>
      <c r="C43" s="122">
        <f t="shared" si="1"/>
        <v>242.64999999999998</v>
      </c>
      <c r="D43" s="160">
        <f t="shared" si="2"/>
        <v>0.48107680163851568</v>
      </c>
      <c r="E43" s="118">
        <f t="shared" si="3"/>
        <v>41058.734652827428</v>
      </c>
      <c r="F43" s="86">
        <f t="shared" si="8"/>
        <v>374.30394649935579</v>
      </c>
      <c r="G43" s="32">
        <f t="shared" si="5"/>
        <v>0.52293214827159185</v>
      </c>
      <c r="H43" s="197">
        <f t="shared" ca="1" si="6"/>
        <v>188.25438432304031</v>
      </c>
      <c r="I43" s="151">
        <f t="shared" si="4"/>
        <v>312.27355736597355</v>
      </c>
      <c r="J43" s="151">
        <f ca="1">'Preliminary Sizing I'!C73</f>
        <v>175.02257929714835</v>
      </c>
      <c r="K43" s="151">
        <f ca="1">'Preliminary Sizing I'!C94</f>
        <v>171.60533534348502</v>
      </c>
      <c r="L43" s="151">
        <f t="shared" ca="1" si="7"/>
        <v>189.26696444232496</v>
      </c>
      <c r="M43" s="161">
        <f ca="1">'Preliminary Sizing I'!$C$50</f>
        <v>0.50565046458213248</v>
      </c>
      <c r="N43" s="86"/>
      <c r="O43" s="100"/>
    </row>
    <row r="44" spans="1:15" x14ac:dyDescent="0.2">
      <c r="A44" s="149">
        <v>7.5</v>
      </c>
      <c r="B44" s="86">
        <f t="shared" si="0"/>
        <v>24607.5</v>
      </c>
      <c r="C44" s="122">
        <f t="shared" si="1"/>
        <v>239.39999999999998</v>
      </c>
      <c r="D44" s="160">
        <f t="shared" si="2"/>
        <v>0.45423526262594088</v>
      </c>
      <c r="E44" s="118">
        <f t="shared" si="3"/>
        <v>38249.392353824274</v>
      </c>
      <c r="F44" s="86">
        <f t="shared" ref="F44:F55" si="9">CL*M*M/g*gamma/2*E44</f>
        <v>348.69312535555218</v>
      </c>
      <c r="G44" s="32">
        <f t="shared" si="5"/>
        <v>0.4957815185883952</v>
      </c>
      <c r="H44" s="197">
        <f t="shared" ca="1" si="6"/>
        <v>197.22957232521304</v>
      </c>
      <c r="I44" s="151">
        <f t="shared" si="4"/>
        <v>310.1752464011272</v>
      </c>
      <c r="J44" s="151">
        <f ca="1">'Preliminary Sizing I'!C73</f>
        <v>175.02257929714835</v>
      </c>
      <c r="K44" s="151">
        <f ca="1">'Preliminary Sizing I'!C94</f>
        <v>171.60533534348502</v>
      </c>
      <c r="L44" s="151">
        <f t="shared" ca="1" si="7"/>
        <v>176.31684083263076</v>
      </c>
      <c r="M44" s="161">
        <f ca="1">'Preliminary Sizing I'!$C$50</f>
        <v>0.50565046458213248</v>
      </c>
      <c r="N44" s="86"/>
      <c r="O44" s="100"/>
    </row>
    <row r="45" spans="1:15" x14ac:dyDescent="0.2">
      <c r="A45" s="149">
        <v>8</v>
      </c>
      <c r="B45" s="86">
        <f t="shared" si="0"/>
        <v>26248</v>
      </c>
      <c r="C45" s="122">
        <f t="shared" si="1"/>
        <v>236.14999999999998</v>
      </c>
      <c r="D45" s="160">
        <f t="shared" si="2"/>
        <v>0.42855489940822233</v>
      </c>
      <c r="E45" s="118">
        <f t="shared" si="3"/>
        <v>35597.766855809692</v>
      </c>
      <c r="F45" s="86">
        <f t="shared" si="9"/>
        <v>324.5200986673849</v>
      </c>
      <c r="G45" s="32">
        <f t="shared" si="5"/>
        <v>0.46969812196187771</v>
      </c>
      <c r="H45" s="197">
        <f t="shared" ca="1" si="6"/>
        <v>206.76424722611787</v>
      </c>
      <c r="I45" s="151">
        <f t="shared" si="4"/>
        <v>308.06264351589272</v>
      </c>
      <c r="J45" s="151">
        <f ca="1">'Preliminary Sizing I'!C73</f>
        <v>175.02257929714835</v>
      </c>
      <c r="K45" s="151">
        <f ca="1">'Preliminary Sizing I'!C94</f>
        <v>171.60533534348502</v>
      </c>
      <c r="L45" s="151">
        <f t="shared" ca="1" si="7"/>
        <v>164.09373865740267</v>
      </c>
      <c r="M45" s="161">
        <f ca="1">'Preliminary Sizing I'!$C$50</f>
        <v>0.50565046458213248</v>
      </c>
      <c r="N45" s="86"/>
      <c r="O45" s="100"/>
    </row>
    <row r="46" spans="1:15" x14ac:dyDescent="0.2">
      <c r="A46" s="149">
        <v>8.5</v>
      </c>
      <c r="B46" s="86">
        <f t="shared" si="0"/>
        <v>27888.5</v>
      </c>
      <c r="C46" s="122">
        <f t="shared" si="1"/>
        <v>232.89999999999998</v>
      </c>
      <c r="D46" s="160">
        <f t="shared" si="2"/>
        <v>0.40400042761187632</v>
      </c>
      <c r="E46" s="118">
        <f t="shared" si="3"/>
        <v>33096.993203529455</v>
      </c>
      <c r="F46" s="86">
        <f t="shared" si="9"/>
        <v>301.72228340919742</v>
      </c>
      <c r="G46" s="32">
        <f t="shared" si="5"/>
        <v>0.44465383287467114</v>
      </c>
      <c r="H46" s="197">
        <f t="shared" ca="1" si="6"/>
        <v>216.90172072496011</v>
      </c>
      <c r="I46" s="151">
        <f t="shared" si="4"/>
        <v>305.93545263666317</v>
      </c>
      <c r="J46" s="194">
        <f ca="1">'Preliminary Sizing I'!C73</f>
        <v>175.02257929714835</v>
      </c>
      <c r="K46" s="194">
        <f ca="1">'Preliminary Sizing I'!C94</f>
        <v>171.60533534348502</v>
      </c>
      <c r="L46" s="194">
        <f t="shared" ca="1" si="7"/>
        <v>152.56601278064255</v>
      </c>
      <c r="M46" s="165">
        <f ca="1">'Preliminary Sizing I'!$C$50</f>
        <v>0.50565046458213248</v>
      </c>
      <c r="N46" s="29"/>
      <c r="O46" s="100"/>
    </row>
    <row r="47" spans="1:15" x14ac:dyDescent="0.2">
      <c r="A47" s="164">
        <v>9</v>
      </c>
      <c r="B47" s="126">
        <f t="shared" si="0"/>
        <v>29529</v>
      </c>
      <c r="C47" s="122">
        <f t="shared" si="1"/>
        <v>229.64999999999998</v>
      </c>
      <c r="D47" s="160">
        <f t="shared" si="2"/>
        <v>0.3805371683352628</v>
      </c>
      <c r="E47" s="118">
        <f t="shared" si="3"/>
        <v>30740.416302747541</v>
      </c>
      <c r="F47" s="126">
        <f t="shared" si="9"/>
        <v>280.23900971237515</v>
      </c>
      <c r="G47" s="31">
        <f t="shared" si="5"/>
        <v>0.4206208926591154</v>
      </c>
      <c r="H47" s="198">
        <f t="shared" ca="1" si="6"/>
        <v>227.68932914120899</v>
      </c>
      <c r="I47" s="194">
        <f t="shared" si="4"/>
        <v>303.79336732390982</v>
      </c>
      <c r="J47" s="194">
        <f ca="1">'Preliminary Sizing I'!C73</f>
        <v>175.02257929714835</v>
      </c>
      <c r="K47" s="194">
        <f ca="1">'Preliminary Sizing I'!C94</f>
        <v>171.60533534348502</v>
      </c>
      <c r="L47" s="194">
        <f t="shared" ca="1" si="7"/>
        <v>141.70298545509925</v>
      </c>
      <c r="M47" s="165">
        <f ca="1">'Preliminary Sizing I'!$C$50</f>
        <v>0.50565046458213248</v>
      </c>
      <c r="N47" s="126">
        <f>'Preliminary Sizing I'!C33</f>
        <v>376.75000000000006</v>
      </c>
      <c r="O47" s="163">
        <v>350</v>
      </c>
    </row>
    <row r="48" spans="1:15" x14ac:dyDescent="0.2">
      <c r="A48" s="149">
        <v>9.5</v>
      </c>
      <c r="B48" s="86">
        <f t="shared" si="0"/>
        <v>31169.5</v>
      </c>
      <c r="C48" s="122">
        <f t="shared" si="1"/>
        <v>226.39999999999998</v>
      </c>
      <c r="D48" s="160">
        <f t="shared" si="2"/>
        <v>0.35813104599029655</v>
      </c>
      <c r="E48" s="118">
        <f t="shared" si="3"/>
        <v>28521.587299265913</v>
      </c>
      <c r="F48" s="126">
        <f t="shared" si="9"/>
        <v>260.0114878553855</v>
      </c>
      <c r="G48" s="31">
        <f t="shared" si="5"/>
        <v>0.39757190973138234</v>
      </c>
      <c r="H48" s="198">
        <f t="shared" ca="1" si="6"/>
        <v>239.17887162704122</v>
      </c>
      <c r="I48" s="194">
        <f t="shared" si="4"/>
        <v>301.63607025685769</v>
      </c>
      <c r="J48" s="194">
        <f ca="1">'Preliminary Sizing I'!C73</f>
        <v>175.02257929714835</v>
      </c>
      <c r="K48" s="194">
        <f ca="1">'Preliminary Sizing I'!C94</f>
        <v>171.60533534348502</v>
      </c>
      <c r="L48" s="194">
        <f t="shared" ref="L48:L55" ca="1" si="10">M48*F48</f>
        <v>131.47492963076721</v>
      </c>
      <c r="M48" s="165">
        <f ca="1">'Preliminary Sizing I'!$C$50</f>
        <v>0.50565046458213248</v>
      </c>
      <c r="N48" s="29"/>
      <c r="O48" s="100"/>
    </row>
    <row r="49" spans="1:15" x14ac:dyDescent="0.2">
      <c r="A49" s="149">
        <v>10</v>
      </c>
      <c r="B49" s="86">
        <f t="shared" si="0"/>
        <v>32810</v>
      </c>
      <c r="C49" s="122">
        <f t="shared" si="1"/>
        <v>223.14999999999998</v>
      </c>
      <c r="D49" s="160">
        <f t="shared" si="2"/>
        <v>0.33674858612168423</v>
      </c>
      <c r="E49" s="118">
        <f t="shared" si="3"/>
        <v>26434.259970852028</v>
      </c>
      <c r="F49" s="126">
        <f t="shared" si="9"/>
        <v>240.98277537148843</v>
      </c>
      <c r="G49" s="31">
        <f t="shared" si="5"/>
        <v>0.3754798598290458</v>
      </c>
      <c r="H49" s="198">
        <f t="shared" ca="1" si="6"/>
        <v>251.42710329450725</v>
      </c>
      <c r="I49" s="194">
        <f t="shared" si="4"/>
        <v>299.46323268474879</v>
      </c>
      <c r="J49" s="194">
        <f ca="1">'Preliminary Sizing I'!C73</f>
        <v>175.02257929714835</v>
      </c>
      <c r="K49" s="194">
        <f ca="1">'Preliminary Sizing I'!C94</f>
        <v>171.60533534348502</v>
      </c>
      <c r="L49" s="194">
        <f t="shared" ca="1" si="10"/>
        <v>121.85305232288482</v>
      </c>
      <c r="M49" s="165">
        <f ca="1">'Preliminary Sizing I'!$C$50</f>
        <v>0.50565046458213248</v>
      </c>
      <c r="N49" s="86"/>
      <c r="O49" s="100"/>
    </row>
    <row r="50" spans="1:15" x14ac:dyDescent="0.2">
      <c r="A50" s="149">
        <v>10.5</v>
      </c>
      <c r="B50" s="86">
        <f t="shared" si="0"/>
        <v>34450.5</v>
      </c>
      <c r="C50" s="122">
        <f t="shared" si="1"/>
        <v>219.89999999999998</v>
      </c>
      <c r="D50" s="160">
        <f t="shared" si="2"/>
        <v>0.31635691320312492</v>
      </c>
      <c r="E50" s="118">
        <f t="shared" si="3"/>
        <v>24472.387132210195</v>
      </c>
      <c r="F50" s="126">
        <f t="shared" si="9"/>
        <v>223.09774427535933</v>
      </c>
      <c r="G50" s="31">
        <f t="shared" si="5"/>
        <v>0.35431808625219252</v>
      </c>
      <c r="H50" s="198">
        <f t="shared" ca="1" si="6"/>
        <v>264.49629106852416</v>
      </c>
      <c r="I50" s="194">
        <f t="shared" si="4"/>
        <v>297.2745138420043</v>
      </c>
      <c r="J50" s="194">
        <f ca="1">'Preliminary Sizing I'!C73</f>
        <v>175.02257929714835</v>
      </c>
      <c r="K50" s="194">
        <f ca="1">'Preliminary Sizing I'!C94</f>
        <v>171.60533534348502</v>
      </c>
      <c r="L50" s="194">
        <f t="shared" ca="1" si="10"/>
        <v>112.80947804006125</v>
      </c>
      <c r="M50" s="165">
        <f ca="1">'Preliminary Sizing I'!$C$50</f>
        <v>0.50565046458213248</v>
      </c>
      <c r="N50" s="86"/>
      <c r="O50" s="100"/>
    </row>
    <row r="51" spans="1:15" ht="13.5" thickBot="1" x14ac:dyDescent="0.25">
      <c r="A51" s="150">
        <v>11</v>
      </c>
      <c r="B51" s="120">
        <f t="shared" si="0"/>
        <v>36091</v>
      </c>
      <c r="C51" s="121">
        <f t="shared" si="1"/>
        <v>216.64999999999998</v>
      </c>
      <c r="D51" s="162">
        <f t="shared" si="2"/>
        <v>0.29692374840989805</v>
      </c>
      <c r="E51" s="120">
        <f t="shared" si="3"/>
        <v>22630.117053135888</v>
      </c>
      <c r="F51" s="120">
        <f t="shared" si="9"/>
        <v>206.3030484098912</v>
      </c>
      <c r="G51" s="119">
        <f t="shared" si="5"/>
        <v>0.33406030010818338</v>
      </c>
      <c r="H51" s="199">
        <f t="shared" ca="1" si="6"/>
        <v>278.45484132407842</v>
      </c>
      <c r="I51" s="159">
        <f t="shared" si="4"/>
        <v>295.06956032434113</v>
      </c>
      <c r="J51" s="159">
        <f ca="1">'Preliminary Sizing I'!C73</f>
        <v>175.02257929714835</v>
      </c>
      <c r="K51" s="159">
        <f ca="1">'Preliminary Sizing I'!C94</f>
        <v>171.60533534348502</v>
      </c>
      <c r="L51" s="159">
        <f t="shared" ca="1" si="10"/>
        <v>104.31723227317168</v>
      </c>
      <c r="M51" s="162">
        <f ca="1">'Preliminary Sizing I'!$C$50</f>
        <v>0.50565046458213248</v>
      </c>
      <c r="N51" s="120"/>
      <c r="O51" s="128"/>
    </row>
    <row r="52" spans="1:15" x14ac:dyDescent="0.2">
      <c r="A52" s="173">
        <v>11.5</v>
      </c>
      <c r="B52" s="118">
        <f t="shared" si="0"/>
        <v>37731.5</v>
      </c>
      <c r="C52" s="122">
        <v>216.65</v>
      </c>
      <c r="D52" s="160">
        <f>0.29707*e^(-g/Rconstant/C52*(A52-11)*1000)</f>
        <v>0.27453990979951326</v>
      </c>
      <c r="E52" s="175">
        <f>22632*POWER(euler,-0.157688*(A52-11))</f>
        <v>20916.134232654775</v>
      </c>
      <c r="F52" s="174">
        <f t="shared" si="9"/>
        <v>190.67785831665489</v>
      </c>
      <c r="G52" s="22">
        <f t="shared" si="5"/>
        <v>0.310608631549526</v>
      </c>
      <c r="H52" s="200">
        <f t="shared" ca="1" si="6"/>
        <v>299.4788245106003</v>
      </c>
      <c r="I52" s="195">
        <f t="shared" si="4"/>
        <v>295.06956032434113</v>
      </c>
      <c r="J52" s="195">
        <f ca="1">'Preliminary Sizing I'!C73</f>
        <v>175.02257929714835</v>
      </c>
      <c r="K52" s="195">
        <f ca="1">'Preliminary Sizing I'!C94</f>
        <v>171.60533534348502</v>
      </c>
      <c r="L52" s="195">
        <f t="shared" ca="1" si="10"/>
        <v>96.416347643342604</v>
      </c>
      <c r="M52" s="171">
        <f ca="1">'Preliminary Sizing I'!$C$50</f>
        <v>0.50565046458213248</v>
      </c>
      <c r="N52" s="118"/>
      <c r="O52" s="176"/>
    </row>
    <row r="53" spans="1:15" x14ac:dyDescent="0.2">
      <c r="A53" s="149">
        <v>12</v>
      </c>
      <c r="B53" s="86">
        <f t="shared" si="0"/>
        <v>39372</v>
      </c>
      <c r="C53" s="85">
        <v>216.65</v>
      </c>
      <c r="D53" s="160">
        <f>0.29707*e^(-g/Rconstant/C53*(A53-11)*1000)</f>
        <v>0.2537185244983502</v>
      </c>
      <c r="E53" s="86">
        <f>22632*POWER(euler,-0.157688*(A53-11))</f>
        <v>19330.358396890817</v>
      </c>
      <c r="F53" s="86">
        <f t="shared" si="9"/>
        <v>176.22144219451584</v>
      </c>
      <c r="G53" s="31">
        <f t="shared" si="5"/>
        <v>0.2886712727369492</v>
      </c>
      <c r="H53" s="198">
        <f t="shared" ca="1" si="6"/>
        <v>322.23749518734775</v>
      </c>
      <c r="I53" s="194">
        <f t="shared" si="4"/>
        <v>295.06956032434113</v>
      </c>
      <c r="J53" s="194">
        <f ca="1">'Preliminary Sizing I'!C73</f>
        <v>175.02257929714835</v>
      </c>
      <c r="K53" s="194">
        <f ca="1">'Preliminary Sizing I'!C94</f>
        <v>171.60533534348502</v>
      </c>
      <c r="L53" s="194">
        <f t="shared" ca="1" si="10"/>
        <v>89.106454114990356</v>
      </c>
      <c r="M53" s="165">
        <f ca="1">'Preliminary Sizing I'!$C$50</f>
        <v>0.50565046458213248</v>
      </c>
      <c r="N53" s="86"/>
      <c r="O53" s="100"/>
    </row>
    <row r="54" spans="1:15" x14ac:dyDescent="0.2">
      <c r="A54" s="187">
        <v>12.5</v>
      </c>
      <c r="B54" s="169">
        <f t="shared" si="0"/>
        <v>41012.5</v>
      </c>
      <c r="C54" s="170">
        <v>216.65</v>
      </c>
      <c r="D54" s="160">
        <f>0.29707*e^(-g/Rconstant/C54*(A54-11)*1000)</f>
        <v>0.23447625418333271</v>
      </c>
      <c r="E54" s="86">
        <f>22632*POWER(euler,-0.157688*(A54-11))</f>
        <v>17864.809605633342</v>
      </c>
      <c r="F54" s="169">
        <f t="shared" si="9"/>
        <v>162.86105247492526</v>
      </c>
      <c r="G54" s="31">
        <f t="shared" si="5"/>
        <v>0.26828328397655338</v>
      </c>
      <c r="H54" s="198">
        <f t="shared" ca="1" si="6"/>
        <v>346.72569412646584</v>
      </c>
      <c r="I54" s="194">
        <f t="shared" si="4"/>
        <v>295.06956032434113</v>
      </c>
      <c r="J54" s="194">
        <f ca="1">'Preliminary Sizing I'!C73</f>
        <v>175.02257929714835</v>
      </c>
      <c r="K54" s="194">
        <f ca="1">'Preliminary Sizing I'!C94</f>
        <v>171.60533534348502</v>
      </c>
      <c r="L54" s="194">
        <f t="shared" ca="1" si="10"/>
        <v>82.350766846281033</v>
      </c>
      <c r="M54" s="165">
        <f ca="1">'Preliminary Sizing I'!$C$50</f>
        <v>0.50565046458213248</v>
      </c>
      <c r="N54" s="86"/>
      <c r="O54" s="100"/>
    </row>
    <row r="55" spans="1:15" ht="13.5" thickBot="1" x14ac:dyDescent="0.25">
      <c r="A55" s="188">
        <v>13</v>
      </c>
      <c r="B55" s="166">
        <f t="shared" si="0"/>
        <v>42653</v>
      </c>
      <c r="C55" s="167">
        <v>216.65</v>
      </c>
      <c r="D55" s="168">
        <f>0.29707*e^(-g/Rconstant/C55*(A55-11)*1000)</f>
        <v>0.21669333717177738</v>
      </c>
      <c r="E55" s="120">
        <f>22632*POWER(euler,-0.157688*(A55-11))</f>
        <v>16510.37273560655</v>
      </c>
      <c r="F55" s="189">
        <f t="shared" si="9"/>
        <v>150.51359291432354</v>
      </c>
      <c r="G55" s="119">
        <f t="shared" si="5"/>
        <v>0.24933523789473774</v>
      </c>
      <c r="H55" s="199">
        <f t="shared" ca="1" si="6"/>
        <v>373.07485554275695</v>
      </c>
      <c r="I55" s="159">
        <f t="shared" si="4"/>
        <v>295.06956032434113</v>
      </c>
      <c r="J55" s="159">
        <f ca="1">'Preliminary Sizing I'!C73</f>
        <v>175.02257929714835</v>
      </c>
      <c r="K55" s="159">
        <f ca="1">'Preliminary Sizing I'!C94</f>
        <v>171.60533534348502</v>
      </c>
      <c r="L55" s="159">
        <f t="shared" ca="1" si="10"/>
        <v>76.107268183053677</v>
      </c>
      <c r="M55" s="162">
        <f ca="1">'Preliminary Sizing I'!$C$50</f>
        <v>0.50565046458213248</v>
      </c>
      <c r="N55" s="166"/>
      <c r="O55" s="112"/>
    </row>
    <row r="56" spans="1:15" ht="13.5" thickBot="1" x14ac:dyDescent="0.25">
      <c r="A56" s="190" t="s">
        <v>419</v>
      </c>
      <c r="B56" s="191" t="s">
        <v>373</v>
      </c>
      <c r="C56" s="63"/>
      <c r="D56" s="172"/>
      <c r="E56" s="63"/>
      <c r="F56" s="63"/>
    </row>
    <row r="57" spans="1:15" x14ac:dyDescent="0.2">
      <c r="A57" s="129"/>
      <c r="B57" s="130"/>
      <c r="C57" s="63"/>
      <c r="D57" s="172"/>
      <c r="E57" s="63"/>
    </row>
    <row r="58" spans="1:15" x14ac:dyDescent="0.2">
      <c r="K58" s="12"/>
      <c r="L58" s="12"/>
    </row>
    <row r="59" spans="1:15" ht="15.75" x14ac:dyDescent="0.3">
      <c r="A59" t="s">
        <v>162</v>
      </c>
      <c r="B59" t="s">
        <v>41</v>
      </c>
      <c r="C59" s="226">
        <f>'Preliminary Sizing I'!C33</f>
        <v>376.75000000000006</v>
      </c>
      <c r="D59" s="214" t="s">
        <v>6</v>
      </c>
      <c r="E59" s="215" t="s">
        <v>388</v>
      </c>
      <c r="F59" s="210"/>
      <c r="G59" s="210"/>
      <c r="H59" s="210"/>
      <c r="I59" s="210"/>
      <c r="J59" s="210"/>
      <c r="K59" s="211"/>
      <c r="L59" s="211"/>
    </row>
    <row r="60" spans="1:15" ht="15.75" x14ac:dyDescent="0.3">
      <c r="A60" t="s">
        <v>251</v>
      </c>
      <c r="B60" t="s">
        <v>420</v>
      </c>
      <c r="C60" s="226">
        <f ca="1">'Preliminary Sizing I'!C51</f>
        <v>190.50381253131843</v>
      </c>
      <c r="D60" s="214" t="s">
        <v>387</v>
      </c>
      <c r="E60" s="215" t="s">
        <v>517</v>
      </c>
      <c r="F60" s="210"/>
      <c r="G60" s="210"/>
      <c r="H60" s="210"/>
      <c r="I60" s="210"/>
      <c r="J60" s="210"/>
      <c r="K60" s="211"/>
      <c r="L60" s="239"/>
    </row>
    <row r="61" spans="1:15" x14ac:dyDescent="0.2">
      <c r="A61" s="18" t="s">
        <v>434</v>
      </c>
      <c r="B61" t="s">
        <v>0</v>
      </c>
      <c r="C61" s="227">
        <f ca="1">H65+(C60-H64)*(H67-H65)/(H66-H64)</f>
        <v>312.46159612493574</v>
      </c>
      <c r="D61" s="223" t="s">
        <v>2</v>
      </c>
      <c r="E61" s="215" t="s">
        <v>518</v>
      </c>
      <c r="F61" s="210"/>
      <c r="G61" s="210"/>
      <c r="H61" s="210"/>
      <c r="I61" s="211"/>
      <c r="J61" s="210"/>
      <c r="K61" s="211"/>
      <c r="L61" s="239"/>
    </row>
    <row r="62" spans="1:15" ht="15.75" x14ac:dyDescent="0.3">
      <c r="A62" t="s">
        <v>432</v>
      </c>
      <c r="B62" t="s">
        <v>436</v>
      </c>
      <c r="C62" s="157">
        <f ca="1">M*C61</f>
        <v>138.73294867947146</v>
      </c>
      <c r="D62" s="12" t="s">
        <v>241</v>
      </c>
      <c r="E62" s="7"/>
      <c r="H62" s="12"/>
      <c r="K62" s="12"/>
    </row>
    <row r="63" spans="1:15" ht="15.75" x14ac:dyDescent="0.3">
      <c r="A63" t="s">
        <v>421</v>
      </c>
      <c r="B63" s="192" t="s">
        <v>391</v>
      </c>
      <c r="C63" s="77">
        <f ca="1">C62*g/($C$60*L_D*propefcruise)</f>
        <v>0.51706864835905697</v>
      </c>
      <c r="D63" s="19"/>
      <c r="E63" s="7"/>
      <c r="H63" s="7" t="s">
        <v>498</v>
      </c>
    </row>
    <row r="64" spans="1:15" x14ac:dyDescent="0.2">
      <c r="A64" t="s">
        <v>428</v>
      </c>
      <c r="B64" s="192" t="s">
        <v>229</v>
      </c>
      <c r="C64" s="77">
        <f ca="1">(C63/(Acoef*M^mcoef))^(1/ncoef)</f>
        <v>0.47527079142971485</v>
      </c>
      <c r="D64" s="12"/>
      <c r="E64" s="7"/>
      <c r="G64" s="12" t="s">
        <v>447</v>
      </c>
      <c r="H64" s="4">
        <f ca="1">INDEX(L29:L51, MATCH(C60, L29:L51, -1)+1)</f>
        <v>189.26696444232496</v>
      </c>
      <c r="J64" s="12"/>
    </row>
    <row r="65" spans="1:20" ht="15.75" x14ac:dyDescent="0.3">
      <c r="B65" s="192" t="s">
        <v>443</v>
      </c>
      <c r="C65" s="88">
        <f ca="1">T0*C64^(1/(g/Rconstant/L-1))</f>
        <v>241.95898696264743</v>
      </c>
      <c r="D65" s="12" t="s">
        <v>17</v>
      </c>
      <c r="E65" s="7"/>
      <c r="G65" s="12" t="s">
        <v>448</v>
      </c>
      <c r="H65" s="4" cm="1">
        <f t="array" aca="1" ref="H65" ca="1">INDEX(I29:I51, MATCH(C60, L29:L51,-1)+1)</f>
        <v>312.27355736597355</v>
      </c>
    </row>
    <row r="66" spans="1:20" x14ac:dyDescent="0.2">
      <c r="A66" t="s">
        <v>429</v>
      </c>
      <c r="B66" s="192" t="s">
        <v>240</v>
      </c>
      <c r="C66" s="88">
        <f ca="1">IF(C65 &lt; 216.65,216.65,C65)</f>
        <v>241.95898696264743</v>
      </c>
      <c r="D66" s="12" t="s">
        <v>17</v>
      </c>
      <c r="E66" s="7"/>
      <c r="G66" s="12" t="s">
        <v>449</v>
      </c>
      <c r="H66" s="4">
        <f ca="1">INDEX(L29:L51, MATCH(C60, L29:L51,-1))</f>
        <v>202.97673876162534</v>
      </c>
    </row>
    <row r="67" spans="1:20" ht="15.75" x14ac:dyDescent="0.3">
      <c r="A67" t="s">
        <v>273</v>
      </c>
      <c r="B67" s="192" t="s">
        <v>430</v>
      </c>
      <c r="C67" s="14">
        <f ca="1">(T0-C66)/L</f>
        <v>7106.3096980542377</v>
      </c>
      <c r="D67" s="12" t="s">
        <v>1</v>
      </c>
      <c r="E67" s="7"/>
      <c r="G67" s="12" t="s">
        <v>450</v>
      </c>
      <c r="H67" s="4">
        <f ca="1">INDEX(I29:I51, MATCH(C60, L29:L51,-1))</f>
        <v>314.35786260248045</v>
      </c>
    </row>
    <row r="68" spans="1:20" ht="15.75" x14ac:dyDescent="0.3">
      <c r="A68" t="s">
        <v>273</v>
      </c>
      <c r="B68" s="192" t="s">
        <v>430</v>
      </c>
      <c r="C68" s="14">
        <f ca="1">C67*3.281</f>
        <v>23315.802119315955</v>
      </c>
      <c r="D68" s="12" t="s">
        <v>431</v>
      </c>
      <c r="E68" s="7"/>
    </row>
    <row r="69" spans="1:20" x14ac:dyDescent="0.2">
      <c r="A69" s="18" t="s">
        <v>434</v>
      </c>
      <c r="B69" t="s">
        <v>0</v>
      </c>
      <c r="C69" s="157">
        <f ca="1">SQRT(gamma*Rconstant*C66)</f>
        <v>311.82859765971489</v>
      </c>
      <c r="D69" t="s">
        <v>2</v>
      </c>
      <c r="E69" s="7"/>
    </row>
    <row r="70" spans="1:20" ht="15.75" x14ac:dyDescent="0.3">
      <c r="A70" t="s">
        <v>435</v>
      </c>
      <c r="B70" t="s">
        <v>437</v>
      </c>
      <c r="C70" s="157">
        <f ca="1">M*C69</f>
        <v>138.45189736091342</v>
      </c>
      <c r="D70" s="12" t="s">
        <v>2</v>
      </c>
      <c r="E70" s="7"/>
    </row>
    <row r="71" spans="1:20" ht="15.75" x14ac:dyDescent="0.3">
      <c r="A71" t="s">
        <v>421</v>
      </c>
      <c r="B71" s="192" t="s">
        <v>391</v>
      </c>
      <c r="C71" s="77">
        <f ca="1">C70*g/($C$60*L_D*propefcruise)</f>
        <v>0.51602114791457276</v>
      </c>
      <c r="D71" s="19"/>
      <c r="E71" s="7"/>
    </row>
    <row r="72" spans="1:20" x14ac:dyDescent="0.2">
      <c r="A72" t="s">
        <v>428</v>
      </c>
      <c r="B72" s="192" t="s">
        <v>229</v>
      </c>
      <c r="C72" s="38">
        <f ca="1">(C71/(Acoef*M^mcoef))^(1/ncoef)</f>
        <v>0.47423409206642098</v>
      </c>
      <c r="D72" s="12"/>
      <c r="E72" s="7"/>
    </row>
    <row r="73" spans="1:20" ht="15.75" x14ac:dyDescent="0.3">
      <c r="B73" s="192" t="s">
        <v>443</v>
      </c>
      <c r="C73" s="88">
        <f ca="1">T0*C72^(1/(g/Rconstant/L-1))</f>
        <v>241.8349234995452</v>
      </c>
      <c r="D73" s="12" t="s">
        <v>17</v>
      </c>
      <c r="E73" s="7"/>
    </row>
    <row r="74" spans="1:20" x14ac:dyDescent="0.2">
      <c r="A74" t="s">
        <v>429</v>
      </c>
      <c r="B74" s="192" t="s">
        <v>240</v>
      </c>
      <c r="C74" s="88">
        <f ca="1">IF(C73 &lt; 216.65,216.65,C73)</f>
        <v>241.8349234995452</v>
      </c>
      <c r="D74" s="12" t="s">
        <v>17</v>
      </c>
      <c r="E74" s="7"/>
    </row>
    <row r="75" spans="1:20" ht="15.75" x14ac:dyDescent="0.3">
      <c r="A75" t="s">
        <v>273</v>
      </c>
      <c r="B75" s="192" t="s">
        <v>430</v>
      </c>
      <c r="C75" s="14">
        <f ca="1">(T0-C74)/L</f>
        <v>7125.3963846853503</v>
      </c>
      <c r="D75" s="12" t="s">
        <v>1</v>
      </c>
      <c r="E75" s="7"/>
    </row>
    <row r="76" spans="1:20" ht="15.75" x14ac:dyDescent="0.3">
      <c r="A76" t="s">
        <v>273</v>
      </c>
      <c r="B76" s="192" t="s">
        <v>430</v>
      </c>
      <c r="C76" s="35">
        <f ca="1">C75*3.281</f>
        <v>23378.425538152635</v>
      </c>
      <c r="D76" s="36" t="s">
        <v>431</v>
      </c>
      <c r="E76" s="7"/>
    </row>
    <row r="77" spans="1:20" x14ac:dyDescent="0.2">
      <c r="A77" s="18" t="s">
        <v>434</v>
      </c>
      <c r="B77" t="s">
        <v>0</v>
      </c>
      <c r="C77" s="157">
        <f ca="1">SQRT(gamma*Rconstant*C74)</f>
        <v>311.74864300176341</v>
      </c>
      <c r="D77" t="s">
        <v>2</v>
      </c>
      <c r="E77" s="7"/>
    </row>
    <row r="78" spans="1:20" ht="15.75" x14ac:dyDescent="0.3">
      <c r="A78" t="s">
        <v>433</v>
      </c>
      <c r="B78" t="s">
        <v>438</v>
      </c>
      <c r="C78" s="43">
        <f ca="1">M*C77</f>
        <v>138.41639749278295</v>
      </c>
      <c r="D78" s="36" t="s">
        <v>2</v>
      </c>
      <c r="E78" s="7"/>
    </row>
    <row r="79" spans="1:20" x14ac:dyDescent="0.2">
      <c r="R79" s="76"/>
      <c r="T79" s="13"/>
    </row>
    <row r="80" spans="1:20" x14ac:dyDescent="0.2">
      <c r="A80" s="12"/>
      <c r="B80" s="12"/>
      <c r="C80" s="34"/>
      <c r="D80" s="36"/>
      <c r="E80" s="7"/>
      <c r="R80" s="76"/>
      <c r="T80" s="13"/>
    </row>
    <row r="81" spans="1:7" x14ac:dyDescent="0.2">
      <c r="C81" s="77"/>
      <c r="E81" s="78" t="s">
        <v>260</v>
      </c>
    </row>
    <row r="82" spans="1:7" x14ac:dyDescent="0.2">
      <c r="A82" t="s">
        <v>109</v>
      </c>
      <c r="B82" s="14" t="s">
        <v>98</v>
      </c>
      <c r="C82" s="5">
        <v>1852</v>
      </c>
      <c r="D82" t="s">
        <v>99</v>
      </c>
      <c r="E82" s="78" t="s">
        <v>261</v>
      </c>
    </row>
    <row r="83" spans="1:7" x14ac:dyDescent="0.2">
      <c r="A83" t="s">
        <v>163</v>
      </c>
      <c r="B83" t="s">
        <v>18</v>
      </c>
      <c r="C83" s="154">
        <v>758</v>
      </c>
      <c r="D83" s="19" t="s">
        <v>97</v>
      </c>
      <c r="E83" s="78" t="s">
        <v>374</v>
      </c>
    </row>
    <row r="84" spans="1:7" x14ac:dyDescent="0.2">
      <c r="A84" t="s">
        <v>163</v>
      </c>
      <c r="B84" t="s">
        <v>18</v>
      </c>
      <c r="C84" s="40">
        <f>C83*C82</f>
        <v>1403816</v>
      </c>
      <c r="D84" t="s">
        <v>1</v>
      </c>
    </row>
    <row r="85" spans="1:7" ht="15.75" x14ac:dyDescent="0.3">
      <c r="A85" t="s">
        <v>164</v>
      </c>
      <c r="B85" t="s">
        <v>42</v>
      </c>
      <c r="C85" s="156">
        <v>87</v>
      </c>
      <c r="D85" t="s">
        <v>97</v>
      </c>
      <c r="E85" t="s">
        <v>166</v>
      </c>
      <c r="F85">
        <v>200</v>
      </c>
      <c r="G85" t="s">
        <v>97</v>
      </c>
    </row>
    <row r="86" spans="1:7" ht="15.75" x14ac:dyDescent="0.3">
      <c r="A86" t="s">
        <v>164</v>
      </c>
      <c r="B86" t="s">
        <v>42</v>
      </c>
      <c r="C86" s="40">
        <f>C85*C82</f>
        <v>161124</v>
      </c>
      <c r="D86" t="s">
        <v>1</v>
      </c>
      <c r="E86" s="11" t="s">
        <v>214</v>
      </c>
    </row>
    <row r="87" spans="1:7" ht="15.75" x14ac:dyDescent="0.3">
      <c r="A87" s="11" t="s">
        <v>237</v>
      </c>
      <c r="B87" t="s">
        <v>20</v>
      </c>
      <c r="C87" s="33" t="s">
        <v>215</v>
      </c>
      <c r="E87" s="54" t="s">
        <v>19</v>
      </c>
      <c r="F87" s="68" t="s">
        <v>43</v>
      </c>
      <c r="G87" s="69"/>
    </row>
    <row r="88" spans="1:7" x14ac:dyDescent="0.2">
      <c r="B88" t="s">
        <v>68</v>
      </c>
      <c r="C88" s="80" t="str">
        <f>IF(C87="yes","no","yes")</f>
        <v>no</v>
      </c>
      <c r="E88" s="26" t="s">
        <v>20</v>
      </c>
      <c r="F88" s="72">
        <f>C86</f>
        <v>161124</v>
      </c>
      <c r="G88" s="73" t="s">
        <v>1</v>
      </c>
    </row>
    <row r="89" spans="1:7" x14ac:dyDescent="0.2">
      <c r="A89" s="16" t="s">
        <v>165</v>
      </c>
      <c r="C89" s="87">
        <v>0.05</v>
      </c>
      <c r="E89" s="66" t="s">
        <v>68</v>
      </c>
      <c r="F89" s="1">
        <f>C84*C89+C86</f>
        <v>231314.8</v>
      </c>
      <c r="G89" s="21" t="s">
        <v>1</v>
      </c>
    </row>
    <row r="90" spans="1:7" x14ac:dyDescent="0.2">
      <c r="C90" s="9"/>
    </row>
    <row r="91" spans="1:7" ht="15.75" x14ac:dyDescent="0.3">
      <c r="A91" t="s">
        <v>168</v>
      </c>
      <c r="B91" t="s">
        <v>43</v>
      </c>
      <c r="C91" s="153">
        <f>IF(C87="yes",F88,F89)</f>
        <v>161124</v>
      </c>
      <c r="D91" t="s">
        <v>1</v>
      </c>
      <c r="E91" s="7"/>
    </row>
    <row r="92" spans="1:7" ht="15.75" x14ac:dyDescent="0.3">
      <c r="A92" t="s">
        <v>375</v>
      </c>
      <c r="B92" t="s">
        <v>239</v>
      </c>
      <c r="C92" s="83">
        <v>5.5000000000000003E-8</v>
      </c>
      <c r="D92" s="19" t="s">
        <v>270</v>
      </c>
      <c r="E92" t="s">
        <v>166</v>
      </c>
      <c r="F92" s="152">
        <v>5.5000000000000003E-8</v>
      </c>
      <c r="G92" s="12" t="s">
        <v>270</v>
      </c>
    </row>
    <row r="93" spans="1:7" x14ac:dyDescent="0.2">
      <c r="C93" s="34"/>
      <c r="E93" s="11" t="s">
        <v>167</v>
      </c>
      <c r="F93" s="67"/>
    </row>
    <row r="94" spans="1:7" ht="15.75" x14ac:dyDescent="0.3">
      <c r="A94" t="s">
        <v>169</v>
      </c>
      <c r="B94" t="s">
        <v>61</v>
      </c>
      <c r="C94" s="5">
        <f ca="1">(C17*L_D)/C92/g</f>
        <v>25607374.334163927</v>
      </c>
      <c r="D94" t="s">
        <v>1</v>
      </c>
      <c r="E94" s="54" t="s">
        <v>19</v>
      </c>
      <c r="F94" s="68" t="s">
        <v>64</v>
      </c>
      <c r="G94" s="69"/>
    </row>
    <row r="95" spans="1:7" ht="15.75" x14ac:dyDescent="0.3">
      <c r="A95" t="s">
        <v>170</v>
      </c>
      <c r="B95" t="s">
        <v>62</v>
      </c>
      <c r="C95" s="9">
        <f ca="1">POWER(e,-C84/C94)</f>
        <v>0.9466548009066249</v>
      </c>
      <c r="E95" s="26" t="s">
        <v>20</v>
      </c>
      <c r="F95">
        <v>2700</v>
      </c>
      <c r="G95" s="20" t="s">
        <v>21</v>
      </c>
    </row>
    <row r="96" spans="1:7" ht="15.75" x14ac:dyDescent="0.3">
      <c r="A96" t="s">
        <v>376</v>
      </c>
      <c r="B96" t="s">
        <v>63</v>
      </c>
      <c r="C96" s="9">
        <f ca="1">POWER(e,-C91/C94)</f>
        <v>0.99372766002001778</v>
      </c>
      <c r="E96" s="66" t="s">
        <v>68</v>
      </c>
      <c r="F96" s="1">
        <v>1800</v>
      </c>
      <c r="G96" s="21" t="s">
        <v>21</v>
      </c>
    </row>
    <row r="97" spans="1:7" x14ac:dyDescent="0.2">
      <c r="C97" s="9"/>
    </row>
    <row r="98" spans="1:7" ht="15.75" x14ac:dyDescent="0.3">
      <c r="A98" t="s">
        <v>171</v>
      </c>
      <c r="B98" t="s">
        <v>64</v>
      </c>
      <c r="C98" s="153">
        <f>IF(C87="yes",F95,F96)</f>
        <v>2700</v>
      </c>
      <c r="D98" t="s">
        <v>21</v>
      </c>
      <c r="E98" s="7"/>
    </row>
    <row r="99" spans="1:7" ht="15.75" x14ac:dyDescent="0.3">
      <c r="A99" t="s">
        <v>377</v>
      </c>
      <c r="B99" t="s">
        <v>65</v>
      </c>
      <c r="C99" s="83">
        <f>C92</f>
        <v>5.5000000000000003E-8</v>
      </c>
      <c r="D99" s="19" t="s">
        <v>270</v>
      </c>
    </row>
    <row r="100" spans="1:7" ht="15.75" x14ac:dyDescent="0.3">
      <c r="A100" t="s">
        <v>172</v>
      </c>
      <c r="B100" t="s">
        <v>66</v>
      </c>
      <c r="C100" s="5">
        <f ca="1">C94/C62</f>
        <v>184580.33637940756</v>
      </c>
      <c r="D100" t="s">
        <v>21</v>
      </c>
    </row>
    <row r="101" spans="1:7" ht="15.75" x14ac:dyDescent="0.3">
      <c r="A101" t="s">
        <v>173</v>
      </c>
      <c r="B101" t="s">
        <v>67</v>
      </c>
      <c r="C101" s="9">
        <f ca="1">POWER(e,-C98/C100)</f>
        <v>0.98547868917352555</v>
      </c>
    </row>
    <row r="102" spans="1:7" x14ac:dyDescent="0.2">
      <c r="C102" s="9"/>
      <c r="F102" s="228"/>
      <c r="G102" s="228"/>
    </row>
    <row r="103" spans="1:7" x14ac:dyDescent="0.2">
      <c r="C103" s="81"/>
      <c r="F103" s="229"/>
      <c r="G103" s="63"/>
    </row>
    <row r="104" spans="1:7" ht="15.75" x14ac:dyDescent="0.3">
      <c r="A104" t="s">
        <v>174</v>
      </c>
      <c r="B104" t="s">
        <v>70</v>
      </c>
      <c r="C104" s="45">
        <v>0.99</v>
      </c>
      <c r="D104" s="11"/>
      <c r="E104" s="12" t="s">
        <v>458</v>
      </c>
      <c r="F104" s="9"/>
      <c r="G104" s="9"/>
    </row>
    <row r="105" spans="1:7" ht="15.75" x14ac:dyDescent="0.3">
      <c r="A105" t="s">
        <v>175</v>
      </c>
      <c r="B105" t="s">
        <v>69</v>
      </c>
      <c r="C105" s="45">
        <v>0.995</v>
      </c>
      <c r="D105" s="11"/>
      <c r="E105" s="12" t="s">
        <v>458</v>
      </c>
      <c r="F105" s="9"/>
      <c r="G105" s="9"/>
    </row>
    <row r="106" spans="1:7" ht="15.75" x14ac:dyDescent="0.3">
      <c r="A106" t="s">
        <v>176</v>
      </c>
      <c r="B106" t="s">
        <v>71</v>
      </c>
      <c r="C106" s="45">
        <v>0.995</v>
      </c>
      <c r="D106" s="11"/>
      <c r="E106" s="12" t="s">
        <v>458</v>
      </c>
      <c r="F106" s="9"/>
      <c r="G106" s="9"/>
    </row>
    <row r="107" spans="1:7" ht="15.75" x14ac:dyDescent="0.3">
      <c r="A107" t="s">
        <v>177</v>
      </c>
      <c r="B107" t="s">
        <v>72</v>
      </c>
      <c r="C107" s="45">
        <v>0.98499999999999999</v>
      </c>
      <c r="D107" s="11"/>
      <c r="E107" s="12" t="s">
        <v>458</v>
      </c>
      <c r="F107" s="9"/>
      <c r="G107" s="15"/>
    </row>
    <row r="108" spans="1:7" ht="15.75" x14ac:dyDescent="0.3">
      <c r="A108" t="s">
        <v>178</v>
      </c>
      <c r="B108" t="s">
        <v>73</v>
      </c>
      <c r="C108" s="45">
        <v>0.98499999999999999</v>
      </c>
      <c r="D108" s="11"/>
      <c r="E108" s="12" t="s">
        <v>458</v>
      </c>
      <c r="F108" s="9"/>
      <c r="G108" s="9"/>
    </row>
    <row r="109" spans="1:7" ht="15.75" x14ac:dyDescent="0.3">
      <c r="A109" t="s">
        <v>179</v>
      </c>
      <c r="B109" t="s">
        <v>74</v>
      </c>
      <c r="C109" s="45">
        <v>0.995</v>
      </c>
      <c r="D109" s="11"/>
      <c r="E109" s="12" t="s">
        <v>458</v>
      </c>
      <c r="F109" s="9"/>
      <c r="G109" s="9"/>
    </row>
    <row r="110" spans="1:7" x14ac:dyDescent="0.2">
      <c r="C110" s="9"/>
    </row>
    <row r="111" spans="1:7" ht="15.75" x14ac:dyDescent="0.3">
      <c r="A111" t="s">
        <v>180</v>
      </c>
      <c r="B111" t="s">
        <v>75</v>
      </c>
      <c r="C111" s="9">
        <f ca="1">C106*C107*C95*C108*C109</f>
        <v>0.90930643437138903</v>
      </c>
    </row>
    <row r="112" spans="1:7" ht="15.75" x14ac:dyDescent="0.3">
      <c r="A112" t="s">
        <v>181</v>
      </c>
      <c r="B112" t="s">
        <v>76</v>
      </c>
      <c r="C112" s="9">
        <f ca="1">C107*C96*C101*C108</f>
        <v>0.95013885076039506</v>
      </c>
    </row>
    <row r="113" spans="1:9" ht="15.75" x14ac:dyDescent="0.3">
      <c r="A113" t="s">
        <v>182</v>
      </c>
      <c r="B113" t="s">
        <v>77</v>
      </c>
      <c r="C113" s="9">
        <f ca="1">C111*C112</f>
        <v>0.86396737054266415</v>
      </c>
    </row>
    <row r="114" spans="1:9" ht="15.75" x14ac:dyDescent="0.3">
      <c r="A114" s="12" t="s">
        <v>507</v>
      </c>
      <c r="B114" t="s">
        <v>78</v>
      </c>
      <c r="C114" s="9">
        <f ca="1">1-C113</f>
        <v>0.13603262945733585</v>
      </c>
    </row>
    <row r="115" spans="1:9" x14ac:dyDescent="0.2">
      <c r="C115" s="9"/>
    </row>
    <row r="116" spans="1:9" ht="15.75" x14ac:dyDescent="0.3">
      <c r="A116" t="s">
        <v>183</v>
      </c>
      <c r="B116" t="s">
        <v>79</v>
      </c>
      <c r="C116" s="9">
        <f>F129/F127</f>
        <v>0.58991228070175439</v>
      </c>
      <c r="E116" t="s">
        <v>378</v>
      </c>
    </row>
    <row r="117" spans="1:9" ht="15.75" x14ac:dyDescent="0.3">
      <c r="A117" t="s">
        <v>183</v>
      </c>
      <c r="B117" t="s">
        <v>79</v>
      </c>
      <c r="C117" s="233">
        <v>0.53500000000000003</v>
      </c>
      <c r="E117" s="12" t="s">
        <v>423</v>
      </c>
    </row>
    <row r="118" spans="1:9" ht="15.75" x14ac:dyDescent="0.3">
      <c r="A118" t="s">
        <v>183</v>
      </c>
      <c r="B118" t="s">
        <v>79</v>
      </c>
      <c r="C118" s="34">
        <f>C116</f>
        <v>0.58991228070175439</v>
      </c>
      <c r="E118" s="7" t="s">
        <v>140</v>
      </c>
    </row>
    <row r="119" spans="1:9" x14ac:dyDescent="0.2">
      <c r="C119" s="34"/>
    </row>
    <row r="120" spans="1:9" x14ac:dyDescent="0.2">
      <c r="A120" s="11" t="s">
        <v>184</v>
      </c>
      <c r="B120" t="s">
        <v>185</v>
      </c>
      <c r="C120" s="33" t="s">
        <v>215</v>
      </c>
      <c r="E120" s="7" t="s">
        <v>140</v>
      </c>
    </row>
    <row r="121" spans="1:9" x14ac:dyDescent="0.2">
      <c r="B121" t="s">
        <v>186</v>
      </c>
      <c r="C121" s="80" t="str">
        <f>IF(C120="yes","no","yes")</f>
        <v>no</v>
      </c>
    </row>
    <row r="122" spans="1:9" ht="15.75" x14ac:dyDescent="0.3">
      <c r="A122" t="s">
        <v>187</v>
      </c>
      <c r="B122" t="s">
        <v>80</v>
      </c>
      <c r="C122" s="153">
        <f>IF(C120="yes",G123,H123)</f>
        <v>93</v>
      </c>
      <c r="D122" t="s">
        <v>22</v>
      </c>
      <c r="E122" s="29" t="s">
        <v>81</v>
      </c>
      <c r="F122" s="54"/>
      <c r="G122" s="27" t="s">
        <v>206</v>
      </c>
      <c r="H122" s="27" t="s">
        <v>207</v>
      </c>
    </row>
    <row r="123" spans="1:9" ht="15.75" x14ac:dyDescent="0.3">
      <c r="A123" t="s">
        <v>188</v>
      </c>
      <c r="B123" t="s">
        <v>82</v>
      </c>
      <c r="C123" s="154">
        <v>70</v>
      </c>
      <c r="E123" s="24" t="s">
        <v>80</v>
      </c>
      <c r="F123" s="1"/>
      <c r="G123" s="51">
        <v>93</v>
      </c>
      <c r="H123" s="47">
        <v>97.5</v>
      </c>
    </row>
    <row r="124" spans="1:9" ht="15.75" x14ac:dyDescent="0.3">
      <c r="A124" t="s">
        <v>189</v>
      </c>
      <c r="B124" t="s">
        <v>84</v>
      </c>
      <c r="C124" s="154">
        <v>0</v>
      </c>
      <c r="D124" s="19" t="s">
        <v>22</v>
      </c>
      <c r="H124" s="12"/>
    </row>
    <row r="125" spans="1:9" ht="15.75" x14ac:dyDescent="0.3">
      <c r="A125" t="s">
        <v>190</v>
      </c>
      <c r="B125" t="s">
        <v>83</v>
      </c>
      <c r="C125" s="35">
        <f>C122*C123+C124</f>
        <v>6510</v>
      </c>
      <c r="D125" s="36" t="s">
        <v>22</v>
      </c>
      <c r="E125" s="202" t="s">
        <v>422</v>
      </c>
      <c r="H125" s="12"/>
    </row>
    <row r="126" spans="1:9" x14ac:dyDescent="0.2">
      <c r="C126" s="5"/>
      <c r="E126" s="63" t="s">
        <v>528</v>
      </c>
      <c r="F126" s="97" t="s">
        <v>529</v>
      </c>
      <c r="I126" s="12"/>
    </row>
    <row r="127" spans="1:9" ht="15.75" x14ac:dyDescent="0.3">
      <c r="A127" t="s">
        <v>191</v>
      </c>
      <c r="B127" t="s">
        <v>85</v>
      </c>
      <c r="C127" s="35">
        <f ca="1">C125/(1-C114-C118)</f>
        <v>23754.348090302155</v>
      </c>
      <c r="D127" s="36" t="s">
        <v>22</v>
      </c>
      <c r="E127" s="240">
        <f ca="1">(C127-F127)/F127</f>
        <v>4.1857372381673488E-2</v>
      </c>
      <c r="F127" s="19">
        <v>22800</v>
      </c>
      <c r="G127" s="19" t="s">
        <v>22</v>
      </c>
      <c r="H127" s="78" t="s">
        <v>262</v>
      </c>
    </row>
    <row r="128" spans="1:9" ht="15.75" x14ac:dyDescent="0.3">
      <c r="A128" t="s">
        <v>192</v>
      </c>
      <c r="B128" t="s">
        <v>86</v>
      </c>
      <c r="C128" s="35">
        <f ca="1">C127*'Preliminary Sizing I'!C31</f>
        <v>23041.71764759309</v>
      </c>
      <c r="D128" s="36" t="s">
        <v>22</v>
      </c>
      <c r="E128" s="240">
        <f t="shared" ref="E128:E131" ca="1" si="11">(C128-F128)/F128</f>
        <v>3.0949335462778081E-2</v>
      </c>
      <c r="F128" s="19">
        <v>22350</v>
      </c>
      <c r="G128" s="19" t="s">
        <v>22</v>
      </c>
      <c r="H128" s="78" t="s">
        <v>263</v>
      </c>
    </row>
    <row r="129" spans="1:13" ht="15.75" x14ac:dyDescent="0.3">
      <c r="A129" t="s">
        <v>193</v>
      </c>
      <c r="B129" t="s">
        <v>87</v>
      </c>
      <c r="C129" s="35">
        <f ca="1">C127*C118</f>
        <v>14012.981658533508</v>
      </c>
      <c r="D129" s="36" t="s">
        <v>22</v>
      </c>
      <c r="E129" s="240">
        <f t="shared" ca="1" si="11"/>
        <v>4.1857372381673488E-2</v>
      </c>
      <c r="F129" s="19">
        <v>13450</v>
      </c>
      <c r="G129" s="19" t="s">
        <v>22</v>
      </c>
      <c r="M129" s="97" t="s">
        <v>528</v>
      </c>
    </row>
    <row r="130" spans="1:13" ht="15.75" x14ac:dyDescent="0.3">
      <c r="A130" t="s">
        <v>194</v>
      </c>
      <c r="B130" t="s">
        <v>100</v>
      </c>
      <c r="C130" s="35">
        <f ca="1">C127*C114</f>
        <v>3231.3664317686466</v>
      </c>
      <c r="D130" s="36" t="s">
        <v>22</v>
      </c>
      <c r="E130" s="240"/>
      <c r="F130" s="19">
        <v>5000</v>
      </c>
      <c r="G130" s="19" t="s">
        <v>379</v>
      </c>
      <c r="H130" s="97" t="s">
        <v>416</v>
      </c>
      <c r="I130" s="43">
        <f>F127/F131</f>
        <v>373.77049180327867</v>
      </c>
      <c r="J130" s="36" t="s">
        <v>6</v>
      </c>
      <c r="K130" s="7" t="s">
        <v>418</v>
      </c>
      <c r="M130" s="240">
        <f>(C59-I130)/I130</f>
        <v>7.9714912280703671E-3</v>
      </c>
    </row>
    <row r="131" spans="1:13" ht="15.75" x14ac:dyDescent="0.3">
      <c r="A131" t="s">
        <v>195</v>
      </c>
      <c r="B131" t="s">
        <v>88</v>
      </c>
      <c r="C131" s="43">
        <f ca="1">C127/C59</f>
        <v>63.050691679634113</v>
      </c>
      <c r="D131" s="36" t="s">
        <v>23</v>
      </c>
      <c r="E131" s="240">
        <f t="shared" ca="1" si="11"/>
        <v>3.3617896387444474E-2</v>
      </c>
      <c r="F131" s="19">
        <v>61</v>
      </c>
      <c r="G131" s="19" t="s">
        <v>23</v>
      </c>
      <c r="H131" s="97" t="s">
        <v>417</v>
      </c>
      <c r="I131" s="43">
        <f>F133*'Preliminary Sizing I'!C67/F127</f>
        <v>179.88374095614034</v>
      </c>
      <c r="J131" s="36" t="s">
        <v>387</v>
      </c>
      <c r="K131" s="7" t="s">
        <v>418</v>
      </c>
      <c r="M131" s="240">
        <f ca="1">(C60-I131)/I131</f>
        <v>5.903852965659357E-2</v>
      </c>
    </row>
    <row r="132" spans="1:13" ht="15.75" x14ac:dyDescent="0.3">
      <c r="A132" s="18" t="s">
        <v>265</v>
      </c>
      <c r="B132" s="18" t="s">
        <v>380</v>
      </c>
      <c r="C132" s="155">
        <f ca="1">C127*C60</f>
        <v>4525293.8753986042</v>
      </c>
      <c r="D132" s="84" t="s">
        <v>272</v>
      </c>
      <c r="E132" s="11" t="s">
        <v>415</v>
      </c>
    </row>
    <row r="133" spans="1:13" ht="15.75" x14ac:dyDescent="0.3">
      <c r="A133" s="18" t="s">
        <v>264</v>
      </c>
      <c r="B133" t="s">
        <v>381</v>
      </c>
      <c r="C133" s="35">
        <f ca="1">C132/'Preliminary Sizing I'!C67</f>
        <v>2262646.9376993021</v>
      </c>
      <c r="D133" s="36" t="s">
        <v>272</v>
      </c>
      <c r="E133" s="241">
        <f ca="1">(C133-F133)/F133</f>
        <v>0.10336709975896959</v>
      </c>
      <c r="F133" s="218">
        <f>2750*745.6998716</f>
        <v>2050674.6469000001</v>
      </c>
      <c r="G133" s="216" t="s">
        <v>272</v>
      </c>
      <c r="H133" s="12"/>
    </row>
    <row r="134" spans="1:13" ht="15.75" x14ac:dyDescent="0.3">
      <c r="A134" s="18" t="s">
        <v>264</v>
      </c>
      <c r="B134" t="s">
        <v>381</v>
      </c>
      <c r="C134" s="5">
        <f ca="1">C133*0.2248</f>
        <v>508643.03159480309</v>
      </c>
      <c r="D134" t="s">
        <v>24</v>
      </c>
      <c r="E134" s="11" t="s">
        <v>204</v>
      </c>
      <c r="F134" s="12"/>
    </row>
    <row r="135" spans="1:13" x14ac:dyDescent="0.2">
      <c r="A135" s="18"/>
      <c r="C135" s="5"/>
      <c r="E135" s="11"/>
    </row>
    <row r="136" spans="1:13" ht="15.75" x14ac:dyDescent="0.3">
      <c r="A136" s="212" t="s">
        <v>409</v>
      </c>
      <c r="B136" s="12" t="s">
        <v>413</v>
      </c>
      <c r="C136" s="4">
        <f ca="1">C133/'Preliminary Sizing I'!C47/1.225</f>
        <v>13.384483511974576</v>
      </c>
      <c r="D136" s="12" t="s">
        <v>23</v>
      </c>
    </row>
    <row r="137" spans="1:13" ht="15.75" x14ac:dyDescent="0.3">
      <c r="A137" s="212" t="s">
        <v>411</v>
      </c>
      <c r="B137" s="12" t="s">
        <v>412</v>
      </c>
      <c r="C137" s="213">
        <f ca="1">SQRT(4*C136/PI())</f>
        <v>4.1281537875062018</v>
      </c>
      <c r="D137" s="214" t="s">
        <v>1</v>
      </c>
      <c r="E137" s="241">
        <f ca="1">(C137-F137)/F137</f>
        <v>5.0420811070280305E-2</v>
      </c>
      <c r="F137" s="216">
        <v>3.93</v>
      </c>
      <c r="G137" s="216" t="s">
        <v>1</v>
      </c>
    </row>
    <row r="138" spans="1:13" x14ac:dyDescent="0.2">
      <c r="A138" s="12"/>
      <c r="B138" s="12"/>
      <c r="C138" s="4"/>
      <c r="D138" s="12"/>
      <c r="E138" s="11"/>
    </row>
    <row r="139" spans="1:13" ht="15.75" x14ac:dyDescent="0.3">
      <c r="A139" t="s">
        <v>196</v>
      </c>
      <c r="B139" t="s">
        <v>89</v>
      </c>
      <c r="C139" s="5">
        <f ca="1">C127*C114</f>
        <v>3231.3664317686466</v>
      </c>
      <c r="D139" t="s">
        <v>22</v>
      </c>
    </row>
    <row r="140" spans="1:13" x14ac:dyDescent="0.2">
      <c r="A140" t="s">
        <v>196</v>
      </c>
      <c r="B140" t="s">
        <v>242</v>
      </c>
      <c r="C140" s="5">
        <f ca="1">C127*(1-C104*C106*C113)</f>
        <v>3538.1850075637235</v>
      </c>
      <c r="D140" t="s">
        <v>22</v>
      </c>
      <c r="H140" s="11"/>
    </row>
    <row r="141" spans="1:13" ht="15.75" x14ac:dyDescent="0.3">
      <c r="A141" t="s">
        <v>197</v>
      </c>
      <c r="B141" s="3" t="s">
        <v>90</v>
      </c>
      <c r="C141" s="156">
        <v>800</v>
      </c>
      <c r="D141" s="41" t="s">
        <v>5</v>
      </c>
    </row>
    <row r="142" spans="1:13" ht="15.75" x14ac:dyDescent="0.3">
      <c r="A142" t="s">
        <v>198</v>
      </c>
      <c r="B142" t="s">
        <v>91</v>
      </c>
      <c r="C142" s="49">
        <f ca="1">C139/C141</f>
        <v>4.0392080397108083</v>
      </c>
      <c r="D142" s="36" t="s">
        <v>25</v>
      </c>
      <c r="E142" t="s">
        <v>203</v>
      </c>
    </row>
    <row r="143" spans="1:13" x14ac:dyDescent="0.2">
      <c r="C143" s="9"/>
    </row>
    <row r="144" spans="1:13" ht="15.75" x14ac:dyDescent="0.3">
      <c r="A144" t="s">
        <v>199</v>
      </c>
      <c r="B144" t="s">
        <v>92</v>
      </c>
      <c r="C144" s="154">
        <v>7300</v>
      </c>
      <c r="D144" s="19" t="s">
        <v>22</v>
      </c>
      <c r="F144" s="216"/>
      <c r="G144" s="216"/>
    </row>
    <row r="145" spans="1:8" ht="15.75" x14ac:dyDescent="0.3">
      <c r="A145" t="s">
        <v>200</v>
      </c>
      <c r="B145" t="s">
        <v>93</v>
      </c>
      <c r="C145" s="5">
        <f ca="1">C129+C144</f>
        <v>21312.981658533507</v>
      </c>
      <c r="D145" t="s">
        <v>22</v>
      </c>
    </row>
    <row r="146" spans="1:8" x14ac:dyDescent="0.2">
      <c r="C146" s="9"/>
      <c r="G146" s="11"/>
      <c r="H146" s="11"/>
    </row>
    <row r="147" spans="1:8" ht="15.75" x14ac:dyDescent="0.3">
      <c r="A147" t="s">
        <v>201</v>
      </c>
      <c r="B147" t="s">
        <v>94</v>
      </c>
      <c r="C147" s="5">
        <f ca="1">C127*(1-C112)</f>
        <v>1184.4190952200804</v>
      </c>
      <c r="D147" t="s">
        <v>22</v>
      </c>
    </row>
    <row r="148" spans="1:8" x14ac:dyDescent="0.2">
      <c r="C148" s="9"/>
    </row>
    <row r="149" spans="1:8" ht="15.75" x14ac:dyDescent="0.3">
      <c r="A149" t="s">
        <v>202</v>
      </c>
      <c r="B149" t="s">
        <v>26</v>
      </c>
      <c r="C149" s="82" t="s">
        <v>96</v>
      </c>
      <c r="E149" s="17" t="s">
        <v>27</v>
      </c>
      <c r="F149" s="17" t="s">
        <v>243</v>
      </c>
      <c r="G149" s="11"/>
    </row>
    <row r="150" spans="1:8" x14ac:dyDescent="0.2">
      <c r="C150" s="5">
        <f ca="1">C128</f>
        <v>23041.71764759309</v>
      </c>
      <c r="D150" t="s">
        <v>22</v>
      </c>
      <c r="E150" s="17" t="s">
        <v>27</v>
      </c>
      <c r="F150" s="5">
        <f ca="1">C129+C144+C147</f>
        <v>22497.400753753587</v>
      </c>
      <c r="G150" t="s">
        <v>22</v>
      </c>
    </row>
    <row r="151" spans="1:8" x14ac:dyDescent="0.2">
      <c r="E151" s="52" t="str">
        <f ca="1">IF(C128&gt;C145+C147, "yes","no")</f>
        <v>yes</v>
      </c>
    </row>
    <row r="152" spans="1:8" x14ac:dyDescent="0.2">
      <c r="E152" s="53" t="str">
        <f ca="1">IF(E151="yes","Aircraft sizing finished!","Increase value mML/mMTO in table 'Preliminary Sizing I' !")</f>
        <v>Aircraft sizing finished!</v>
      </c>
    </row>
  </sheetData>
  <phoneticPr fontId="5" type="noConversion"/>
  <dataValidations disablePrompts="1" count="1">
    <dataValidation type="list" allowBlank="1" showInputMessage="1" showErrorMessage="1" sqref="C87 C120" xr:uid="{00000000-0002-0000-0400-000000000000}">
      <formula1>"yes, no"</formula1>
    </dataValidation>
  </dataValidations>
  <pageMargins left="0.75" right="0.5" top="0.77" bottom="0.74" header="0.4921259845" footer="0.4921259845"/>
  <pageSetup paperSize="9" scale="85" orientation="landscape" horizontalDpi="300" verticalDpi="300"/>
  <headerFooter alignWithMargins="0">
    <oddHeader>&amp;A</oddHeader>
    <oddFooter>Seite &amp;P</oddFooter>
  </headerFooter>
  <rowBreaks count="2" manualBreakCount="2">
    <brk id="58" max="16383" man="1"/>
    <brk id="110" max="16383" man="1"/>
  </rowBreaks>
  <drawing r:id="rId1"/>
  <legacyDrawing r:id="rId2"/>
  <oleObjects>
    <mc:AlternateContent xmlns:mc="http://schemas.openxmlformats.org/markup-compatibility/2006">
      <mc:Choice Requires="x14">
        <oleObject progId="Equation.DSMT4" shapeId="2906306" r:id="rId3">
          <objectPr defaultSize="0" r:id="rId4">
            <anchor moveWithCells="1">
              <from>
                <xdr:col>6</xdr:col>
                <xdr:colOff>38100</xdr:colOff>
                <xdr:row>22</xdr:row>
                <xdr:rowOff>0</xdr:rowOff>
              </from>
              <to>
                <xdr:col>7</xdr:col>
                <xdr:colOff>104775</xdr:colOff>
                <xdr:row>23</xdr:row>
                <xdr:rowOff>28575</xdr:rowOff>
              </to>
            </anchor>
          </objectPr>
        </oleObject>
      </mc:Choice>
      <mc:Fallback>
        <oleObject progId="Equation.DSMT4" shapeId="2906306" r:id="rId3"/>
      </mc:Fallback>
    </mc:AlternateContent>
    <mc:AlternateContent xmlns:mc="http://schemas.openxmlformats.org/markup-compatibility/2006">
      <mc:Choice Requires="x14">
        <oleObject progId="Equation.DSMT4" shapeId="2906307" r:id="rId5">
          <objectPr defaultSize="0" r:id="rId6">
            <anchor moveWithCells="1">
              <from>
                <xdr:col>7</xdr:col>
                <xdr:colOff>180975</xdr:colOff>
                <xdr:row>21</xdr:row>
                <xdr:rowOff>66675</xdr:rowOff>
              </from>
              <to>
                <xdr:col>9</xdr:col>
                <xdr:colOff>142875</xdr:colOff>
                <xdr:row>24</xdr:row>
                <xdr:rowOff>47625</xdr:rowOff>
              </to>
            </anchor>
          </objectPr>
        </oleObject>
      </mc:Choice>
      <mc:Fallback>
        <oleObject progId="Equation.DSMT4" shapeId="2906307" r:id="rId5"/>
      </mc:Fallback>
    </mc:AlternateContent>
    <mc:AlternateContent xmlns:mc="http://schemas.openxmlformats.org/markup-compatibility/2006">
      <mc:Choice Requires="x14">
        <oleObject progId="Equation.DSMT4" shapeId="2906308" r:id="rId7">
          <objectPr defaultSize="0" r:id="rId8">
            <anchor moveWithCells="1">
              <from>
                <xdr:col>8</xdr:col>
                <xdr:colOff>9525</xdr:colOff>
                <xdr:row>8</xdr:row>
                <xdr:rowOff>38100</xdr:rowOff>
              </from>
              <to>
                <xdr:col>9</xdr:col>
                <xdr:colOff>190500</xdr:colOff>
                <xdr:row>13</xdr:row>
                <xdr:rowOff>9525</xdr:rowOff>
              </to>
            </anchor>
          </objectPr>
        </oleObject>
      </mc:Choice>
      <mc:Fallback>
        <oleObject progId="Equation.DSMT4" shapeId="2906308" r:id="rId7"/>
      </mc:Fallback>
    </mc:AlternateContent>
    <mc:AlternateContent xmlns:mc="http://schemas.openxmlformats.org/markup-compatibility/2006">
      <mc:Choice Requires="x14">
        <oleObject progId="Equation.DSMT4" shapeId="2906309" r:id="rId9">
          <objectPr defaultSize="0" r:id="rId10">
            <anchor moveWithCells="1">
              <from>
                <xdr:col>8</xdr:col>
                <xdr:colOff>9525</xdr:colOff>
                <xdr:row>6</xdr:row>
                <xdr:rowOff>57150</xdr:rowOff>
              </from>
              <to>
                <xdr:col>9</xdr:col>
                <xdr:colOff>314325</xdr:colOff>
                <xdr:row>8</xdr:row>
                <xdr:rowOff>19050</xdr:rowOff>
              </to>
            </anchor>
          </objectPr>
        </oleObject>
      </mc:Choice>
      <mc:Fallback>
        <oleObject progId="Equation.DSMT4" shapeId="2906309" r:id="rId9"/>
      </mc:Fallback>
    </mc:AlternateContent>
    <mc:AlternateContent xmlns:mc="http://schemas.openxmlformats.org/markup-compatibility/2006">
      <mc:Choice Requires="x14">
        <oleObject progId="Equation.DSMT4" shapeId="2906311" r:id="rId11">
          <objectPr defaultSize="0" r:id="rId12">
            <anchor moveWithCells="1">
              <from>
                <xdr:col>4</xdr:col>
                <xdr:colOff>85725</xdr:colOff>
                <xdr:row>21</xdr:row>
                <xdr:rowOff>66675</xdr:rowOff>
              </from>
              <to>
                <xdr:col>5</xdr:col>
                <xdr:colOff>409575</xdr:colOff>
                <xdr:row>24</xdr:row>
                <xdr:rowOff>47625</xdr:rowOff>
              </to>
            </anchor>
          </objectPr>
        </oleObject>
      </mc:Choice>
      <mc:Fallback>
        <oleObject progId="Equation.DSMT4" shapeId="2906311" r:id="rId11"/>
      </mc:Fallback>
    </mc:AlternateContent>
    <mc:AlternateContent xmlns:mc="http://schemas.openxmlformats.org/markup-compatibility/2006">
      <mc:Choice Requires="x14">
        <oleObject progId="Equation.DSMT4" shapeId="2906312" r:id="rId13">
          <objectPr defaultSize="0" r:id="rId14">
            <anchor moveWithCells="1">
              <from>
                <xdr:col>3</xdr:col>
                <xdr:colOff>19050</xdr:colOff>
                <xdr:row>9</xdr:row>
                <xdr:rowOff>28575</xdr:rowOff>
              </from>
              <to>
                <xdr:col>4</xdr:col>
                <xdr:colOff>28575</xdr:colOff>
                <xdr:row>11</xdr:row>
                <xdr:rowOff>47625</xdr:rowOff>
              </to>
            </anchor>
          </objectPr>
        </oleObject>
      </mc:Choice>
      <mc:Fallback>
        <oleObject progId="Equation.DSMT4" shapeId="2906312" r:id="rId13"/>
      </mc:Fallback>
    </mc:AlternateContent>
    <mc:AlternateContent xmlns:mc="http://schemas.openxmlformats.org/markup-compatibility/2006">
      <mc:Choice Requires="x14">
        <oleObject progId="Equation.DSMT4" shapeId="2906313" r:id="rId15">
          <objectPr defaultSize="0" r:id="rId16">
            <anchor moveWithCells="1">
              <from>
                <xdr:col>7</xdr:col>
                <xdr:colOff>19050</xdr:colOff>
                <xdr:row>7</xdr:row>
                <xdr:rowOff>28575</xdr:rowOff>
              </from>
              <to>
                <xdr:col>7</xdr:col>
                <xdr:colOff>438150</xdr:colOff>
                <xdr:row>9</xdr:row>
                <xdr:rowOff>47625</xdr:rowOff>
              </to>
            </anchor>
          </objectPr>
        </oleObject>
      </mc:Choice>
      <mc:Fallback>
        <oleObject progId="Equation.DSMT4" shapeId="2906313" r:id="rId15"/>
      </mc:Fallback>
    </mc:AlternateContent>
    <mc:AlternateContent xmlns:mc="http://schemas.openxmlformats.org/markup-compatibility/2006">
      <mc:Choice Requires="x14">
        <oleObject progId="Equation.DSMT4" shapeId="2906314" r:id="rId17">
          <objectPr defaultSize="0" r:id="rId18">
            <anchor moveWithCells="1">
              <from>
                <xdr:col>12</xdr:col>
                <xdr:colOff>0</xdr:colOff>
                <xdr:row>5</xdr:row>
                <xdr:rowOff>0</xdr:rowOff>
              </from>
              <to>
                <xdr:col>13</xdr:col>
                <xdr:colOff>19050</xdr:colOff>
                <xdr:row>6</xdr:row>
                <xdr:rowOff>28575</xdr:rowOff>
              </to>
            </anchor>
          </objectPr>
        </oleObject>
      </mc:Choice>
      <mc:Fallback>
        <oleObject progId="Equation.DSMT4" shapeId="2906314" r:id="rId17"/>
      </mc:Fallback>
    </mc:AlternateContent>
    <mc:AlternateContent xmlns:mc="http://schemas.openxmlformats.org/markup-compatibility/2006">
      <mc:Choice Requires="x14">
        <oleObject progId="Equation.DSMT4" shapeId="2906315" r:id="rId19">
          <objectPr defaultSize="0" r:id="rId20">
            <anchor moveWithCells="1">
              <from>
                <xdr:col>13</xdr:col>
                <xdr:colOff>104775</xdr:colOff>
                <xdr:row>5</xdr:row>
                <xdr:rowOff>0</xdr:rowOff>
              </from>
              <to>
                <xdr:col>14</xdr:col>
                <xdr:colOff>47625</xdr:colOff>
                <xdr:row>7</xdr:row>
                <xdr:rowOff>9525</xdr:rowOff>
              </to>
            </anchor>
          </objectPr>
        </oleObject>
      </mc:Choice>
      <mc:Fallback>
        <oleObject progId="Equation.DSMT4" shapeId="2906315" r:id="rId19"/>
      </mc:Fallback>
    </mc:AlternateContent>
    <mc:AlternateContent xmlns:mc="http://schemas.openxmlformats.org/markup-compatibility/2006">
      <mc:Choice Requires="x14">
        <oleObject progId="Equation.DSMT4" shapeId="2906316" r:id="rId21">
          <objectPr defaultSize="0" r:id="rId22">
            <anchor moveWithCells="1">
              <from>
                <xdr:col>12</xdr:col>
                <xdr:colOff>9525</xdr:colOff>
                <xdr:row>6</xdr:row>
                <xdr:rowOff>38100</xdr:rowOff>
              </from>
              <to>
                <xdr:col>13</xdr:col>
                <xdr:colOff>85725</xdr:colOff>
                <xdr:row>8</xdr:row>
                <xdr:rowOff>28575</xdr:rowOff>
              </to>
            </anchor>
          </objectPr>
        </oleObject>
      </mc:Choice>
      <mc:Fallback>
        <oleObject progId="Equation.DSMT4" shapeId="2906316" r:id="rId21"/>
      </mc:Fallback>
    </mc:AlternateContent>
    <mc:AlternateContent xmlns:mc="http://schemas.openxmlformats.org/markup-compatibility/2006">
      <mc:Choice Requires="x14">
        <oleObject progId="Equation.DSMT4" shapeId="2906317" r:id="rId23">
          <objectPr defaultSize="0" r:id="rId24">
            <anchor moveWithCells="1">
              <from>
                <xdr:col>12</xdr:col>
                <xdr:colOff>0</xdr:colOff>
                <xdr:row>9</xdr:row>
                <xdr:rowOff>0</xdr:rowOff>
              </from>
              <to>
                <xdr:col>13</xdr:col>
                <xdr:colOff>304800</xdr:colOff>
                <xdr:row>11</xdr:row>
                <xdr:rowOff>57150</xdr:rowOff>
              </to>
            </anchor>
          </objectPr>
        </oleObject>
      </mc:Choice>
      <mc:Fallback>
        <oleObject progId="Equation.DSMT4" shapeId="2906317" r:id="rId23"/>
      </mc:Fallback>
    </mc:AlternateContent>
    <mc:AlternateContent xmlns:mc="http://schemas.openxmlformats.org/markup-compatibility/2006">
      <mc:Choice Requires="x14">
        <oleObject progId="Equation.DSMT4" shapeId="2906318" r:id="rId25">
          <objectPr defaultSize="0" autoPict="0" r:id="rId26">
            <anchor moveWithCells="1">
              <from>
                <xdr:col>12</xdr:col>
                <xdr:colOff>9525</xdr:colOff>
                <xdr:row>14</xdr:row>
                <xdr:rowOff>57150</xdr:rowOff>
              </from>
              <to>
                <xdr:col>13</xdr:col>
                <xdr:colOff>209550</xdr:colOff>
                <xdr:row>18</xdr:row>
                <xdr:rowOff>28575</xdr:rowOff>
              </to>
            </anchor>
          </objectPr>
        </oleObject>
      </mc:Choice>
      <mc:Fallback>
        <oleObject progId="Equation.DSMT4" shapeId="2906318" r:id="rId25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110"/>
  <sheetViews>
    <sheetView zoomScaleNormal="100" workbookViewId="0"/>
  </sheetViews>
  <sheetFormatPr baseColWidth="10" defaultColWidth="9.140625" defaultRowHeight="12.75" x14ac:dyDescent="0.2"/>
  <cols>
    <col min="1" max="1" width="15.7109375" customWidth="1"/>
    <col min="2" max="2" width="20.42578125" customWidth="1"/>
    <col min="3" max="3" width="10.28515625" customWidth="1"/>
    <col min="4" max="4" width="39.85546875" customWidth="1"/>
    <col min="5" max="5" width="10.140625" customWidth="1"/>
    <col min="6" max="6" width="19.28515625" customWidth="1"/>
    <col min="7" max="7" width="15.28515625" customWidth="1"/>
    <col min="8" max="10" width="9.140625" customWidth="1"/>
    <col min="11" max="11" width="10.7109375" customWidth="1"/>
  </cols>
  <sheetData>
    <row r="2" spans="1:10" ht="18.75" x14ac:dyDescent="0.35">
      <c r="A2" s="105" t="s">
        <v>530</v>
      </c>
    </row>
    <row r="5" spans="1:10" ht="15.75" thickBot="1" x14ac:dyDescent="0.3">
      <c r="A5" s="89"/>
      <c r="E5" s="11" t="s">
        <v>275</v>
      </c>
    </row>
    <row r="6" spans="1:10" ht="18.75" x14ac:dyDescent="0.35">
      <c r="A6" s="8" t="s">
        <v>307</v>
      </c>
      <c r="B6" s="30" t="s">
        <v>276</v>
      </c>
      <c r="C6" s="30" t="s">
        <v>277</v>
      </c>
      <c r="D6" s="29" t="s">
        <v>278</v>
      </c>
      <c r="E6" s="30" t="s">
        <v>279</v>
      </c>
      <c r="F6" s="242" t="s">
        <v>280</v>
      </c>
      <c r="G6" s="243" t="s">
        <v>281</v>
      </c>
      <c r="H6" s="243" t="s">
        <v>282</v>
      </c>
      <c r="I6" s="244" t="s">
        <v>283</v>
      </c>
      <c r="J6" s="245" t="s">
        <v>284</v>
      </c>
    </row>
    <row r="7" spans="1:10" x14ac:dyDescent="0.2">
      <c r="A7" s="142" t="s">
        <v>285</v>
      </c>
      <c r="B7" s="85"/>
      <c r="C7" s="85">
        <v>42.1</v>
      </c>
      <c r="D7" s="85"/>
      <c r="E7" s="85">
        <f>(1.6+2.5)/2</f>
        <v>2.0499999999999998</v>
      </c>
      <c r="F7" s="90">
        <v>1030</v>
      </c>
      <c r="G7" s="91">
        <v>247</v>
      </c>
      <c r="H7" s="91">
        <f>F7*E7</f>
        <v>2111.5</v>
      </c>
      <c r="I7" s="124">
        <f>G7/H7</f>
        <v>0.11697845133791143</v>
      </c>
      <c r="J7" s="262">
        <f t="shared" ref="J7:J20" si="0">SQRT((I7*2*g*1.3^2)/1.225)</f>
        <v>1.7794170322068736</v>
      </c>
    </row>
    <row r="8" spans="1:10" x14ac:dyDescent="0.2">
      <c r="A8" s="142" t="s">
        <v>286</v>
      </c>
      <c r="B8" s="86">
        <v>15649</v>
      </c>
      <c r="C8" s="85">
        <v>54.4</v>
      </c>
      <c r="D8" s="85" t="s">
        <v>287</v>
      </c>
      <c r="E8" s="85">
        <v>1.8</v>
      </c>
      <c r="F8" s="90">
        <v>787</v>
      </c>
      <c r="G8" s="91">
        <f t="shared" ref="G8:G16" si="1">B8/C8</f>
        <v>287.66544117647061</v>
      </c>
      <c r="H8" s="91">
        <f t="shared" ref="H8:H20" si="2">F8*E8</f>
        <v>1416.6000000000001</v>
      </c>
      <c r="I8" s="124">
        <f t="shared" ref="I8:I20" si="3">G8/H8</f>
        <v>0.20306751459584257</v>
      </c>
      <c r="J8" s="262">
        <f t="shared" si="0"/>
        <v>2.3444719235641172</v>
      </c>
    </row>
    <row r="9" spans="1:10" x14ac:dyDescent="0.2">
      <c r="A9" s="142" t="s">
        <v>288</v>
      </c>
      <c r="B9" s="86">
        <v>15649</v>
      </c>
      <c r="C9" s="85">
        <v>54.4</v>
      </c>
      <c r="D9" s="85" t="s">
        <v>287</v>
      </c>
      <c r="E9" s="85">
        <v>1.8</v>
      </c>
      <c r="F9" s="90">
        <v>794</v>
      </c>
      <c r="G9" s="91">
        <f t="shared" si="1"/>
        <v>287.66544117647061</v>
      </c>
      <c r="H9" s="91">
        <f t="shared" si="2"/>
        <v>1429.2</v>
      </c>
      <c r="I9" s="124">
        <f t="shared" si="3"/>
        <v>0.20127724683492204</v>
      </c>
      <c r="J9" s="262">
        <f t="shared" si="0"/>
        <v>2.3341144709181187</v>
      </c>
    </row>
    <row r="10" spans="1:10" x14ac:dyDescent="0.2">
      <c r="A10" s="142" t="s">
        <v>289</v>
      </c>
      <c r="B10" s="86">
        <v>19051</v>
      </c>
      <c r="C10" s="85">
        <v>56.2</v>
      </c>
      <c r="D10" s="85" t="s">
        <v>287</v>
      </c>
      <c r="E10" s="85">
        <v>1.8</v>
      </c>
      <c r="F10" s="90">
        <v>1040</v>
      </c>
      <c r="G10" s="91">
        <f t="shared" si="1"/>
        <v>338.98576512455514</v>
      </c>
      <c r="H10" s="91">
        <f t="shared" si="2"/>
        <v>1872</v>
      </c>
      <c r="I10" s="124">
        <f t="shared" si="3"/>
        <v>0.1810821394896128</v>
      </c>
      <c r="J10" s="262">
        <f t="shared" si="0"/>
        <v>2.2139235399235218</v>
      </c>
    </row>
    <row r="11" spans="1:10" x14ac:dyDescent="0.2">
      <c r="A11" s="142" t="s">
        <v>290</v>
      </c>
      <c r="B11" s="86">
        <v>28009</v>
      </c>
      <c r="C11" s="85">
        <v>63.1</v>
      </c>
      <c r="D11" s="85" t="s">
        <v>287</v>
      </c>
      <c r="E11" s="85">
        <v>1.8</v>
      </c>
      <c r="F11" s="90">
        <v>1287</v>
      </c>
      <c r="G11" s="91">
        <f t="shared" si="1"/>
        <v>443.88272583201268</v>
      </c>
      <c r="H11" s="91">
        <f t="shared" si="2"/>
        <v>2316.6</v>
      </c>
      <c r="I11" s="124">
        <f t="shared" si="3"/>
        <v>0.19160956826038708</v>
      </c>
      <c r="J11" s="262">
        <f t="shared" si="0"/>
        <v>2.2773690051647564</v>
      </c>
    </row>
    <row r="12" spans="1:10" ht="51" customHeight="1" x14ac:dyDescent="0.2">
      <c r="A12" s="142" t="s">
        <v>291</v>
      </c>
      <c r="B12" s="86">
        <v>11700</v>
      </c>
      <c r="C12" s="85">
        <v>39.4</v>
      </c>
      <c r="D12" s="93" t="s">
        <v>292</v>
      </c>
      <c r="E12" s="94">
        <v>2.4</v>
      </c>
      <c r="F12" s="90">
        <v>1380</v>
      </c>
      <c r="G12" s="91">
        <f t="shared" si="1"/>
        <v>296.95431472081219</v>
      </c>
      <c r="H12" s="91">
        <f t="shared" si="2"/>
        <v>3312</v>
      </c>
      <c r="I12" s="124">
        <f t="shared" si="3"/>
        <v>8.9660119178989195E-2</v>
      </c>
      <c r="J12" s="262">
        <f t="shared" si="0"/>
        <v>1.5578457914600752</v>
      </c>
    </row>
    <row r="13" spans="1:10" x14ac:dyDescent="0.2">
      <c r="A13" s="142" t="s">
        <v>293</v>
      </c>
      <c r="B13" s="86">
        <v>12930</v>
      </c>
      <c r="C13" s="85">
        <v>41.8</v>
      </c>
      <c r="D13" s="29" t="s">
        <v>294</v>
      </c>
      <c r="E13" s="85">
        <v>1.8</v>
      </c>
      <c r="F13" s="90">
        <v>1033</v>
      </c>
      <c r="G13" s="91">
        <f t="shared" si="1"/>
        <v>309.33014354066989</v>
      </c>
      <c r="H13" s="91">
        <f t="shared" si="2"/>
        <v>1859.4</v>
      </c>
      <c r="I13" s="124">
        <f t="shared" si="3"/>
        <v>0.16636019336381083</v>
      </c>
      <c r="J13" s="262">
        <f t="shared" si="0"/>
        <v>2.1220202194729181</v>
      </c>
    </row>
    <row r="14" spans="1:10" x14ac:dyDescent="0.2">
      <c r="A14" s="142" t="s">
        <v>295</v>
      </c>
      <c r="B14" s="86">
        <v>22000</v>
      </c>
      <c r="C14" s="85">
        <v>55.74</v>
      </c>
      <c r="D14" s="29" t="s">
        <v>296</v>
      </c>
      <c r="E14" s="85">
        <v>1.8</v>
      </c>
      <c r="F14" s="90">
        <v>1243</v>
      </c>
      <c r="G14" s="91">
        <f t="shared" si="1"/>
        <v>394.68963042698238</v>
      </c>
      <c r="H14" s="91">
        <f t="shared" si="2"/>
        <v>2237.4</v>
      </c>
      <c r="I14" s="124">
        <f t="shared" si="3"/>
        <v>0.17640548423481825</v>
      </c>
      <c r="J14" s="262">
        <f t="shared" si="0"/>
        <v>2.1851479686807478</v>
      </c>
    </row>
    <row r="15" spans="1:10" x14ac:dyDescent="0.2">
      <c r="A15" s="142" t="s">
        <v>297</v>
      </c>
      <c r="B15" s="86">
        <v>13230</v>
      </c>
      <c r="C15" s="85">
        <v>40</v>
      </c>
      <c r="D15" s="29" t="s">
        <v>298</v>
      </c>
      <c r="E15" s="85">
        <v>1.8</v>
      </c>
      <c r="F15" s="90">
        <v>1164</v>
      </c>
      <c r="G15" s="91">
        <f t="shared" si="1"/>
        <v>330.75</v>
      </c>
      <c r="H15" s="91">
        <f t="shared" si="2"/>
        <v>2095.2000000000003</v>
      </c>
      <c r="I15" s="124">
        <f t="shared" si="3"/>
        <v>0.15786082474226801</v>
      </c>
      <c r="J15" s="262">
        <f t="shared" si="0"/>
        <v>2.0671024094451682</v>
      </c>
    </row>
    <row r="16" spans="1:10" x14ac:dyDescent="0.2">
      <c r="A16" s="142" t="s">
        <v>299</v>
      </c>
      <c r="B16" s="86">
        <v>19100</v>
      </c>
      <c r="C16" s="85">
        <v>51</v>
      </c>
      <c r="D16" s="29" t="s">
        <v>300</v>
      </c>
      <c r="E16" s="85">
        <v>1.8</v>
      </c>
      <c r="F16" s="90">
        <v>1350</v>
      </c>
      <c r="G16" s="91">
        <f t="shared" si="1"/>
        <v>374.50980392156862</v>
      </c>
      <c r="H16" s="91">
        <f t="shared" si="2"/>
        <v>2430</v>
      </c>
      <c r="I16" s="124">
        <f t="shared" si="3"/>
        <v>0.15411926087307351</v>
      </c>
      <c r="J16" s="262">
        <f t="shared" si="0"/>
        <v>2.0424586280979082</v>
      </c>
    </row>
    <row r="17" spans="1:10" x14ac:dyDescent="0.2">
      <c r="A17" s="142" t="s">
        <v>301</v>
      </c>
      <c r="B17" s="86"/>
      <c r="C17" s="85">
        <v>81.900000000000006</v>
      </c>
      <c r="D17" s="29" t="s">
        <v>302</v>
      </c>
      <c r="E17" s="85">
        <v>2.4</v>
      </c>
      <c r="F17" s="90">
        <v>1300</v>
      </c>
      <c r="G17" s="91">
        <v>286.89999999999998</v>
      </c>
      <c r="H17" s="91">
        <f t="shared" si="2"/>
        <v>3120</v>
      </c>
      <c r="I17" s="124">
        <f t="shared" si="3"/>
        <v>9.1955128205128203E-2</v>
      </c>
      <c r="J17" s="262">
        <f t="shared" si="0"/>
        <v>1.5776577187562011</v>
      </c>
    </row>
    <row r="18" spans="1:10" x14ac:dyDescent="0.2">
      <c r="A18" s="142" t="s">
        <v>303</v>
      </c>
      <c r="B18" s="86">
        <v>14800</v>
      </c>
      <c r="C18" s="85">
        <v>56</v>
      </c>
      <c r="D18" s="29" t="s">
        <v>298</v>
      </c>
      <c r="E18" s="85">
        <v>1.8</v>
      </c>
      <c r="F18" s="90">
        <v>1140</v>
      </c>
      <c r="G18" s="91">
        <f>B18/C18</f>
        <v>264.28571428571428</v>
      </c>
      <c r="H18" s="91">
        <f t="shared" si="2"/>
        <v>2052</v>
      </c>
      <c r="I18" s="124">
        <f t="shared" si="3"/>
        <v>0.12879420774157616</v>
      </c>
      <c r="J18" s="262">
        <f t="shared" si="0"/>
        <v>1.8671232005640654</v>
      </c>
    </row>
    <row r="19" spans="1:10" ht="30" customHeight="1" x14ac:dyDescent="0.2">
      <c r="A19" s="143" t="s">
        <v>304</v>
      </c>
      <c r="B19" s="86">
        <v>22350</v>
      </c>
      <c r="C19" s="85">
        <v>61</v>
      </c>
      <c r="D19" s="95" t="s">
        <v>305</v>
      </c>
      <c r="E19" s="85">
        <v>2.44</v>
      </c>
      <c r="F19" s="90">
        <v>1067</v>
      </c>
      <c r="G19" s="91">
        <f>B19/C19</f>
        <v>366.39344262295083</v>
      </c>
      <c r="H19" s="91">
        <f t="shared" si="2"/>
        <v>2603.48</v>
      </c>
      <c r="I19" s="124">
        <f t="shared" si="3"/>
        <v>0.14073219023113326</v>
      </c>
      <c r="J19" s="262">
        <f t="shared" si="0"/>
        <v>1.9517380673302493</v>
      </c>
    </row>
    <row r="20" spans="1:10" ht="32.25" customHeight="1" thickBot="1" x14ac:dyDescent="0.25">
      <c r="A20" s="142" t="s">
        <v>306</v>
      </c>
      <c r="B20" s="86">
        <v>18300</v>
      </c>
      <c r="C20" s="85">
        <v>54.5</v>
      </c>
      <c r="D20" s="95" t="s">
        <v>305</v>
      </c>
      <c r="E20" s="85">
        <v>2.44</v>
      </c>
      <c r="F20" s="90">
        <v>1126</v>
      </c>
      <c r="G20" s="96">
        <f>B20/C20</f>
        <v>335.77981651376149</v>
      </c>
      <c r="H20" s="96">
        <f t="shared" si="2"/>
        <v>2747.44</v>
      </c>
      <c r="I20" s="261">
        <f t="shared" si="3"/>
        <v>0.12221552300096143</v>
      </c>
      <c r="J20" s="261">
        <f t="shared" si="0"/>
        <v>1.8188127701066661</v>
      </c>
    </row>
    <row r="21" spans="1:10" ht="15" x14ac:dyDescent="0.25">
      <c r="A21" s="89"/>
      <c r="B21" s="89"/>
      <c r="C21" s="4"/>
      <c r="D21" s="4"/>
      <c r="E21" s="4"/>
      <c r="F21" s="4"/>
      <c r="G21" s="4"/>
      <c r="H21" s="4"/>
      <c r="I21" s="247" t="s">
        <v>532</v>
      </c>
      <c r="J21" s="263">
        <f>SQRT((0.139*2*g*1.3^2)/1.225)</f>
        <v>1.9396894765157962</v>
      </c>
    </row>
    <row r="22" spans="1:10" ht="15.75" thickBot="1" x14ac:dyDescent="0.3">
      <c r="A22" s="89"/>
      <c r="B22" s="89"/>
      <c r="C22" s="4"/>
      <c r="D22" s="4"/>
      <c r="E22" s="4"/>
      <c r="F22" s="4"/>
      <c r="G22" s="4"/>
      <c r="H22" s="4"/>
      <c r="I22" s="246" t="s">
        <v>531</v>
      </c>
      <c r="J22" s="264">
        <v>0.13700000000000001</v>
      </c>
    </row>
    <row r="23" spans="1:10" ht="15" x14ac:dyDescent="0.25">
      <c r="A23" s="89"/>
      <c r="B23" s="89"/>
      <c r="C23" s="4"/>
      <c r="D23" s="4"/>
      <c r="E23" s="4"/>
      <c r="F23" s="4"/>
      <c r="G23" s="4"/>
      <c r="H23" s="4"/>
      <c r="I23" s="103"/>
      <c r="J23" s="11">
        <f>AVERAGE(J7:J20)</f>
        <v>2.0099430532636706</v>
      </c>
    </row>
    <row r="25" spans="1:10" s="11" customFormat="1" ht="18.75" x14ac:dyDescent="0.35">
      <c r="A25" s="248" t="s">
        <v>533</v>
      </c>
    </row>
    <row r="26" spans="1:10" ht="13.5" thickBot="1" x14ac:dyDescent="0.25"/>
    <row r="27" spans="1:10" ht="18" x14ac:dyDescent="0.35">
      <c r="B27" s="267" t="s">
        <v>548</v>
      </c>
      <c r="C27" s="244" t="s">
        <v>549</v>
      </c>
      <c r="D27" s="68" t="s">
        <v>308</v>
      </c>
      <c r="E27" s="244" t="s">
        <v>309</v>
      </c>
    </row>
    <row r="28" spans="1:10" ht="15" x14ac:dyDescent="0.25">
      <c r="A28" s="144" t="s">
        <v>286</v>
      </c>
      <c r="B28" s="265">
        <f>134/3.6</f>
        <v>37.222222222222221</v>
      </c>
      <c r="C28" s="124">
        <f t="shared" ref="C28:C33" si="4">1.3*B28</f>
        <v>48.388888888888893</v>
      </c>
      <c r="D28" s="266">
        <v>787</v>
      </c>
      <c r="E28" s="124">
        <f t="shared" ref="E28:E35" si="5">SQRT(D28)</f>
        <v>28.053520278211074</v>
      </c>
    </row>
    <row r="29" spans="1:10" ht="15" x14ac:dyDescent="0.25">
      <c r="A29" s="144" t="s">
        <v>288</v>
      </c>
      <c r="B29" s="265">
        <f>134/3.6</f>
        <v>37.222222222222221</v>
      </c>
      <c r="C29" s="124">
        <f t="shared" si="4"/>
        <v>48.388888888888893</v>
      </c>
      <c r="D29" s="266">
        <v>794</v>
      </c>
      <c r="E29" s="124">
        <f t="shared" si="5"/>
        <v>28.178005607210743</v>
      </c>
    </row>
    <row r="30" spans="1:10" ht="15" x14ac:dyDescent="0.25">
      <c r="A30" s="144" t="s">
        <v>289</v>
      </c>
      <c r="B30" s="265">
        <f>141/3.6</f>
        <v>39.166666666666664</v>
      </c>
      <c r="C30" s="124">
        <f t="shared" si="4"/>
        <v>50.916666666666664</v>
      </c>
      <c r="D30" s="266">
        <v>1040</v>
      </c>
      <c r="E30" s="124">
        <f t="shared" si="5"/>
        <v>32.249030993194197</v>
      </c>
    </row>
    <row r="31" spans="1:10" ht="15" x14ac:dyDescent="0.25">
      <c r="A31" s="144" t="s">
        <v>291</v>
      </c>
      <c r="B31" s="265">
        <f>165/3.6</f>
        <v>45.833333333333336</v>
      </c>
      <c r="C31" s="124">
        <f t="shared" si="4"/>
        <v>59.583333333333336</v>
      </c>
      <c r="D31" s="266">
        <v>1380</v>
      </c>
      <c r="E31" s="124">
        <f t="shared" si="5"/>
        <v>37.148351242013419</v>
      </c>
    </row>
    <row r="32" spans="1:10" ht="15" x14ac:dyDescent="0.25">
      <c r="A32" s="144" t="s">
        <v>293</v>
      </c>
      <c r="B32" s="265">
        <f>160/3.6</f>
        <v>44.444444444444443</v>
      </c>
      <c r="C32" s="124">
        <f t="shared" si="4"/>
        <v>57.777777777777779</v>
      </c>
      <c r="D32" s="266">
        <v>1033</v>
      </c>
      <c r="E32" s="124">
        <f t="shared" si="5"/>
        <v>32.140317359976393</v>
      </c>
    </row>
    <row r="33" spans="1:10" ht="15" x14ac:dyDescent="0.25">
      <c r="A33" s="144" t="s">
        <v>295</v>
      </c>
      <c r="B33" s="265">
        <f>182/3.6</f>
        <v>50.555555555555557</v>
      </c>
      <c r="C33" s="124">
        <f t="shared" si="4"/>
        <v>65.722222222222229</v>
      </c>
      <c r="D33" s="266">
        <v>1243</v>
      </c>
      <c r="E33" s="124">
        <f t="shared" si="5"/>
        <v>35.256205127608389</v>
      </c>
    </row>
    <row r="34" spans="1:10" ht="15" x14ac:dyDescent="0.25">
      <c r="A34" s="144" t="s">
        <v>301</v>
      </c>
      <c r="B34" s="98"/>
      <c r="C34" s="124">
        <f>185/3.6</f>
        <v>51.388888888888886</v>
      </c>
      <c r="D34" s="266">
        <v>1300</v>
      </c>
      <c r="E34" s="124">
        <f t="shared" si="5"/>
        <v>36.055512754639892</v>
      </c>
    </row>
    <row r="35" spans="1:10" ht="15.75" thickBot="1" x14ac:dyDescent="0.3">
      <c r="A35" s="144" t="s">
        <v>303</v>
      </c>
      <c r="B35" s="98"/>
      <c r="C35" s="125">
        <f>184/3.6</f>
        <v>51.111111111111107</v>
      </c>
      <c r="D35" s="266">
        <v>1140</v>
      </c>
      <c r="E35" s="125">
        <f t="shared" si="5"/>
        <v>33.763886032268267</v>
      </c>
    </row>
    <row r="36" spans="1:10" ht="13.5" thickBot="1" x14ac:dyDescent="0.25"/>
    <row r="37" spans="1:10" ht="15" thickBot="1" x14ac:dyDescent="0.3">
      <c r="A37" s="145" t="s">
        <v>310</v>
      </c>
      <c r="B37" s="12"/>
      <c r="C37" s="12"/>
      <c r="D37" s="249" t="s">
        <v>534</v>
      </c>
      <c r="E37" s="131">
        <f>1.643</f>
        <v>1.643</v>
      </c>
      <c r="F37" s="12"/>
    </row>
    <row r="38" spans="1:10" x14ac:dyDescent="0.2">
      <c r="A38" s="12"/>
      <c r="B38" s="12"/>
      <c r="C38" s="12"/>
      <c r="D38" s="12"/>
      <c r="E38" s="12"/>
      <c r="F38" s="12"/>
    </row>
    <row r="39" spans="1:10" ht="14.25" x14ac:dyDescent="0.25">
      <c r="A39" s="250" t="s">
        <v>535</v>
      </c>
      <c r="B39" s="12"/>
      <c r="C39" s="12"/>
      <c r="D39" s="12"/>
      <c r="E39" s="12"/>
      <c r="F39" s="12"/>
    </row>
    <row r="40" spans="1:10" ht="14.25" x14ac:dyDescent="0.25">
      <c r="A40" s="11" t="s">
        <v>311</v>
      </c>
      <c r="B40" s="12"/>
      <c r="C40" s="12"/>
      <c r="D40" s="12"/>
      <c r="E40" s="12"/>
      <c r="F40" s="12"/>
    </row>
    <row r="41" spans="1:10" x14ac:dyDescent="0.2">
      <c r="A41" s="12"/>
      <c r="B41" s="12"/>
      <c r="C41" s="12"/>
      <c r="D41" s="12"/>
      <c r="E41" s="12"/>
      <c r="F41" s="12"/>
    </row>
    <row r="42" spans="1:10" ht="14.25" x14ac:dyDescent="0.25">
      <c r="A42" s="250" t="s">
        <v>550</v>
      </c>
      <c r="B42" s="12"/>
      <c r="C42" s="12"/>
      <c r="D42" s="12"/>
      <c r="E42" s="12"/>
      <c r="F42" s="12"/>
    </row>
    <row r="43" spans="1:10" x14ac:dyDescent="0.2">
      <c r="A43" s="12"/>
      <c r="B43" s="12"/>
      <c r="C43" s="12"/>
      <c r="D43" s="12"/>
      <c r="E43" s="12"/>
      <c r="F43" s="12"/>
    </row>
    <row r="44" spans="1:10" ht="14.25" x14ac:dyDescent="0.25">
      <c r="A44" s="7" t="s">
        <v>536</v>
      </c>
      <c r="B44" s="12"/>
      <c r="C44" s="12"/>
      <c r="D44" s="12"/>
      <c r="E44" s="12"/>
      <c r="F44" s="12"/>
    </row>
    <row r="46" spans="1:10" ht="18.75" x14ac:dyDescent="0.35">
      <c r="A46" s="105" t="s">
        <v>538</v>
      </c>
    </row>
    <row r="47" spans="1:10" ht="13.5" thickBot="1" x14ac:dyDescent="0.25"/>
    <row r="48" spans="1:10" ht="18" x14ac:dyDescent="0.35">
      <c r="B48" s="30" t="s">
        <v>312</v>
      </c>
      <c r="C48" s="30" t="s">
        <v>313</v>
      </c>
      <c r="D48" s="30" t="s">
        <v>314</v>
      </c>
      <c r="E48" s="30" t="s">
        <v>315</v>
      </c>
      <c r="F48" s="30" t="s">
        <v>316</v>
      </c>
      <c r="G48" s="30" t="s">
        <v>317</v>
      </c>
      <c r="H48" s="242" t="s">
        <v>318</v>
      </c>
      <c r="I48" s="251" t="s">
        <v>319</v>
      </c>
      <c r="J48" s="252" t="s">
        <v>320</v>
      </c>
    </row>
    <row r="49" spans="1:10" x14ac:dyDescent="0.2">
      <c r="A49" s="142" t="s">
        <v>285</v>
      </c>
      <c r="B49" s="29">
        <f>0.17*10^3</f>
        <v>170</v>
      </c>
      <c r="C49" s="29">
        <v>1216</v>
      </c>
      <c r="D49" s="29">
        <v>0.65</v>
      </c>
      <c r="E49" s="29">
        <f>0.8*E7</f>
        <v>1.64</v>
      </c>
      <c r="F49" s="85">
        <v>247</v>
      </c>
      <c r="G49" s="85">
        <f>136/3.6</f>
        <v>37.777777777777779</v>
      </c>
      <c r="H49" s="90">
        <f>1.2*G49/SQRT(2)</f>
        <v>32.055507413790153</v>
      </c>
      <c r="I49" s="268">
        <f>B49*C49*E49*D49</f>
        <v>220363.51999999999</v>
      </c>
      <c r="J49" s="269">
        <f t="shared" ref="J49:J58" si="6">F49*g*H49</f>
        <v>77672.738349132516</v>
      </c>
    </row>
    <row r="50" spans="1:10" x14ac:dyDescent="0.2">
      <c r="A50" s="142" t="s">
        <v>286</v>
      </c>
      <c r="B50" s="29">
        <f>0.163*10^3</f>
        <v>163</v>
      </c>
      <c r="C50" s="29">
        <v>1000</v>
      </c>
      <c r="D50" s="29">
        <v>0.65</v>
      </c>
      <c r="E50" s="29">
        <f>0.8*E8</f>
        <v>1.4400000000000002</v>
      </c>
      <c r="F50" s="85">
        <v>302.68</v>
      </c>
      <c r="G50" s="85">
        <f>134/3.6</f>
        <v>37.222222222222221</v>
      </c>
      <c r="H50" s="90">
        <f t="shared" ref="H50:H58" si="7">1.2*G50/SQRT(2)</f>
        <v>31.58410289299912</v>
      </c>
      <c r="I50" s="268">
        <f t="shared" ref="I50:I58" si="8">B50*C50*E50*D50</f>
        <v>152568.00000000003</v>
      </c>
      <c r="J50" s="269">
        <f t="shared" si="6"/>
        <v>93782.386146435674</v>
      </c>
    </row>
    <row r="51" spans="1:10" x14ac:dyDescent="0.2">
      <c r="A51" s="142" t="s">
        <v>288</v>
      </c>
      <c r="B51" s="29">
        <f>0.194*10^3</f>
        <v>194</v>
      </c>
      <c r="C51" s="29">
        <v>1000</v>
      </c>
      <c r="D51" s="29">
        <v>0.65</v>
      </c>
      <c r="E51" s="29">
        <f>0.8*E9</f>
        <v>1.4400000000000002</v>
      </c>
      <c r="F51" s="85">
        <v>302.68</v>
      </c>
      <c r="G51" s="85">
        <f>134/3.6</f>
        <v>37.222222222222221</v>
      </c>
      <c r="H51" s="90">
        <f t="shared" si="7"/>
        <v>31.58410289299912</v>
      </c>
      <c r="I51" s="268">
        <f t="shared" si="8"/>
        <v>181584.00000000006</v>
      </c>
      <c r="J51" s="269">
        <f t="shared" si="6"/>
        <v>93782.386146435674</v>
      </c>
    </row>
    <row r="52" spans="1:10" x14ac:dyDescent="0.2">
      <c r="A52" s="142" t="s">
        <v>289</v>
      </c>
      <c r="B52" s="29">
        <f>0.191*10^3</f>
        <v>191</v>
      </c>
      <c r="C52" s="29">
        <v>1178</v>
      </c>
      <c r="D52" s="29">
        <v>0.65</v>
      </c>
      <c r="E52" s="29">
        <f>0.8*E10</f>
        <v>1.4400000000000002</v>
      </c>
      <c r="F52" s="85">
        <v>347</v>
      </c>
      <c r="G52" s="85">
        <f>141/3.6</f>
        <v>39.166666666666664</v>
      </c>
      <c r="H52" s="90">
        <f t="shared" si="7"/>
        <v>33.234018715767725</v>
      </c>
      <c r="I52" s="268">
        <f t="shared" si="8"/>
        <v>210598.12800000006</v>
      </c>
      <c r="J52" s="269">
        <f t="shared" si="6"/>
        <v>113130.92608978345</v>
      </c>
    </row>
    <row r="53" spans="1:10" x14ac:dyDescent="0.2">
      <c r="A53" s="142" t="s">
        <v>291</v>
      </c>
      <c r="B53" s="29">
        <f>0.2235*10^3</f>
        <v>223.5</v>
      </c>
      <c r="C53" s="29">
        <v>1550</v>
      </c>
      <c r="D53" s="29">
        <v>0.65</v>
      </c>
      <c r="E53" s="29">
        <f>0.8*E12</f>
        <v>1.92</v>
      </c>
      <c r="F53" s="85">
        <v>304.3</v>
      </c>
      <c r="G53" s="85">
        <f>165/3.6</f>
        <v>45.833333333333336</v>
      </c>
      <c r="H53" s="90">
        <f t="shared" si="7"/>
        <v>38.890872965260108</v>
      </c>
      <c r="I53" s="268">
        <f t="shared" si="8"/>
        <v>432338.4</v>
      </c>
      <c r="J53" s="269">
        <f t="shared" si="6"/>
        <v>116096.37283105409</v>
      </c>
    </row>
    <row r="54" spans="1:10" x14ac:dyDescent="0.2">
      <c r="A54" s="142" t="s">
        <v>293</v>
      </c>
      <c r="B54" s="29">
        <f>0.284*10^3</f>
        <v>284</v>
      </c>
      <c r="C54" s="29">
        <v>1287</v>
      </c>
      <c r="D54" s="29">
        <v>0.65</v>
      </c>
      <c r="E54" s="29">
        <f>0.8*E13</f>
        <v>1.4400000000000002</v>
      </c>
      <c r="F54" s="85">
        <v>314.60000000000002</v>
      </c>
      <c r="G54" s="85">
        <f>173/3.6</f>
        <v>48.055555555555557</v>
      </c>
      <c r="H54" s="90">
        <f t="shared" si="7"/>
        <v>40.776491048424234</v>
      </c>
      <c r="I54" s="268">
        <f t="shared" si="8"/>
        <v>342115.48800000001</v>
      </c>
      <c r="J54" s="269">
        <f t="shared" si="6"/>
        <v>125845.46686241415</v>
      </c>
    </row>
    <row r="55" spans="1:10" x14ac:dyDescent="0.2">
      <c r="A55" s="142" t="s">
        <v>295</v>
      </c>
      <c r="B55" s="29">
        <f>0.2715*10^3</f>
        <v>271.5</v>
      </c>
      <c r="C55" s="29">
        <v>1291</v>
      </c>
      <c r="D55" s="29">
        <v>0.65</v>
      </c>
      <c r="E55" s="29">
        <f>0.8*E14</f>
        <v>1.4400000000000002</v>
      </c>
      <c r="F55" s="85">
        <v>409.04</v>
      </c>
      <c r="G55" s="85">
        <f>206/3.6</f>
        <v>57.222222222222221</v>
      </c>
      <c r="H55" s="90">
        <f t="shared" si="7"/>
        <v>48.554665641476255</v>
      </c>
      <c r="I55" s="268">
        <f t="shared" si="8"/>
        <v>328074.08400000003</v>
      </c>
      <c r="J55" s="269">
        <f t="shared" si="6"/>
        <v>194834.4522574365</v>
      </c>
    </row>
    <row r="56" spans="1:10" x14ac:dyDescent="0.2">
      <c r="A56" s="142" t="s">
        <v>301</v>
      </c>
      <c r="B56" s="29">
        <f>0.156*10^3</f>
        <v>156</v>
      </c>
      <c r="C56" s="29">
        <v>1550</v>
      </c>
      <c r="D56" s="29">
        <v>0.65</v>
      </c>
      <c r="E56" s="29">
        <f>0.8*E17</f>
        <v>1.92</v>
      </c>
      <c r="F56" s="85">
        <v>286.93</v>
      </c>
      <c r="G56" s="85">
        <f>160/3.6</f>
        <v>44.444444444444443</v>
      </c>
      <c r="H56" s="90">
        <f t="shared" si="7"/>
        <v>37.712361663282529</v>
      </c>
      <c r="I56" s="268">
        <f t="shared" si="8"/>
        <v>301766.40000000002</v>
      </c>
      <c r="J56" s="269">
        <f t="shared" si="6"/>
        <v>106152.12581336789</v>
      </c>
    </row>
    <row r="57" spans="1:10" x14ac:dyDescent="0.2">
      <c r="A57" s="142" t="s">
        <v>303</v>
      </c>
      <c r="B57" s="29">
        <f>0.1728*10^3</f>
        <v>172.8</v>
      </c>
      <c r="C57" s="29">
        <v>1006</v>
      </c>
      <c r="D57" s="29">
        <v>0.65</v>
      </c>
      <c r="E57" s="29">
        <f>0.8*E18</f>
        <v>1.4400000000000002</v>
      </c>
      <c r="F57" s="85">
        <v>269.64</v>
      </c>
      <c r="G57" s="85">
        <f>141/3.6</f>
        <v>39.166666666666664</v>
      </c>
      <c r="H57" s="90">
        <f t="shared" si="7"/>
        <v>33.234018715767725</v>
      </c>
      <c r="I57" s="268">
        <f t="shared" si="8"/>
        <v>162711.24480000004</v>
      </c>
      <c r="J57" s="269">
        <f t="shared" si="6"/>
        <v>87909.576111957373</v>
      </c>
    </row>
    <row r="58" spans="1:10" x14ac:dyDescent="0.2">
      <c r="A58" s="142" t="s">
        <v>304</v>
      </c>
      <c r="B58" s="29">
        <f>0.1799*10^3</f>
        <v>179.9</v>
      </c>
      <c r="C58" s="29">
        <v>1290</v>
      </c>
      <c r="D58" s="29">
        <v>0.65</v>
      </c>
      <c r="E58" s="29">
        <f>0.8*E19</f>
        <v>1.952</v>
      </c>
      <c r="F58" s="85">
        <v>373.7</v>
      </c>
      <c r="G58" s="85">
        <v>54.121000000000002</v>
      </c>
      <c r="H58" s="90">
        <f t="shared" si="7"/>
        <v>45.923191325516562</v>
      </c>
      <c r="I58" s="268">
        <f t="shared" si="8"/>
        <v>294451.68479999999</v>
      </c>
      <c r="J58" s="269">
        <f t="shared" si="6"/>
        <v>168354.28162976974</v>
      </c>
    </row>
    <row r="59" spans="1:10" ht="13.5" thickBot="1" x14ac:dyDescent="0.25"/>
    <row r="60" spans="1:10" ht="15" thickBot="1" x14ac:dyDescent="0.3">
      <c r="I60" s="249" t="s">
        <v>537</v>
      </c>
      <c r="J60" s="131">
        <f>2.25</f>
        <v>2.25</v>
      </c>
    </row>
    <row r="61" spans="1:10" ht="18.75" x14ac:dyDescent="0.35">
      <c r="A61" s="248" t="s">
        <v>539</v>
      </c>
    </row>
    <row r="67" spans="1:13" ht="15.75" thickBot="1" x14ac:dyDescent="0.3">
      <c r="A67" s="89"/>
    </row>
    <row r="68" spans="1:13" ht="14.25" x14ac:dyDescent="0.2">
      <c r="A68" s="29"/>
      <c r="B68" s="30" t="s">
        <v>326</v>
      </c>
      <c r="C68" s="253" t="s">
        <v>342</v>
      </c>
      <c r="D68" s="30" t="s">
        <v>327</v>
      </c>
      <c r="E68" s="30" t="s">
        <v>328</v>
      </c>
      <c r="F68" s="253" t="s">
        <v>343</v>
      </c>
      <c r="G68" s="30" t="s">
        <v>329</v>
      </c>
      <c r="H68" s="30" t="s">
        <v>330</v>
      </c>
      <c r="I68" s="30" t="s">
        <v>331</v>
      </c>
      <c r="J68" s="242" t="s">
        <v>8</v>
      </c>
      <c r="K68" s="244" t="s">
        <v>332</v>
      </c>
      <c r="L68" s="68" t="s">
        <v>60</v>
      </c>
      <c r="M68" s="254" t="s">
        <v>344</v>
      </c>
    </row>
    <row r="69" spans="1:13" x14ac:dyDescent="0.2">
      <c r="A69" s="144" t="s">
        <v>333</v>
      </c>
      <c r="B69" s="85">
        <v>199.61500000000001</v>
      </c>
      <c r="C69" s="85">
        <v>146.77000000000001</v>
      </c>
      <c r="D69" s="85">
        <v>36.231000000000002</v>
      </c>
      <c r="E69" s="85">
        <v>33.448</v>
      </c>
      <c r="F69" s="85">
        <v>19.297000000000001</v>
      </c>
      <c r="G69" s="85">
        <f t="shared" ref="G69:G78" si="9">SUM(B69:F69)</f>
        <v>435.36099999999999</v>
      </c>
      <c r="H69" s="85">
        <v>70.069999999999993</v>
      </c>
      <c r="I69" s="85">
        <f>G69/H69</f>
        <v>6.213229627515342</v>
      </c>
      <c r="J69" s="90">
        <v>12</v>
      </c>
      <c r="K69" s="124">
        <f>J69/I69</f>
        <v>1.9313627081892957</v>
      </c>
      <c r="L69" s="25">
        <v>15.83</v>
      </c>
      <c r="M69" s="124">
        <f>L69^2</f>
        <v>250.5889</v>
      </c>
    </row>
    <row r="70" spans="1:13" x14ac:dyDescent="0.2">
      <c r="A70" s="144" t="s">
        <v>334</v>
      </c>
      <c r="B70" s="85">
        <v>153.52099999999999</v>
      </c>
      <c r="C70" s="85">
        <v>87.605999999999995</v>
      </c>
      <c r="D70" s="85">
        <v>21.3</v>
      </c>
      <c r="E70" s="85">
        <v>17.053000000000001</v>
      </c>
      <c r="F70" s="85">
        <v>9.093</v>
      </c>
      <c r="G70" s="85">
        <f t="shared" si="9"/>
        <v>288.57299999999998</v>
      </c>
      <c r="H70" s="85">
        <v>42.1</v>
      </c>
      <c r="I70" s="85">
        <f t="shared" ref="I70:I78" si="10">G70/H70</f>
        <v>6.8544655581947733</v>
      </c>
      <c r="J70" s="90">
        <v>12.41</v>
      </c>
      <c r="K70" s="124">
        <f t="shared" ref="K70:K78" si="11">J70/I70</f>
        <v>1.8104985566910281</v>
      </c>
      <c r="L70" s="25">
        <v>18.66</v>
      </c>
      <c r="M70" s="124">
        <f t="shared" ref="M70:M78" si="12">L70^2</f>
        <v>348.19560000000001</v>
      </c>
    </row>
    <row r="71" spans="1:13" x14ac:dyDescent="0.2">
      <c r="A71" s="144" t="s">
        <v>335</v>
      </c>
      <c r="B71" s="85">
        <v>121.495</v>
      </c>
      <c r="C71" s="85">
        <v>86.72</v>
      </c>
      <c r="D71" s="85">
        <v>23.177</v>
      </c>
      <c r="E71" s="85">
        <v>16.021999999999998</v>
      </c>
      <c r="F71" s="85">
        <v>12.403</v>
      </c>
      <c r="G71" s="85">
        <f t="shared" si="9"/>
        <v>259.81700000000001</v>
      </c>
      <c r="H71" s="85">
        <v>41.81</v>
      </c>
      <c r="I71" s="85">
        <f t="shared" si="10"/>
        <v>6.214231045204496</v>
      </c>
      <c r="J71" s="90">
        <v>11</v>
      </c>
      <c r="K71" s="124">
        <f t="shared" si="11"/>
        <v>1.7701305149393614</v>
      </c>
      <c r="L71" s="25">
        <v>16</v>
      </c>
      <c r="M71" s="124">
        <f t="shared" si="12"/>
        <v>256</v>
      </c>
    </row>
    <row r="72" spans="1:13" x14ac:dyDescent="0.2">
      <c r="A72" s="144" t="s">
        <v>336</v>
      </c>
      <c r="B72" s="85">
        <v>188.471</v>
      </c>
      <c r="C72" s="85">
        <v>162.98599999999999</v>
      </c>
      <c r="D72" s="85">
        <v>16.343</v>
      </c>
      <c r="E72" s="85">
        <v>18.847000000000001</v>
      </c>
      <c r="F72" s="85">
        <v>8.7409999999999997</v>
      </c>
      <c r="G72" s="85">
        <f t="shared" si="9"/>
        <v>395.38799999999998</v>
      </c>
      <c r="H72" s="85">
        <v>78.3</v>
      </c>
      <c r="I72" s="85">
        <f t="shared" si="10"/>
        <v>5.049655172413793</v>
      </c>
      <c r="J72" s="90">
        <v>11.98</v>
      </c>
      <c r="K72" s="124">
        <f t="shared" si="11"/>
        <v>2.3724392242556678</v>
      </c>
      <c r="L72" s="25">
        <v>15.58</v>
      </c>
      <c r="M72" s="124">
        <f t="shared" si="12"/>
        <v>242.7364</v>
      </c>
    </row>
    <row r="73" spans="1:13" x14ac:dyDescent="0.2">
      <c r="A73" s="144" t="s">
        <v>337</v>
      </c>
      <c r="B73" s="85">
        <v>135.77799999999999</v>
      </c>
      <c r="C73" s="85">
        <v>81.953000000000003</v>
      </c>
      <c r="D73" s="85">
        <v>12.529</v>
      </c>
      <c r="E73" s="85">
        <v>11.831</v>
      </c>
      <c r="F73" s="85">
        <v>6.7069999999999999</v>
      </c>
      <c r="G73" s="85">
        <f t="shared" si="9"/>
        <v>248.79799999999997</v>
      </c>
      <c r="H73" s="85">
        <v>39.4</v>
      </c>
      <c r="I73" s="85">
        <f t="shared" si="10"/>
        <v>6.3146700507614213</v>
      </c>
      <c r="J73" s="90">
        <v>9.93</v>
      </c>
      <c r="K73" s="124">
        <f t="shared" si="11"/>
        <v>1.5725287180765117</v>
      </c>
      <c r="L73" s="25">
        <v>14.16</v>
      </c>
      <c r="M73" s="124">
        <f t="shared" si="12"/>
        <v>200.50560000000002</v>
      </c>
    </row>
    <row r="74" spans="1:13" x14ac:dyDescent="0.2">
      <c r="A74" s="144" t="s">
        <v>338</v>
      </c>
      <c r="B74" s="85">
        <v>100.202</v>
      </c>
      <c r="C74" s="85">
        <v>67.384</v>
      </c>
      <c r="D74" s="85">
        <v>8.2140000000000004</v>
      </c>
      <c r="E74" s="85">
        <v>13.4</v>
      </c>
      <c r="F74" s="85">
        <v>4.3979999999999997</v>
      </c>
      <c r="G74" s="85">
        <f t="shared" si="9"/>
        <v>193.59800000000001</v>
      </c>
      <c r="H74" s="85">
        <v>32.4</v>
      </c>
      <c r="I74" s="85">
        <f t="shared" si="10"/>
        <v>5.9752469135802473</v>
      </c>
      <c r="J74" s="90">
        <v>10.47</v>
      </c>
      <c r="K74" s="124">
        <f t="shared" si="11"/>
        <v>1.7522288453393113</v>
      </c>
      <c r="L74" s="25">
        <v>11.33</v>
      </c>
      <c r="M74" s="124">
        <f t="shared" si="12"/>
        <v>128.3689</v>
      </c>
    </row>
    <row r="75" spans="1:13" x14ac:dyDescent="0.2">
      <c r="A75" s="144" t="s">
        <v>339</v>
      </c>
      <c r="B75" s="85">
        <v>135.24299999999999</v>
      </c>
      <c r="C75" s="85">
        <v>83.176000000000002</v>
      </c>
      <c r="D75" s="85">
        <v>18.55</v>
      </c>
      <c r="E75" s="85">
        <v>22.795000000000002</v>
      </c>
      <c r="F75" s="85">
        <v>9.9290000000000003</v>
      </c>
      <c r="G75" s="85">
        <f t="shared" si="9"/>
        <v>269.69299999999998</v>
      </c>
      <c r="H75" s="85">
        <v>40</v>
      </c>
      <c r="I75" s="85">
        <f t="shared" si="10"/>
        <v>6.7423249999999992</v>
      </c>
      <c r="J75" s="90">
        <v>11</v>
      </c>
      <c r="K75" s="124">
        <f t="shared" si="11"/>
        <v>1.6314846881454099</v>
      </c>
      <c r="L75" s="25">
        <v>13.91</v>
      </c>
      <c r="M75" s="124">
        <f t="shared" si="12"/>
        <v>193.4881</v>
      </c>
    </row>
    <row r="76" spans="1:13" x14ac:dyDescent="0.2">
      <c r="A76" s="144" t="s">
        <v>340</v>
      </c>
      <c r="B76" s="85">
        <v>187.57300000000001</v>
      </c>
      <c r="C76" s="85">
        <v>117.01600000000001</v>
      </c>
      <c r="D76" s="85">
        <v>18.419</v>
      </c>
      <c r="E76" s="85">
        <v>20.221</v>
      </c>
      <c r="F76" s="85">
        <v>9.8629999999999995</v>
      </c>
      <c r="G76" s="85">
        <f t="shared" si="9"/>
        <v>353.09199999999998</v>
      </c>
      <c r="H76" s="85">
        <v>56.2</v>
      </c>
      <c r="I76" s="85">
        <f t="shared" si="10"/>
        <v>6.2827758007117431</v>
      </c>
      <c r="J76" s="90">
        <v>13.4</v>
      </c>
      <c r="K76" s="124">
        <f t="shared" si="11"/>
        <v>2.1328152436192269</v>
      </c>
      <c r="L76" s="25">
        <v>15.66</v>
      </c>
      <c r="M76" s="124">
        <f t="shared" si="12"/>
        <v>245.23560000000001</v>
      </c>
    </row>
    <row r="77" spans="1:13" x14ac:dyDescent="0.2">
      <c r="A77" s="144" t="s">
        <v>341</v>
      </c>
      <c r="B77" s="85">
        <v>167.56700000000001</v>
      </c>
      <c r="C77" s="85">
        <v>113.422</v>
      </c>
      <c r="D77" s="85">
        <v>24.099</v>
      </c>
      <c r="E77" s="85">
        <v>25.725000000000001</v>
      </c>
      <c r="F77" s="85">
        <v>12.898</v>
      </c>
      <c r="G77" s="85">
        <f t="shared" si="9"/>
        <v>343.71100000000007</v>
      </c>
      <c r="H77" s="85">
        <v>54.5</v>
      </c>
      <c r="I77" s="85">
        <f t="shared" si="10"/>
        <v>6.3066238532110104</v>
      </c>
      <c r="J77" s="90">
        <v>11.1</v>
      </c>
      <c r="K77" s="124">
        <f t="shared" si="11"/>
        <v>1.7600542316073675</v>
      </c>
      <c r="L77" s="25">
        <v>14.66</v>
      </c>
      <c r="M77" s="124">
        <f t="shared" si="12"/>
        <v>214.91560000000001</v>
      </c>
    </row>
    <row r="78" spans="1:13" ht="13.5" thickBot="1" x14ac:dyDescent="0.25">
      <c r="A78" s="144" t="s">
        <v>304</v>
      </c>
      <c r="B78" s="85">
        <v>207.09</v>
      </c>
      <c r="C78" s="85">
        <v>126.92400000000001</v>
      </c>
      <c r="D78" s="85">
        <v>24.1</v>
      </c>
      <c r="E78" s="85">
        <v>25.725000000000001</v>
      </c>
      <c r="F78" s="85">
        <v>12.898</v>
      </c>
      <c r="G78" s="85">
        <f t="shared" si="9"/>
        <v>396.73700000000008</v>
      </c>
      <c r="H78" s="85">
        <v>61</v>
      </c>
      <c r="I78" s="85">
        <f t="shared" si="10"/>
        <v>6.5038852459016407</v>
      </c>
      <c r="J78" s="90">
        <v>12</v>
      </c>
      <c r="K78" s="125">
        <f t="shared" si="11"/>
        <v>1.845051003561553</v>
      </c>
      <c r="L78" s="25">
        <v>16.66</v>
      </c>
      <c r="M78" s="125">
        <f t="shared" si="12"/>
        <v>277.55560000000003</v>
      </c>
    </row>
    <row r="79" spans="1:13" ht="13.5" thickBot="1" x14ac:dyDescent="0.25"/>
    <row r="80" spans="1:13" ht="15" thickBot="1" x14ac:dyDescent="0.3">
      <c r="L80" s="255" t="s">
        <v>540</v>
      </c>
      <c r="M80" s="270">
        <f>SQRT(125.9)</f>
        <v>11.220516922138659</v>
      </c>
    </row>
    <row r="82" spans="1:4" ht="15.75" x14ac:dyDescent="0.25">
      <c r="A82" s="105" t="s">
        <v>345</v>
      </c>
    </row>
    <row r="84" spans="1:4" ht="18.75" x14ac:dyDescent="0.35">
      <c r="A84" s="141" t="s">
        <v>357</v>
      </c>
    </row>
    <row r="85" spans="1:4" x14ac:dyDescent="0.2">
      <c r="A85" s="12"/>
      <c r="B85" s="30" t="s">
        <v>348</v>
      </c>
      <c r="C85" s="30" t="s">
        <v>271</v>
      </c>
      <c r="D85" s="30" t="s">
        <v>347</v>
      </c>
    </row>
    <row r="86" spans="1:4" x14ac:dyDescent="0.2">
      <c r="A86" s="142" t="s">
        <v>286</v>
      </c>
      <c r="B86" s="86">
        <v>15649</v>
      </c>
      <c r="C86" s="86">
        <v>16466</v>
      </c>
      <c r="D86" s="85">
        <f>B86/C86</f>
        <v>0.95038260658326246</v>
      </c>
    </row>
    <row r="87" spans="1:4" x14ac:dyDescent="0.2">
      <c r="A87" s="142" t="s">
        <v>288</v>
      </c>
      <c r="B87" s="86">
        <v>15649</v>
      </c>
      <c r="C87" s="86">
        <v>16466</v>
      </c>
      <c r="D87" s="85">
        <f t="shared" ref="D87:D97" si="13">B87/C87</f>
        <v>0.95038260658326246</v>
      </c>
    </row>
    <row r="88" spans="1:4" x14ac:dyDescent="0.2">
      <c r="A88" s="142" t="s">
        <v>289</v>
      </c>
      <c r="B88" s="86">
        <v>19051</v>
      </c>
      <c r="C88" s="86">
        <v>19505</v>
      </c>
      <c r="D88" s="85">
        <f t="shared" si="13"/>
        <v>0.97672391694437322</v>
      </c>
    </row>
    <row r="89" spans="1:4" x14ac:dyDescent="0.2">
      <c r="A89" s="142" t="s">
        <v>290</v>
      </c>
      <c r="B89" s="86">
        <v>28009</v>
      </c>
      <c r="C89" s="86">
        <v>28009</v>
      </c>
      <c r="D89" s="85">
        <f t="shared" si="13"/>
        <v>1</v>
      </c>
    </row>
    <row r="90" spans="1:4" x14ac:dyDescent="0.2">
      <c r="A90" s="142" t="s">
        <v>291</v>
      </c>
      <c r="B90" s="86">
        <v>11700</v>
      </c>
      <c r="C90" s="86">
        <v>11990</v>
      </c>
      <c r="D90" s="85">
        <f t="shared" si="13"/>
        <v>0.97581317764803999</v>
      </c>
    </row>
    <row r="91" spans="1:4" x14ac:dyDescent="0.2">
      <c r="A91" s="142" t="s">
        <v>293</v>
      </c>
      <c r="B91" s="86">
        <v>12930</v>
      </c>
      <c r="C91" s="86">
        <v>13155</v>
      </c>
      <c r="D91" s="85">
        <f t="shared" si="13"/>
        <v>0.98289623717217789</v>
      </c>
    </row>
    <row r="92" spans="1:4" x14ac:dyDescent="0.2">
      <c r="A92" s="142" t="s">
        <v>295</v>
      </c>
      <c r="B92" s="86">
        <v>22000</v>
      </c>
      <c r="C92" s="86">
        <v>23000</v>
      </c>
      <c r="D92" s="85">
        <f t="shared" si="13"/>
        <v>0.95652173913043481</v>
      </c>
    </row>
    <row r="93" spans="1:4" x14ac:dyDescent="0.2">
      <c r="A93" s="142" t="s">
        <v>297</v>
      </c>
      <c r="B93" s="86">
        <v>13230</v>
      </c>
      <c r="C93" s="86">
        <v>13990</v>
      </c>
      <c r="D93" s="85">
        <f t="shared" si="13"/>
        <v>0.94567548248749111</v>
      </c>
    </row>
    <row r="94" spans="1:4" x14ac:dyDescent="0.2">
      <c r="A94" s="142" t="s">
        <v>299</v>
      </c>
      <c r="B94" s="86">
        <v>19100</v>
      </c>
      <c r="C94" s="86">
        <v>19150</v>
      </c>
      <c r="D94" s="85">
        <f t="shared" si="13"/>
        <v>0.99738903394255873</v>
      </c>
    </row>
    <row r="95" spans="1:4" x14ac:dyDescent="0.2">
      <c r="A95" s="142" t="s">
        <v>303</v>
      </c>
      <c r="B95" s="86">
        <v>14800</v>
      </c>
      <c r="C95" s="86">
        <v>15100</v>
      </c>
      <c r="D95" s="85">
        <f t="shared" si="13"/>
        <v>0.98013245033112584</v>
      </c>
    </row>
    <row r="96" spans="1:4" x14ac:dyDescent="0.2">
      <c r="A96" s="143" t="s">
        <v>304</v>
      </c>
      <c r="B96" s="86">
        <v>22350</v>
      </c>
      <c r="C96" s="86">
        <v>22800</v>
      </c>
      <c r="D96" s="85">
        <f t="shared" si="13"/>
        <v>0.98026315789473684</v>
      </c>
    </row>
    <row r="97" spans="1:7" ht="13.5" thickBot="1" x14ac:dyDescent="0.25">
      <c r="A97" s="142" t="s">
        <v>306</v>
      </c>
      <c r="B97" s="86">
        <v>18300</v>
      </c>
      <c r="C97" s="126">
        <v>18600</v>
      </c>
      <c r="D97" s="127">
        <f t="shared" si="13"/>
        <v>0.9838709677419355</v>
      </c>
    </row>
    <row r="98" spans="1:7" ht="13.5" thickBot="1" x14ac:dyDescent="0.25">
      <c r="C98" s="132" t="s">
        <v>349</v>
      </c>
      <c r="D98" s="133">
        <f>AVERAGE(D86:D97)</f>
        <v>0.97333761470494995</v>
      </c>
    </row>
    <row r="100" spans="1:7" ht="15.75" x14ac:dyDescent="0.25">
      <c r="A100" s="141" t="s">
        <v>346</v>
      </c>
    </row>
    <row r="101" spans="1:7" ht="13.5" thickBot="1" x14ac:dyDescent="0.25"/>
    <row r="102" spans="1:7" ht="13.5" thickBot="1" x14ac:dyDescent="0.25">
      <c r="A102" s="114"/>
      <c r="B102" s="256" t="s">
        <v>325</v>
      </c>
      <c r="C102" s="256" t="s">
        <v>321</v>
      </c>
      <c r="D102" s="115" t="s">
        <v>322</v>
      </c>
      <c r="E102" s="116"/>
      <c r="F102" s="116"/>
      <c r="G102" s="117"/>
    </row>
    <row r="103" spans="1:7" ht="14.25" x14ac:dyDescent="0.25">
      <c r="A103" s="257" t="s">
        <v>541</v>
      </c>
      <c r="B103" s="136">
        <v>0.13700000000000001</v>
      </c>
      <c r="C103" s="134">
        <v>0.107</v>
      </c>
      <c r="D103" s="101" t="s">
        <v>323</v>
      </c>
      <c r="E103" s="102"/>
      <c r="F103" s="102"/>
      <c r="G103" s="99"/>
    </row>
    <row r="104" spans="1:7" ht="15.75" x14ac:dyDescent="0.3">
      <c r="A104" s="258" t="s">
        <v>542</v>
      </c>
      <c r="B104" s="137">
        <v>1.9390000000000001</v>
      </c>
      <c r="C104" s="69">
        <v>1.7</v>
      </c>
      <c r="D104" s="106" t="s">
        <v>546</v>
      </c>
      <c r="E104" s="25"/>
      <c r="F104" s="25"/>
      <c r="G104" s="92"/>
    </row>
    <row r="105" spans="1:7" ht="15.75" x14ac:dyDescent="0.3">
      <c r="A105" s="258" t="s">
        <v>543</v>
      </c>
      <c r="B105" s="137">
        <v>1.643</v>
      </c>
      <c r="C105" s="135" t="s">
        <v>324</v>
      </c>
      <c r="D105" s="106" t="s">
        <v>547</v>
      </c>
      <c r="E105" s="25"/>
      <c r="F105" s="25"/>
      <c r="G105" s="92"/>
    </row>
    <row r="106" spans="1:7" ht="14.25" x14ac:dyDescent="0.25">
      <c r="A106" s="259" t="s">
        <v>544</v>
      </c>
      <c r="B106" s="138">
        <v>2.25</v>
      </c>
      <c r="C106" s="73">
        <v>2.34</v>
      </c>
      <c r="D106" s="79" t="s">
        <v>351</v>
      </c>
      <c r="E106" s="54"/>
      <c r="F106" s="25"/>
      <c r="G106" s="104"/>
    </row>
    <row r="107" spans="1:7" ht="15" thickBot="1" x14ac:dyDescent="0.3">
      <c r="A107" s="260" t="s">
        <v>545</v>
      </c>
      <c r="B107" s="139">
        <v>11.22</v>
      </c>
      <c r="C107" s="69">
        <v>17.25</v>
      </c>
      <c r="D107" s="106" t="s">
        <v>352</v>
      </c>
      <c r="E107" s="107"/>
      <c r="F107" s="107"/>
      <c r="G107" s="108"/>
    </row>
    <row r="108" spans="1:7" x14ac:dyDescent="0.2">
      <c r="A108" s="12"/>
      <c r="B108" s="59"/>
      <c r="C108" s="69">
        <v>16.190000000000001</v>
      </c>
      <c r="D108" s="113" t="s">
        <v>353</v>
      </c>
    </row>
    <row r="109" spans="1:7" ht="13.5" thickBot="1" x14ac:dyDescent="0.25">
      <c r="B109" s="59"/>
      <c r="C109" s="109">
        <v>15.15</v>
      </c>
      <c r="D109" s="113" t="s">
        <v>354</v>
      </c>
      <c r="E109" s="61"/>
      <c r="F109" s="61"/>
      <c r="G109" s="61"/>
    </row>
    <row r="110" spans="1:7" ht="16.5" thickBot="1" x14ac:dyDescent="0.35">
      <c r="C110" s="57"/>
      <c r="D110" s="110" t="s">
        <v>350</v>
      </c>
      <c r="E110" s="111"/>
      <c r="F110" s="111"/>
      <c r="G110" s="112"/>
    </row>
  </sheetData>
  <phoneticPr fontId="0" type="noConversion"/>
  <pageMargins left="0.7" right="0.7" top="0.75" bottom="0.75" header="0.3" footer="0.3"/>
  <pageSetup paperSize="9" orientation="portrait" verticalDpi="0" r:id="rId1"/>
  <drawing r:id="rId2"/>
  <legacyDrawing r:id="rId3"/>
  <oleObjects>
    <mc:AlternateContent xmlns:mc="http://schemas.openxmlformats.org/markup-compatibility/2006">
      <mc:Choice Requires="x14">
        <oleObject progId="Equation.3" shapeId="3564545" r:id="rId4">
          <objectPr defaultSize="0" r:id="rId5">
            <anchor moveWithCells="1">
              <from>
                <xdr:col>6</xdr:col>
                <xdr:colOff>133350</xdr:colOff>
                <xdr:row>0</xdr:row>
                <xdr:rowOff>47625</xdr:rowOff>
              </from>
              <to>
                <xdr:col>7</xdr:col>
                <xdr:colOff>180975</xdr:colOff>
                <xdr:row>3</xdr:row>
                <xdr:rowOff>0</xdr:rowOff>
              </to>
            </anchor>
          </objectPr>
        </oleObject>
      </mc:Choice>
      <mc:Fallback>
        <oleObject progId="Equation.3" shapeId="3564545" r:id="rId4"/>
      </mc:Fallback>
    </mc:AlternateContent>
    <mc:AlternateContent xmlns:mc="http://schemas.openxmlformats.org/markup-compatibility/2006">
      <mc:Choice Requires="x14">
        <oleObject progId="Equation.3" shapeId="3564546" r:id="rId6">
          <objectPr defaultSize="0" r:id="rId7">
            <anchor moveWithCells="1">
              <from>
                <xdr:col>9</xdr:col>
                <xdr:colOff>19050</xdr:colOff>
                <xdr:row>0</xdr:row>
                <xdr:rowOff>57150</xdr:rowOff>
              </from>
              <to>
                <xdr:col>11</xdr:col>
                <xdr:colOff>142875</xdr:colOff>
                <xdr:row>2</xdr:row>
                <xdr:rowOff>9525</xdr:rowOff>
              </to>
            </anchor>
          </objectPr>
        </oleObject>
      </mc:Choice>
      <mc:Fallback>
        <oleObject progId="Equation.3" shapeId="3564546" r:id="rId6"/>
      </mc:Fallback>
    </mc:AlternateContent>
    <mc:AlternateContent xmlns:mc="http://schemas.openxmlformats.org/markup-compatibility/2006">
      <mc:Choice Requires="x14">
        <oleObject progId="Equation.3" shapeId="3564572" r:id="rId8">
          <objectPr defaultSize="0" r:id="rId9">
            <anchor moveWithCells="1">
              <from>
                <xdr:col>5</xdr:col>
                <xdr:colOff>257175</xdr:colOff>
                <xdr:row>43</xdr:row>
                <xdr:rowOff>28575</xdr:rowOff>
              </from>
              <to>
                <xdr:col>8</xdr:col>
                <xdr:colOff>66675</xdr:colOff>
                <xdr:row>45</xdr:row>
                <xdr:rowOff>66675</xdr:rowOff>
              </to>
            </anchor>
          </objectPr>
        </oleObject>
      </mc:Choice>
      <mc:Fallback>
        <oleObject progId="Equation.3" shapeId="3564572" r:id="rId8"/>
      </mc:Fallback>
    </mc:AlternateContent>
    <mc:AlternateContent xmlns:mc="http://schemas.openxmlformats.org/markup-compatibility/2006">
      <mc:Choice Requires="x14">
        <oleObject progId="Equation.DSMT4" shapeId="3564617" r:id="rId10">
          <objectPr defaultSize="0" r:id="rId11">
            <anchor moveWithCells="1">
              <from>
                <xdr:col>0</xdr:col>
                <xdr:colOff>0</xdr:colOff>
                <xdr:row>61</xdr:row>
                <xdr:rowOff>28575</xdr:rowOff>
              </from>
              <to>
                <xdr:col>0</xdr:col>
                <xdr:colOff>438150</xdr:colOff>
                <xdr:row>65</xdr:row>
                <xdr:rowOff>38100</xdr:rowOff>
              </to>
            </anchor>
          </objectPr>
        </oleObject>
      </mc:Choice>
      <mc:Fallback>
        <oleObject progId="Equation.DSMT4" shapeId="3564617" r:id="rId10"/>
      </mc:Fallback>
    </mc:AlternateContent>
  </oleObjec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19"/>
  <sheetViews>
    <sheetView zoomScaleNormal="100" workbookViewId="0">
      <selection activeCell="A2" sqref="A2"/>
    </sheetView>
  </sheetViews>
  <sheetFormatPr baseColWidth="10" defaultRowHeight="12.75" x14ac:dyDescent="0.2"/>
  <sheetData>
    <row r="1" spans="1:2" ht="15.75" x14ac:dyDescent="0.25">
      <c r="A1" s="105" t="s">
        <v>485</v>
      </c>
    </row>
    <row r="4" spans="1:2" ht="14.25" x14ac:dyDescent="0.2">
      <c r="A4" s="235" t="s">
        <v>484</v>
      </c>
    </row>
    <row r="5" spans="1:2" ht="14.25" x14ac:dyDescent="0.2">
      <c r="A5" s="235"/>
    </row>
    <row r="6" spans="1:2" x14ac:dyDescent="0.2">
      <c r="A6" s="12" t="s">
        <v>488</v>
      </c>
    </row>
    <row r="7" spans="1:2" x14ac:dyDescent="0.2">
      <c r="A7" s="12" t="s">
        <v>486</v>
      </c>
    </row>
    <row r="8" spans="1:2" x14ac:dyDescent="0.2">
      <c r="B8" s="12" t="s">
        <v>519</v>
      </c>
    </row>
    <row r="9" spans="1:2" x14ac:dyDescent="0.2">
      <c r="B9" s="12" t="s">
        <v>520</v>
      </c>
    </row>
    <row r="10" spans="1:2" x14ac:dyDescent="0.2">
      <c r="B10" s="12" t="s">
        <v>551</v>
      </c>
    </row>
    <row r="11" spans="1:2" x14ac:dyDescent="0.2">
      <c r="B11" s="12" t="s">
        <v>521</v>
      </c>
    </row>
    <row r="12" spans="1:2" x14ac:dyDescent="0.2">
      <c r="B12" s="12" t="s">
        <v>522</v>
      </c>
    </row>
    <row r="13" spans="1:2" x14ac:dyDescent="0.2">
      <c r="B13" s="12" t="s">
        <v>487</v>
      </c>
    </row>
    <row r="19" spans="1:7" x14ac:dyDescent="0.2">
      <c r="A19" s="12" t="s">
        <v>494</v>
      </c>
      <c r="D19" t="e">
        <f>IF(Prop_eff_formula="Wolf", (-0.0002*C14/1000+0.9001)*(1-e^(-0.134*(C14/1000)^(-0.3008)*C16)), IF(Prop_eff_formula="Truckenbrodt1", 0.9*2/(1+SQRT(1+2*C14/(C16^3))), 0.9*(2-2*C15^2*LN(1+1/C15^2))/(1+SQRT(1+2*C14/(C16^3))-2*C15^2*LN(1+1/C15^2))))</f>
        <v>#DIV/0!</v>
      </c>
      <c r="E19" s="215" t="s">
        <v>499</v>
      </c>
      <c r="F19" s="210"/>
      <c r="G19" s="210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5"/>
  <sheetViews>
    <sheetView workbookViewId="0">
      <selection activeCell="A27" sqref="A27"/>
    </sheetView>
  </sheetViews>
  <sheetFormatPr baseColWidth="10" defaultColWidth="11.42578125" defaultRowHeight="15" x14ac:dyDescent="0.25"/>
  <cols>
    <col min="1" max="16384" width="11.42578125" style="273"/>
  </cols>
  <sheetData>
    <row r="1" spans="1:7" x14ac:dyDescent="0.25">
      <c r="A1" s="271" t="s">
        <v>561</v>
      </c>
      <c r="B1" s="272"/>
      <c r="C1" s="272"/>
      <c r="D1" s="272"/>
      <c r="E1" s="272"/>
      <c r="F1" s="272"/>
      <c r="G1" s="272"/>
    </row>
    <row r="2" spans="1:7" x14ac:dyDescent="0.25">
      <c r="A2" s="271" t="s">
        <v>566</v>
      </c>
      <c r="B2" s="272"/>
      <c r="C2" s="272"/>
      <c r="D2" s="272"/>
      <c r="E2" s="272"/>
      <c r="F2" s="272"/>
      <c r="G2" s="272"/>
    </row>
    <row r="3" spans="1:7" x14ac:dyDescent="0.25">
      <c r="A3" s="272"/>
      <c r="B3" s="272"/>
      <c r="C3" s="272"/>
      <c r="D3" s="272"/>
      <c r="E3" s="272"/>
      <c r="F3" s="272"/>
      <c r="G3" s="272"/>
    </row>
    <row r="4" spans="1:7" x14ac:dyDescent="0.25">
      <c r="A4" s="272"/>
      <c r="B4" s="272"/>
      <c r="C4" s="272"/>
      <c r="D4" s="272"/>
      <c r="E4" s="272"/>
      <c r="F4" s="272"/>
      <c r="G4" s="272"/>
    </row>
    <row r="5" spans="1:7" x14ac:dyDescent="0.25">
      <c r="A5" s="272"/>
      <c r="B5" s="272"/>
      <c r="C5" s="272"/>
      <c r="D5" s="272"/>
      <c r="E5" s="272"/>
      <c r="F5" s="272"/>
      <c r="G5" s="272"/>
    </row>
    <row r="6" spans="1:7" x14ac:dyDescent="0.25">
      <c r="A6" s="272"/>
      <c r="B6" s="272"/>
      <c r="C6" s="272"/>
      <c r="D6" s="272"/>
      <c r="E6" s="272"/>
      <c r="F6" s="272"/>
      <c r="G6" s="272"/>
    </row>
    <row r="7" spans="1:7" x14ac:dyDescent="0.25">
      <c r="A7" s="272"/>
      <c r="B7" s="272"/>
      <c r="C7" s="272"/>
      <c r="D7" s="272"/>
      <c r="E7" s="272"/>
      <c r="F7" s="272"/>
      <c r="G7" s="272"/>
    </row>
    <row r="8" spans="1:7" x14ac:dyDescent="0.25">
      <c r="A8" s="272"/>
      <c r="B8" s="272"/>
      <c r="C8" s="272"/>
      <c r="D8" s="272"/>
      <c r="E8" s="272"/>
      <c r="F8" s="272"/>
      <c r="G8" s="272"/>
    </row>
    <row r="9" spans="1:7" x14ac:dyDescent="0.25">
      <c r="A9" s="274" t="s">
        <v>562</v>
      </c>
      <c r="B9" s="272"/>
      <c r="C9" s="272"/>
      <c r="D9" s="272"/>
      <c r="E9" s="272"/>
      <c r="F9" s="272"/>
      <c r="G9" s="272"/>
    </row>
    <row r="10" spans="1:7" x14ac:dyDescent="0.25">
      <c r="A10" s="275" t="s">
        <v>563</v>
      </c>
      <c r="B10" s="272"/>
      <c r="C10" s="272"/>
      <c r="D10" s="272"/>
      <c r="E10" s="272"/>
      <c r="F10" s="272"/>
      <c r="G10" s="272"/>
    </row>
    <row r="11" spans="1:7" x14ac:dyDescent="0.25">
      <c r="A11" s="274"/>
      <c r="B11" s="272"/>
      <c r="C11" s="272"/>
      <c r="D11" s="272"/>
      <c r="E11" s="272"/>
      <c r="F11" s="272"/>
      <c r="G11" s="272"/>
    </row>
    <row r="12" spans="1:7" x14ac:dyDescent="0.25">
      <c r="A12" s="274" t="s">
        <v>552</v>
      </c>
      <c r="B12" s="272"/>
      <c r="C12" s="272"/>
      <c r="D12" s="272"/>
      <c r="E12" s="272"/>
      <c r="F12" s="272"/>
      <c r="G12" s="272"/>
    </row>
    <row r="13" spans="1:7" x14ac:dyDescent="0.25">
      <c r="A13" s="274" t="s">
        <v>553</v>
      </c>
      <c r="B13" s="272"/>
      <c r="C13" s="272"/>
      <c r="D13" s="272"/>
      <c r="E13" s="272"/>
      <c r="F13" s="272"/>
      <c r="G13" s="272"/>
    </row>
    <row r="14" spans="1:7" x14ac:dyDescent="0.25">
      <c r="A14" s="274" t="s">
        <v>554</v>
      </c>
      <c r="B14" s="272"/>
      <c r="C14" s="272"/>
      <c r="D14" s="272"/>
      <c r="E14" s="272"/>
      <c r="F14" s="272"/>
      <c r="G14" s="272"/>
    </row>
    <row r="15" spans="1:7" x14ac:dyDescent="0.25">
      <c r="A15" s="274"/>
      <c r="B15" s="272"/>
      <c r="C15" s="272"/>
      <c r="D15" s="272"/>
      <c r="E15" s="272"/>
      <c r="F15" s="272"/>
      <c r="G15" s="272"/>
    </row>
    <row r="16" spans="1:7" x14ac:dyDescent="0.25">
      <c r="A16" s="274" t="s">
        <v>555</v>
      </c>
      <c r="B16" s="272"/>
      <c r="C16" s="272"/>
      <c r="D16" s="272"/>
      <c r="E16" s="272"/>
      <c r="F16" s="272"/>
      <c r="G16" s="272"/>
    </row>
    <row r="17" spans="1:7" x14ac:dyDescent="0.25">
      <c r="A17" s="274" t="s">
        <v>556</v>
      </c>
      <c r="B17" s="272"/>
      <c r="C17" s="272"/>
      <c r="D17" s="272"/>
      <c r="E17" s="272"/>
      <c r="F17" s="272"/>
      <c r="G17" s="272"/>
    </row>
    <row r="18" spans="1:7" x14ac:dyDescent="0.25">
      <c r="A18" s="274" t="s">
        <v>557</v>
      </c>
      <c r="B18" s="272"/>
      <c r="C18" s="272"/>
      <c r="D18" s="272"/>
      <c r="E18" s="272"/>
      <c r="F18" s="272"/>
      <c r="G18" s="272"/>
    </row>
    <row r="19" spans="1:7" x14ac:dyDescent="0.25">
      <c r="A19" s="274" t="s">
        <v>558</v>
      </c>
      <c r="B19" s="272"/>
      <c r="C19" s="272"/>
      <c r="D19" s="272"/>
      <c r="E19" s="272"/>
      <c r="F19" s="272"/>
      <c r="G19" s="272"/>
    </row>
    <row r="20" spans="1:7" x14ac:dyDescent="0.25">
      <c r="A20" s="272"/>
      <c r="B20" s="272"/>
      <c r="C20" s="272"/>
      <c r="D20" s="272"/>
      <c r="E20" s="272"/>
      <c r="F20" s="272"/>
      <c r="G20" s="272"/>
    </row>
    <row r="21" spans="1:7" x14ac:dyDescent="0.25">
      <c r="A21" s="276" t="s">
        <v>559</v>
      </c>
      <c r="B21" s="272"/>
      <c r="C21" s="272"/>
      <c r="D21" s="272"/>
      <c r="E21" s="272"/>
      <c r="F21" s="272"/>
      <c r="G21" s="272"/>
    </row>
    <row r="22" spans="1:7" x14ac:dyDescent="0.25">
      <c r="A22" s="272"/>
      <c r="B22" s="272"/>
      <c r="C22" s="272"/>
      <c r="D22" s="272"/>
      <c r="E22" s="272"/>
      <c r="F22" s="272"/>
      <c r="G22" s="272"/>
    </row>
    <row r="23" spans="1:7" x14ac:dyDescent="0.25">
      <c r="A23" s="272" t="s">
        <v>560</v>
      </c>
      <c r="B23" s="272"/>
      <c r="C23" s="272"/>
      <c r="D23" s="272"/>
      <c r="E23" s="272"/>
      <c r="F23" s="272"/>
      <c r="G23" s="272"/>
    </row>
    <row r="24" spans="1:7" x14ac:dyDescent="0.25">
      <c r="A24" s="277" t="s">
        <v>564</v>
      </c>
      <c r="B24" s="272"/>
      <c r="C24" s="272"/>
      <c r="D24" s="272"/>
      <c r="E24" s="272"/>
      <c r="F24" s="272"/>
      <c r="G24" s="272"/>
    </row>
    <row r="25" spans="1:7" x14ac:dyDescent="0.25">
      <c r="A25" s="272"/>
      <c r="B25" s="272"/>
      <c r="C25" s="272"/>
      <c r="D25" s="272"/>
      <c r="E25" s="272"/>
      <c r="F25" s="272"/>
      <c r="G25" s="272"/>
    </row>
  </sheetData>
  <hyperlinks>
    <hyperlink ref="A21" r:id="rId1" xr:uid="{00000000-0004-0000-0800-000000000000}"/>
    <hyperlink ref="A24" r:id="rId2" xr:uid="{00000000-0004-0000-0800-000001000000}"/>
  </hyperlinks>
  <pageMargins left="0.7" right="0.7" top="0.78740157499999996" bottom="0.78740157499999996" header="0.3" footer="0.3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baseColWidth="10" defaultColWidth="11.42578125" defaultRowHeight="12.75" x14ac:dyDescent="0.2"/>
  <sheetData/>
  <phoneticPr fontId="5" type="noConversion"/>
  <pageMargins left="0.75" right="0.75" top="1" bottom="1" header="0.4921259845" footer="0.4921259845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20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18</vt:i4>
      </vt:variant>
    </vt:vector>
  </HeadingPairs>
  <TitlesOfParts>
    <vt:vector size="39" baseType="lpstr">
      <vt:lpstr>Abstract</vt:lpstr>
      <vt:lpstr>Preliminary Sizing I</vt:lpstr>
      <vt:lpstr>Max. Glide Ratio in Cruise</vt:lpstr>
      <vt:lpstr>Propeller Efficiency</vt:lpstr>
      <vt:lpstr>Preliminary Sizing II</vt:lpstr>
      <vt:lpstr>Parameters-Statistics</vt:lpstr>
      <vt:lpstr>Help</vt:lpstr>
      <vt:lpstr>(c)</vt:lpstr>
      <vt:lpstr>Tabelle5</vt:lpstr>
      <vt:lpstr>Tabelle6</vt:lpstr>
      <vt:lpstr>Tabelle7</vt:lpstr>
      <vt:lpstr>Tabelle8</vt:lpstr>
      <vt:lpstr>Tabelle9</vt:lpstr>
      <vt:lpstr>Tabelle10</vt:lpstr>
      <vt:lpstr>Tabelle11</vt:lpstr>
      <vt:lpstr>Tabelle12</vt:lpstr>
      <vt:lpstr>Tabelle13</vt:lpstr>
      <vt:lpstr>Tabelle14</vt:lpstr>
      <vt:lpstr>Tabelle15</vt:lpstr>
      <vt:lpstr>Tabelle16</vt:lpstr>
      <vt:lpstr>Matching Chart</vt:lpstr>
      <vt:lpstr>Acoef</vt:lpstr>
      <vt:lpstr>CL</vt:lpstr>
      <vt:lpstr>CL_m</vt:lpstr>
      <vt:lpstr>e</vt:lpstr>
      <vt:lpstr>euler</vt:lpstr>
      <vt:lpstr>g</vt:lpstr>
      <vt:lpstr>gamma</vt:lpstr>
      <vt:lpstr>L</vt:lpstr>
      <vt:lpstr>L_D</vt:lpstr>
      <vt:lpstr>L_D_max</vt:lpstr>
      <vt:lpstr>M</vt:lpstr>
      <vt:lpstr>mcoef</vt:lpstr>
      <vt:lpstr>ncoef</vt:lpstr>
      <vt:lpstr>p0</vt:lpstr>
      <vt:lpstr>Prop_eff_formula</vt:lpstr>
      <vt:lpstr>propefcruise</vt:lpstr>
      <vt:lpstr>Rconstant</vt:lpstr>
      <vt:lpstr>T0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 Scholz</dc:creator>
  <cp:lastModifiedBy>Scholz, Dieter</cp:lastModifiedBy>
  <cp:lastPrinted>2006-03-12T23:14:33Z</cp:lastPrinted>
  <dcterms:created xsi:type="dcterms:W3CDTF">1998-10-31T17:05:42Z</dcterms:created>
  <dcterms:modified xsi:type="dcterms:W3CDTF">2024-01-21T17:48:17Z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ff_formula" linkTarget="Prop_eff_formula">
    <vt:lpwstr>Truckenbrodt2</vt:lpwstr>
  </property>
  <property fmtid="{D5CDD505-2E9C-101B-9397-08002B2CF9AE}" pid="3" name="MSIP_Label_defa4170-0d19-0005-0004-bc88714345d2_Enabled">
    <vt:lpwstr>true</vt:lpwstr>
  </property>
  <property fmtid="{D5CDD505-2E9C-101B-9397-08002B2CF9AE}" pid="4" name="MSIP_Label_defa4170-0d19-0005-0004-bc88714345d2_SetDate">
    <vt:lpwstr>2023-11-10T08:27:20Z</vt:lpwstr>
  </property>
  <property fmtid="{D5CDD505-2E9C-101B-9397-08002B2CF9AE}" pid="5" name="MSIP_Label_defa4170-0d19-0005-0004-bc88714345d2_Method">
    <vt:lpwstr>Standard</vt:lpwstr>
  </property>
  <property fmtid="{D5CDD505-2E9C-101B-9397-08002B2CF9AE}" pid="6" name="MSIP_Label_defa4170-0d19-0005-0004-bc88714345d2_Name">
    <vt:lpwstr>defa4170-0d19-0005-0004-bc88714345d2</vt:lpwstr>
  </property>
  <property fmtid="{D5CDD505-2E9C-101B-9397-08002B2CF9AE}" pid="7" name="MSIP_Label_defa4170-0d19-0005-0004-bc88714345d2_SiteId">
    <vt:lpwstr>2c6cac8d-ab61-47b3-8209-4df2e46aefbc</vt:lpwstr>
  </property>
  <property fmtid="{D5CDD505-2E9C-101B-9397-08002B2CF9AE}" pid="8" name="MSIP_Label_defa4170-0d19-0005-0004-bc88714345d2_ActionId">
    <vt:lpwstr>9cc04188-f412-4c45-8cf2-d5b2fcf18c04</vt:lpwstr>
  </property>
  <property fmtid="{D5CDD505-2E9C-101B-9397-08002B2CF9AE}" pid="9" name="MSIP_Label_defa4170-0d19-0005-0004-bc88714345d2_ContentBits">
    <vt:lpwstr>0</vt:lpwstr>
  </property>
</Properties>
</file>