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5" yWindow="105" windowWidth="11385" windowHeight="5655"/>
  </bookViews>
  <sheets>
    <sheet name="1.) Preliminary Sizing I" sheetId="2" r:id="rId1"/>
    <sheet name="2.) Max. Glide Ratio in Cruise" sheetId="17" r:id="rId2"/>
    <sheet name="3.) Preliminary Sizing II" sheetId="3" r:id="rId3"/>
    <sheet name="Matching Chart" sheetId="4" r:id="rId4"/>
    <sheet name="Tabelle5" sheetId="5" state="hidden" r:id="rId5"/>
    <sheet name="Tabelle6" sheetId="6" state="hidden" r:id="rId6"/>
    <sheet name="Tabelle7" sheetId="7" state="hidden" r:id="rId7"/>
    <sheet name="Tabelle8" sheetId="8" state="hidden" r:id="rId8"/>
    <sheet name="Tabelle9" sheetId="9" state="hidden" r:id="rId9"/>
    <sheet name="Tabelle10" sheetId="10" state="hidden" r:id="rId10"/>
    <sheet name="Tabelle11" sheetId="11" state="hidden" r:id="rId11"/>
    <sheet name="Tabelle12" sheetId="12" state="hidden" r:id="rId12"/>
    <sheet name="Tabelle13" sheetId="13" state="hidden" r:id="rId13"/>
    <sheet name="Tabelle14" sheetId="14" state="hidden" r:id="rId14"/>
    <sheet name="Tabelle15" sheetId="15" state="hidden" r:id="rId15"/>
    <sheet name="Tabelle16" sheetId="16" state="hidden" r:id="rId16"/>
  </sheets>
  <definedNames>
    <definedName name="a">'3.) Preliminary Sizing II'!$C$51</definedName>
    <definedName name="BPR">'3.) Preliminary Sizing II'!$C$6</definedName>
    <definedName name="CL">'3.) Preliminary Sizing II'!$G$8</definedName>
    <definedName name="CL_m">'3.) Preliminary Sizing II'!$C$11</definedName>
    <definedName name="e">'3.) Preliminary Sizing II'!$C$18</definedName>
    <definedName name="g">'3.) Preliminary Sizing II'!$C$16</definedName>
    <definedName name="gamma">'3.) Preliminary Sizing II'!$C$15</definedName>
    <definedName name="L_D">'3.) Preliminary Sizing II'!$G$9</definedName>
    <definedName name="L_D_max">'3.) Preliminary Sizing II'!$C$7</definedName>
    <definedName name="M">'3.) Preliminary Sizing II'!$C$12</definedName>
    <definedName name="p0">'3.) Preliminary Sizing II'!$C$17</definedName>
    <definedName name="V_CR">'3.) Preliminary Sizing II'!$C$52</definedName>
  </definedNames>
  <calcPr calcId="125725"/>
</workbook>
</file>

<file path=xl/calcChain.xml><?xml version="1.0" encoding="utf-8"?>
<calcChain xmlns="http://schemas.openxmlformats.org/spreadsheetml/2006/main">
  <c r="C13" i="2"/>
  <c r="C17"/>
  <c r="C18"/>
  <c r="C20"/>
  <c r="C22"/>
  <c r="C23"/>
  <c r="C27"/>
  <c r="C29"/>
  <c r="C30"/>
  <c r="C33"/>
  <c r="C34"/>
  <c r="C39"/>
  <c r="C41"/>
  <c r="C42"/>
  <c r="C43"/>
  <c r="C60"/>
  <c r="C66"/>
  <c r="C68"/>
  <c r="C71"/>
  <c r="C72"/>
  <c r="C73"/>
  <c r="C74"/>
  <c r="C78"/>
  <c r="C77"/>
  <c r="C8" i="17"/>
  <c r="C18"/>
  <c r="C20"/>
  <c r="C21"/>
  <c r="C25"/>
  <c r="C7" i="3"/>
  <c r="G6"/>
  <c r="J6"/>
  <c r="G7"/>
  <c r="C8"/>
  <c r="B22"/>
  <c r="C22"/>
  <c r="E22"/>
  <c r="B23"/>
  <c r="C23"/>
  <c r="E23"/>
  <c r="B24"/>
  <c r="C24"/>
  <c r="E24"/>
  <c r="B25"/>
  <c r="C25"/>
  <c r="E25"/>
  <c r="B26"/>
  <c r="C26"/>
  <c r="E26"/>
  <c r="B27"/>
  <c r="C27"/>
  <c r="E27"/>
  <c r="B28"/>
  <c r="C28"/>
  <c r="E28"/>
  <c r="B29"/>
  <c r="C29"/>
  <c r="E29"/>
  <c r="B30"/>
  <c r="C30"/>
  <c r="E30"/>
  <c r="B31"/>
  <c r="C31"/>
  <c r="E31"/>
  <c r="B32"/>
  <c r="C32"/>
  <c r="E32"/>
  <c r="B33"/>
  <c r="C33"/>
  <c r="E33"/>
  <c r="B34"/>
  <c r="C34"/>
  <c r="E34"/>
  <c r="B35"/>
  <c r="C35"/>
  <c r="E35"/>
  <c r="B36"/>
  <c r="C36"/>
  <c r="E36"/>
  <c r="B37"/>
  <c r="C37"/>
  <c r="E37"/>
  <c r="C56"/>
  <c r="C58"/>
  <c r="F61"/>
  <c r="C60"/>
  <c r="F60"/>
  <c r="C63"/>
  <c r="C70"/>
  <c r="C71"/>
  <c r="C93"/>
  <c r="C94"/>
  <c r="C97"/>
  <c r="G9"/>
  <c r="C10"/>
  <c r="C11"/>
  <c r="G8"/>
  <c r="H23"/>
  <c r="H25"/>
  <c r="H27"/>
  <c r="H29"/>
  <c r="H31"/>
  <c r="H33"/>
  <c r="H35"/>
  <c r="H37"/>
  <c r="H22"/>
  <c r="H24"/>
  <c r="H26"/>
  <c r="H28"/>
  <c r="H30"/>
  <c r="H32"/>
  <c r="H34"/>
  <c r="H36"/>
  <c r="F38"/>
  <c r="F39"/>
  <c r="C43"/>
  <c r="D37"/>
  <c r="J37"/>
  <c r="D35"/>
  <c r="J35"/>
  <c r="D33"/>
  <c r="J33"/>
  <c r="D31"/>
  <c r="J31"/>
  <c r="D29"/>
  <c r="J29"/>
  <c r="D27"/>
  <c r="J27"/>
  <c r="D25"/>
  <c r="J25"/>
  <c r="D23"/>
  <c r="J23"/>
  <c r="C44" i="2"/>
  <c r="C44" i="3"/>
  <c r="C50" i="2"/>
  <c r="C112" i="3"/>
  <c r="C45"/>
  <c r="C47"/>
  <c r="C88"/>
  <c r="C90"/>
  <c r="C52" i="2"/>
  <c r="C54"/>
  <c r="C56"/>
  <c r="C61"/>
  <c r="D22" i="3"/>
  <c r="J22"/>
  <c r="D24"/>
  <c r="J24"/>
  <c r="D26"/>
  <c r="J26"/>
  <c r="D28"/>
  <c r="J28"/>
  <c r="D30"/>
  <c r="J30"/>
  <c r="D32"/>
  <c r="J32"/>
  <c r="D34"/>
  <c r="J34"/>
  <c r="D36"/>
  <c r="J36"/>
  <c r="F23"/>
  <c r="I23"/>
  <c r="F25"/>
  <c r="I25"/>
  <c r="F27"/>
  <c r="I27"/>
  <c r="F29"/>
  <c r="I29"/>
  <c r="F31"/>
  <c r="I31"/>
  <c r="F33"/>
  <c r="I33"/>
  <c r="F35"/>
  <c r="I35"/>
  <c r="F37"/>
  <c r="I37"/>
  <c r="F22"/>
  <c r="I22"/>
  <c r="F24"/>
  <c r="I24"/>
  <c r="F26"/>
  <c r="I26"/>
  <c r="F28"/>
  <c r="I28"/>
  <c r="F30"/>
  <c r="I30"/>
  <c r="F32"/>
  <c r="I32"/>
  <c r="F34"/>
  <c r="I34"/>
  <c r="F36"/>
  <c r="I36"/>
  <c r="C49"/>
  <c r="C50"/>
  <c r="C51"/>
  <c r="C52"/>
  <c r="C66"/>
  <c r="C48"/>
  <c r="G22"/>
  <c r="G24"/>
  <c r="G26"/>
  <c r="G28"/>
  <c r="G30"/>
  <c r="G32"/>
  <c r="G34"/>
  <c r="G36"/>
  <c r="G23"/>
  <c r="G25"/>
  <c r="G27"/>
  <c r="G29"/>
  <c r="G31"/>
  <c r="G33"/>
  <c r="G35"/>
  <c r="G37"/>
  <c r="C67"/>
  <c r="C83"/>
  <c r="C72"/>
  <c r="C73"/>
  <c r="C68"/>
  <c r="C84"/>
  <c r="C85"/>
  <c r="C86"/>
  <c r="C99"/>
  <c r="C116" s="1"/>
  <c r="C101"/>
  <c r="C114" s="1"/>
  <c r="F119" s="1"/>
  <c r="C108"/>
  <c r="C110"/>
  <c r="C100"/>
  <c r="C104"/>
  <c r="C105"/>
  <c r="C106"/>
  <c r="C103"/>
  <c r="C102"/>
  <c r="C119"/>
  <c r="C113"/>
  <c r="E120" l="1"/>
  <c r="E121" s="1"/>
</calcChain>
</file>

<file path=xl/sharedStrings.xml><?xml version="1.0" encoding="utf-8"?>
<sst xmlns="http://schemas.openxmlformats.org/spreadsheetml/2006/main" count="461" uniqueCount="320">
  <si>
    <r>
      <t>T</t>
    </r>
    <r>
      <rPr>
        <vertAlign val="subscript"/>
        <sz val="10"/>
        <rFont val="Arial"/>
        <family val="2"/>
      </rPr>
      <t>CR</t>
    </r>
    <r>
      <rPr>
        <sz val="10"/>
        <rFont val="Arial"/>
        <family val="2"/>
      </rPr>
      <t xml:space="preserve"> / T</t>
    </r>
    <r>
      <rPr>
        <vertAlign val="subscript"/>
        <sz val="10"/>
        <rFont val="Arial"/>
        <family val="2"/>
      </rPr>
      <t>TO</t>
    </r>
  </si>
  <si>
    <t>BPR</t>
  </si>
  <si>
    <t>a</t>
  </si>
  <si>
    <t>m</t>
  </si>
  <si>
    <t>m/s</t>
  </si>
  <si>
    <t>kt / m/s</t>
  </si>
  <si>
    <t>kt</t>
  </si>
  <si>
    <t>kg/m³</t>
  </si>
  <si>
    <t>kg/m²</t>
  </si>
  <si>
    <t>m³/kg</t>
  </si>
  <si>
    <t>A</t>
  </si>
  <si>
    <t>Parameter</t>
  </si>
  <si>
    <r>
      <t>C</t>
    </r>
    <r>
      <rPr>
        <vertAlign val="subscript"/>
        <sz val="10"/>
        <rFont val="Arial"/>
        <family val="2"/>
      </rPr>
      <t>L</t>
    </r>
  </si>
  <si>
    <t>g</t>
  </si>
  <si>
    <t>m/s²</t>
  </si>
  <si>
    <t>Pa</t>
  </si>
  <si>
    <t>h [km]</t>
  </si>
  <si>
    <t>h [ft]</t>
  </si>
  <si>
    <r>
      <t>T</t>
    </r>
    <r>
      <rPr>
        <vertAlign val="subscript"/>
        <sz val="10"/>
        <rFont val="Arial"/>
        <family val="2"/>
      </rPr>
      <t>TO</t>
    </r>
    <r>
      <rPr>
        <sz val="10"/>
        <rFont val="Arial"/>
        <family val="2"/>
      </rPr>
      <t xml:space="preserve"> / 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>*g</t>
    </r>
  </si>
  <si>
    <t>p(h) [Pa]</t>
  </si>
  <si>
    <r>
      <t>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 xml:space="preserve"> / S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[kg/m²]</t>
    </r>
  </si>
  <si>
    <t>Gl.(5.27)</t>
  </si>
  <si>
    <t>Gl. (5.32/5.33)</t>
  </si>
  <si>
    <t>Gl. (5.34)</t>
  </si>
  <si>
    <t>K</t>
  </si>
  <si>
    <t>R</t>
  </si>
  <si>
    <t>kg/N/s</t>
  </si>
  <si>
    <t>FAR Part 121</t>
  </si>
  <si>
    <t>domestic</t>
  </si>
  <si>
    <t>s</t>
  </si>
  <si>
    <t>Phase</t>
  </si>
  <si>
    <t>transport jet</t>
  </si>
  <si>
    <t>business jet</t>
  </si>
  <si>
    <t>engine start</t>
  </si>
  <si>
    <t>taxi</t>
  </si>
  <si>
    <t>take-off</t>
  </si>
  <si>
    <t>climb</t>
  </si>
  <si>
    <t>descent</t>
  </si>
  <si>
    <t>landing</t>
  </si>
  <si>
    <t>kg</t>
  </si>
  <si>
    <t>m²</t>
  </si>
  <si>
    <t>N</t>
  </si>
  <si>
    <t>lb</t>
  </si>
  <si>
    <t>m³</t>
  </si>
  <si>
    <t>check:</t>
  </si>
  <si>
    <t>?</t>
  </si>
  <si>
    <t>&gt;</t>
  </si>
  <si>
    <t>xxx</t>
  </si>
  <si>
    <t>1m=3,281 ft</t>
  </si>
  <si>
    <r>
      <t>C</t>
    </r>
    <r>
      <rPr>
        <vertAlign val="subscript"/>
        <sz val="10"/>
        <rFont val="Arial"/>
        <family val="2"/>
      </rPr>
      <t>D,0</t>
    </r>
  </si>
  <si>
    <r>
      <t>M</t>
    </r>
    <r>
      <rPr>
        <vertAlign val="subscript"/>
        <sz val="10"/>
        <rFont val="Arial"/>
        <family val="2"/>
      </rPr>
      <t>CR</t>
    </r>
  </si>
  <si>
    <r>
      <t>p</t>
    </r>
    <r>
      <rPr>
        <vertAlign val="subscript"/>
        <sz val="10"/>
        <rFont val="Arial"/>
        <family val="2"/>
      </rPr>
      <t>0</t>
    </r>
  </si>
  <si>
    <r>
      <t>k</t>
    </r>
    <r>
      <rPr>
        <vertAlign val="subscript"/>
        <sz val="10"/>
        <rFont val="Arial"/>
        <family val="2"/>
      </rPr>
      <t>APP</t>
    </r>
  </si>
  <si>
    <r>
      <t>s</t>
    </r>
    <r>
      <rPr>
        <vertAlign val="subscript"/>
        <sz val="10"/>
        <rFont val="Arial"/>
        <family val="2"/>
      </rPr>
      <t>LFL</t>
    </r>
  </si>
  <si>
    <r>
      <t>V</t>
    </r>
    <r>
      <rPr>
        <vertAlign val="subscript"/>
        <sz val="10"/>
        <rFont val="Arial"/>
        <family val="2"/>
      </rPr>
      <t>APP</t>
    </r>
  </si>
  <si>
    <r>
      <t>k</t>
    </r>
    <r>
      <rPr>
        <vertAlign val="subscript"/>
        <sz val="10"/>
        <rFont val="Arial"/>
        <family val="2"/>
      </rPr>
      <t>L</t>
    </r>
  </si>
  <si>
    <r>
      <t>C</t>
    </r>
    <r>
      <rPr>
        <vertAlign val="subscript"/>
        <sz val="10"/>
        <rFont val="Arial"/>
        <family val="2"/>
      </rPr>
      <t>L,max,L</t>
    </r>
  </si>
  <si>
    <r>
      <t>k</t>
    </r>
    <r>
      <rPr>
        <vertAlign val="subscript"/>
        <sz val="10"/>
        <rFont val="Arial"/>
        <family val="2"/>
      </rPr>
      <t>TO</t>
    </r>
  </si>
  <si>
    <r>
      <t>C</t>
    </r>
    <r>
      <rPr>
        <vertAlign val="subscript"/>
        <sz val="10"/>
        <rFont val="Arial"/>
        <family val="2"/>
      </rPr>
      <t>L,max,TO</t>
    </r>
  </si>
  <si>
    <r>
      <t>s</t>
    </r>
    <r>
      <rPr>
        <vertAlign val="subscript"/>
        <sz val="10"/>
        <rFont val="Arial"/>
        <family val="2"/>
      </rPr>
      <t>TOFL</t>
    </r>
  </si>
  <si>
    <r>
      <t>n</t>
    </r>
    <r>
      <rPr>
        <vertAlign val="subscript"/>
        <sz val="10"/>
        <rFont val="Arial"/>
        <family val="2"/>
      </rPr>
      <t>E</t>
    </r>
  </si>
  <si>
    <r>
      <t>C</t>
    </r>
    <r>
      <rPr>
        <vertAlign val="subscript"/>
        <sz val="10"/>
        <rFont val="Arial"/>
        <family val="2"/>
      </rPr>
      <t>D,P</t>
    </r>
  </si>
  <si>
    <r>
      <t>sin(</t>
    </r>
    <r>
      <rPr>
        <sz val="10"/>
        <rFont val="Symbol"/>
        <family val="1"/>
        <charset val="2"/>
      </rPr>
      <t>g</t>
    </r>
    <r>
      <rPr>
        <sz val="10"/>
        <rFont val="Arial"/>
        <family val="2"/>
      </rPr>
      <t>)</t>
    </r>
  </si>
  <si>
    <r>
      <t>T</t>
    </r>
    <r>
      <rPr>
        <vertAlign val="subscript"/>
        <sz val="10"/>
        <rFont val="Arial"/>
        <family val="2"/>
      </rPr>
      <t>Stratosphäre</t>
    </r>
  </si>
  <si>
    <r>
      <t>T</t>
    </r>
    <r>
      <rPr>
        <vertAlign val="subscript"/>
        <sz val="10"/>
        <rFont val="Arial"/>
        <family val="2"/>
      </rPr>
      <t>Troposphäre</t>
    </r>
  </si>
  <si>
    <r>
      <t>V</t>
    </r>
    <r>
      <rPr>
        <vertAlign val="subscript"/>
        <sz val="10"/>
        <rFont val="Arial"/>
        <family val="2"/>
      </rPr>
      <t>CR</t>
    </r>
  </si>
  <si>
    <r>
      <t>h</t>
    </r>
    <r>
      <rPr>
        <vertAlign val="subscript"/>
        <sz val="10"/>
        <rFont val="Arial"/>
        <family val="2"/>
      </rPr>
      <t>CR</t>
    </r>
  </si>
  <si>
    <r>
      <t>(T</t>
    </r>
    <r>
      <rPr>
        <vertAlign val="subscript"/>
        <sz val="10"/>
        <rFont val="Arial"/>
        <family val="2"/>
      </rPr>
      <t>CR</t>
    </r>
    <r>
      <rPr>
        <sz val="10"/>
        <rFont val="Arial"/>
        <family val="2"/>
      </rPr>
      <t>/T</t>
    </r>
    <r>
      <rPr>
        <vertAlign val="subscript"/>
        <sz val="10"/>
        <rFont val="Arial"/>
        <family val="2"/>
      </rPr>
      <t>TO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>CR</t>
    </r>
  </si>
  <si>
    <r>
      <t>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 xml:space="preserve"> / S</t>
    </r>
    <r>
      <rPr>
        <vertAlign val="subscript"/>
        <sz val="10"/>
        <rFont val="Arial"/>
        <family val="2"/>
      </rPr>
      <t>W</t>
    </r>
  </si>
  <si>
    <r>
      <t>T(h</t>
    </r>
    <r>
      <rPr>
        <vertAlign val="subscript"/>
        <sz val="10"/>
        <rFont val="Arial"/>
        <family val="2"/>
      </rPr>
      <t>CR</t>
    </r>
    <r>
      <rPr>
        <sz val="10"/>
        <rFont val="Arial"/>
        <family val="2"/>
      </rPr>
      <t>)</t>
    </r>
  </si>
  <si>
    <r>
      <t>s</t>
    </r>
    <r>
      <rPr>
        <vertAlign val="subscript"/>
        <sz val="10"/>
        <rFont val="Arial"/>
        <family val="2"/>
      </rPr>
      <t>to_alternate</t>
    </r>
  </si>
  <si>
    <r>
      <t>s</t>
    </r>
    <r>
      <rPr>
        <vertAlign val="subscript"/>
        <sz val="10"/>
        <rFont val="Arial"/>
        <family val="2"/>
      </rPr>
      <t>res</t>
    </r>
  </si>
  <si>
    <r>
      <t>T</t>
    </r>
    <r>
      <rPr>
        <vertAlign val="subscript"/>
        <sz val="10"/>
        <rFont val="Arial"/>
        <family val="2"/>
      </rPr>
      <t>TO</t>
    </r>
    <r>
      <rPr>
        <sz val="10"/>
        <rFont val="Arial"/>
        <family val="2"/>
      </rPr>
      <t xml:space="preserve"> / (m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>*g)</t>
    </r>
  </si>
  <si>
    <r>
      <t>0,8 * C</t>
    </r>
    <r>
      <rPr>
        <vertAlign val="subscript"/>
        <sz val="10"/>
        <rFont val="Arial"/>
        <family val="2"/>
      </rPr>
      <t>L,max,L</t>
    </r>
  </si>
  <si>
    <r>
      <t>C</t>
    </r>
    <r>
      <rPr>
        <vertAlign val="subscript"/>
        <sz val="10"/>
        <rFont val="Arial"/>
        <family val="2"/>
      </rPr>
      <t>L,TO</t>
    </r>
  </si>
  <si>
    <r>
      <t>D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D,flap</t>
    </r>
  </si>
  <si>
    <r>
      <t>D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D,slat</t>
    </r>
  </si>
  <si>
    <r>
      <t>D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D,gear</t>
    </r>
  </si>
  <si>
    <r>
      <t>E</t>
    </r>
    <r>
      <rPr>
        <vertAlign val="subscript"/>
        <sz val="10"/>
        <rFont val="Arial"/>
        <family val="2"/>
      </rPr>
      <t>TO</t>
    </r>
  </si>
  <si>
    <r>
      <t>C</t>
    </r>
    <r>
      <rPr>
        <vertAlign val="subscript"/>
        <sz val="10"/>
        <rFont val="Arial"/>
        <family val="2"/>
      </rPr>
      <t>L,L</t>
    </r>
  </si>
  <si>
    <r>
      <t>E</t>
    </r>
    <r>
      <rPr>
        <vertAlign val="subscript"/>
        <sz val="10"/>
        <rFont val="Arial"/>
        <family val="2"/>
      </rPr>
      <t>L</t>
    </r>
  </si>
  <si>
    <t>FAR Part 25</t>
  </si>
  <si>
    <r>
      <t>k</t>
    </r>
    <r>
      <rPr>
        <vertAlign val="subscript"/>
        <sz val="10"/>
        <rFont val="Arial"/>
        <family val="2"/>
      </rPr>
      <t>E</t>
    </r>
  </si>
  <si>
    <t>???</t>
  </si>
  <si>
    <r>
      <t>S</t>
    </r>
    <r>
      <rPr>
        <vertAlign val="subscript"/>
        <sz val="10"/>
        <rFont val="Arial"/>
        <family val="2"/>
      </rPr>
      <t>wet</t>
    </r>
    <r>
      <rPr>
        <sz val="10"/>
        <rFont val="Arial"/>
        <family val="2"/>
      </rPr>
      <t xml:space="preserve"> / S</t>
    </r>
    <r>
      <rPr>
        <vertAlign val="subscript"/>
        <sz val="10"/>
        <rFont val="Arial"/>
        <family val="2"/>
      </rPr>
      <t>w</t>
    </r>
  </si>
  <si>
    <r>
      <t>S</t>
    </r>
    <r>
      <rPr>
        <vertAlign val="subscript"/>
        <sz val="10"/>
        <rFont val="Arial"/>
        <family val="2"/>
      </rPr>
      <t>wet</t>
    </r>
    <r>
      <rPr>
        <sz val="10"/>
        <rFont val="Arial"/>
        <family val="2"/>
      </rPr>
      <t xml:space="preserve"> / S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= 6,0 ... 6,2</t>
    </r>
  </si>
  <si>
    <r>
      <t>E</t>
    </r>
    <r>
      <rPr>
        <vertAlign val="subscript"/>
        <sz val="10"/>
        <rFont val="Arial"/>
        <family val="2"/>
      </rPr>
      <t>max</t>
    </r>
  </si>
  <si>
    <t>E</t>
  </si>
  <si>
    <r>
      <t>SFC</t>
    </r>
    <r>
      <rPr>
        <vertAlign val="subscript"/>
        <sz val="10"/>
        <rFont val="Arial"/>
        <family val="2"/>
      </rPr>
      <t>CR</t>
    </r>
  </si>
  <si>
    <r>
      <t>B</t>
    </r>
    <r>
      <rPr>
        <vertAlign val="subscript"/>
        <sz val="10"/>
        <rFont val="Arial"/>
        <family val="2"/>
      </rPr>
      <t>s</t>
    </r>
  </si>
  <si>
    <r>
      <t>M</t>
    </r>
    <r>
      <rPr>
        <vertAlign val="subscript"/>
        <sz val="10"/>
        <rFont val="Arial"/>
        <family val="2"/>
      </rPr>
      <t>ff,CR</t>
    </r>
  </si>
  <si>
    <r>
      <t>M</t>
    </r>
    <r>
      <rPr>
        <vertAlign val="subscript"/>
        <sz val="10"/>
        <rFont val="Arial"/>
        <family val="2"/>
      </rPr>
      <t>ff,RES</t>
    </r>
  </si>
  <si>
    <r>
      <t>t</t>
    </r>
    <r>
      <rPr>
        <vertAlign val="subscript"/>
        <sz val="10"/>
        <rFont val="Arial"/>
        <family val="2"/>
      </rPr>
      <t>loiter</t>
    </r>
  </si>
  <si>
    <r>
      <t>SFC</t>
    </r>
    <r>
      <rPr>
        <vertAlign val="subscript"/>
        <sz val="10"/>
        <rFont val="Arial"/>
        <family val="2"/>
      </rPr>
      <t>loiter</t>
    </r>
  </si>
  <si>
    <r>
      <t>B</t>
    </r>
    <r>
      <rPr>
        <vertAlign val="subscript"/>
        <sz val="10"/>
        <rFont val="Arial"/>
        <family val="2"/>
      </rPr>
      <t>t</t>
    </r>
  </si>
  <si>
    <r>
      <t>M</t>
    </r>
    <r>
      <rPr>
        <vertAlign val="subscript"/>
        <sz val="10"/>
        <rFont val="Arial"/>
        <family val="2"/>
      </rPr>
      <t>ff,loiter</t>
    </r>
  </si>
  <si>
    <t>international</t>
  </si>
  <si>
    <r>
      <t>M</t>
    </r>
    <r>
      <rPr>
        <vertAlign val="subscript"/>
        <sz val="10"/>
        <rFont val="Arial"/>
        <family val="2"/>
      </rPr>
      <t>ff,taxi</t>
    </r>
  </si>
  <si>
    <r>
      <t>M</t>
    </r>
    <r>
      <rPr>
        <vertAlign val="subscript"/>
        <sz val="10"/>
        <rFont val="Arial"/>
        <family val="2"/>
      </rPr>
      <t>ff,engine</t>
    </r>
  </si>
  <si>
    <r>
      <t>M</t>
    </r>
    <r>
      <rPr>
        <vertAlign val="subscript"/>
        <sz val="10"/>
        <rFont val="Arial"/>
        <family val="2"/>
      </rPr>
      <t>ff,TO</t>
    </r>
  </si>
  <si>
    <r>
      <t>M</t>
    </r>
    <r>
      <rPr>
        <vertAlign val="subscript"/>
        <sz val="10"/>
        <rFont val="Arial"/>
        <family val="2"/>
      </rPr>
      <t>ff,CLB</t>
    </r>
  </si>
  <si>
    <r>
      <t>M</t>
    </r>
    <r>
      <rPr>
        <vertAlign val="subscript"/>
        <sz val="10"/>
        <rFont val="Arial"/>
        <family val="2"/>
      </rPr>
      <t>ff,DES</t>
    </r>
  </si>
  <si>
    <r>
      <t>M</t>
    </r>
    <r>
      <rPr>
        <vertAlign val="subscript"/>
        <sz val="10"/>
        <rFont val="Arial"/>
        <family val="2"/>
      </rPr>
      <t>ff,L</t>
    </r>
  </si>
  <si>
    <r>
      <t>M</t>
    </r>
    <r>
      <rPr>
        <vertAlign val="subscript"/>
        <sz val="10"/>
        <rFont val="Arial"/>
        <family val="2"/>
      </rPr>
      <t>ff,std</t>
    </r>
  </si>
  <si>
    <r>
      <t>M</t>
    </r>
    <r>
      <rPr>
        <vertAlign val="subscript"/>
        <sz val="10"/>
        <rFont val="Arial"/>
        <family val="2"/>
      </rPr>
      <t>ff,res</t>
    </r>
  </si>
  <si>
    <r>
      <t>M</t>
    </r>
    <r>
      <rPr>
        <vertAlign val="subscript"/>
        <sz val="10"/>
        <rFont val="Arial"/>
        <family val="2"/>
      </rPr>
      <t>ff</t>
    </r>
  </si>
  <si>
    <r>
      <t>m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/m</t>
    </r>
    <r>
      <rPr>
        <vertAlign val="subscript"/>
        <sz val="10"/>
        <rFont val="Arial"/>
        <family val="2"/>
      </rPr>
      <t>MTO</t>
    </r>
  </si>
  <si>
    <r>
      <t>m</t>
    </r>
    <r>
      <rPr>
        <vertAlign val="subscript"/>
        <sz val="10"/>
        <rFont val="Arial"/>
        <family val="2"/>
      </rPr>
      <t>OE</t>
    </r>
    <r>
      <rPr>
        <sz val="10"/>
        <rFont val="Arial"/>
        <family val="2"/>
      </rPr>
      <t>/m</t>
    </r>
    <r>
      <rPr>
        <vertAlign val="subscript"/>
        <sz val="10"/>
        <rFont val="Arial"/>
        <family val="2"/>
      </rPr>
      <t>MTO</t>
    </r>
  </si>
  <si>
    <r>
      <t>m</t>
    </r>
    <r>
      <rPr>
        <vertAlign val="subscript"/>
        <sz val="10"/>
        <rFont val="Arial"/>
        <family val="2"/>
      </rPr>
      <t>PAX</t>
    </r>
  </si>
  <si>
    <t>in kg</t>
  </si>
  <si>
    <r>
      <t>n</t>
    </r>
    <r>
      <rPr>
        <vertAlign val="subscript"/>
        <sz val="10"/>
        <rFont val="Arial"/>
        <family val="2"/>
      </rPr>
      <t>PAX</t>
    </r>
  </si>
  <si>
    <r>
      <t>m</t>
    </r>
    <r>
      <rPr>
        <vertAlign val="subscript"/>
        <sz val="10"/>
        <rFont val="Arial"/>
        <family val="2"/>
      </rPr>
      <t>PL</t>
    </r>
  </si>
  <si>
    <r>
      <t>m</t>
    </r>
    <r>
      <rPr>
        <vertAlign val="subscript"/>
        <sz val="10"/>
        <rFont val="Arial"/>
        <family val="2"/>
      </rPr>
      <t>cargo</t>
    </r>
  </si>
  <si>
    <r>
      <t>m</t>
    </r>
    <r>
      <rPr>
        <vertAlign val="subscript"/>
        <sz val="10"/>
        <rFont val="Arial"/>
        <family val="2"/>
      </rPr>
      <t>MTO</t>
    </r>
  </si>
  <si>
    <r>
      <t>m</t>
    </r>
    <r>
      <rPr>
        <vertAlign val="subscript"/>
        <sz val="10"/>
        <rFont val="Arial"/>
        <family val="2"/>
      </rPr>
      <t>ML</t>
    </r>
  </si>
  <si>
    <r>
      <t>m</t>
    </r>
    <r>
      <rPr>
        <vertAlign val="subscript"/>
        <sz val="10"/>
        <rFont val="Arial"/>
        <family val="2"/>
      </rPr>
      <t>OE</t>
    </r>
  </si>
  <si>
    <r>
      <t>S</t>
    </r>
    <r>
      <rPr>
        <vertAlign val="subscript"/>
        <sz val="10"/>
        <rFont val="Arial"/>
        <family val="2"/>
      </rPr>
      <t>w</t>
    </r>
  </si>
  <si>
    <r>
      <t>T</t>
    </r>
    <r>
      <rPr>
        <vertAlign val="subscript"/>
        <sz val="10"/>
        <rFont val="Arial"/>
        <family val="2"/>
      </rPr>
      <t>TO</t>
    </r>
  </si>
  <si>
    <r>
      <t>T</t>
    </r>
    <r>
      <rPr>
        <vertAlign val="subscript"/>
        <sz val="10"/>
        <rFont val="Arial"/>
        <family val="2"/>
      </rPr>
      <t>TO</t>
    </r>
    <r>
      <rPr>
        <sz val="10"/>
        <rFont val="Arial"/>
        <family val="2"/>
      </rPr>
      <t xml:space="preserve"> / n</t>
    </r>
    <r>
      <rPr>
        <vertAlign val="subscript"/>
        <sz val="10"/>
        <rFont val="Arial"/>
        <family val="2"/>
      </rPr>
      <t>E</t>
    </r>
  </si>
  <si>
    <r>
      <t xml:space="preserve">r </t>
    </r>
    <r>
      <rPr>
        <vertAlign val="subscript"/>
        <sz val="10"/>
        <rFont val="Arial"/>
        <family val="2"/>
      </rPr>
      <t>F</t>
    </r>
  </si>
  <si>
    <r>
      <t>m</t>
    </r>
    <r>
      <rPr>
        <vertAlign val="subscript"/>
        <sz val="10"/>
        <rFont val="Arial"/>
        <family val="2"/>
      </rPr>
      <t>MPL</t>
    </r>
  </si>
  <si>
    <r>
      <t>m</t>
    </r>
    <r>
      <rPr>
        <vertAlign val="subscript"/>
        <sz val="10"/>
        <rFont val="Arial"/>
        <family val="2"/>
      </rPr>
      <t>MZF</t>
    </r>
  </si>
  <si>
    <r>
      <t>m</t>
    </r>
    <r>
      <rPr>
        <vertAlign val="subscript"/>
        <sz val="10"/>
        <rFont val="Arial"/>
        <family val="2"/>
      </rPr>
      <t>F,res</t>
    </r>
  </si>
  <si>
    <t>e</t>
  </si>
  <si>
    <r>
      <t>m</t>
    </r>
    <r>
      <rPr>
        <vertAlign val="subscript"/>
        <sz val="10"/>
        <rFont val="Arial"/>
        <family val="2"/>
      </rPr>
      <t xml:space="preserve">ML          </t>
    </r>
  </si>
  <si>
    <t>NM</t>
  </si>
  <si>
    <t>NM -&gt; m</t>
  </si>
  <si>
    <t>m/NM</t>
  </si>
  <si>
    <r>
      <t>T</t>
    </r>
    <r>
      <rPr>
        <vertAlign val="subscript"/>
        <sz val="10"/>
        <rFont val="Arial"/>
        <family val="2"/>
      </rPr>
      <t>CR</t>
    </r>
    <r>
      <rPr>
        <sz val="10"/>
        <rFont val="Arial"/>
        <family val="2"/>
      </rPr>
      <t>/T</t>
    </r>
    <r>
      <rPr>
        <vertAlign val="subscript"/>
        <sz val="10"/>
        <rFont val="Arial"/>
        <family val="2"/>
      </rPr>
      <t>TO</t>
    </r>
    <r>
      <rPr>
        <sz val="10"/>
        <rFont val="Arial"/>
        <family val="2"/>
      </rPr>
      <t>=</t>
    </r>
  </si>
  <si>
    <t>f(BPR,h)</t>
  </si>
  <si>
    <t xml:space="preserve">   Prof. Dr.-Ing. Dieter Scholz, MSME</t>
  </si>
  <si>
    <t xml:space="preserve">   HAW Hamburg</t>
  </si>
  <si>
    <r>
      <t xml:space="preserve">   </t>
    </r>
    <r>
      <rPr>
        <u/>
        <sz val="10"/>
        <color indexed="12"/>
        <rFont val="Arial"/>
        <family val="2"/>
      </rPr>
      <t>http://www.ProfScholz.de</t>
    </r>
  </si>
  <si>
    <r>
      <t>m</t>
    </r>
    <r>
      <rPr>
        <vertAlign val="subscript"/>
        <sz val="10"/>
        <rFont val="Arial"/>
        <family val="2"/>
      </rPr>
      <t>F</t>
    </r>
  </si>
  <si>
    <t>m -&gt; ft</t>
  </si>
  <si>
    <t>m/ft</t>
  </si>
  <si>
    <t>ft</t>
  </si>
  <si>
    <r>
      <t>D</t>
    </r>
    <r>
      <rPr>
        <sz val="10"/>
        <rFont val="Arial"/>
        <family val="2"/>
      </rPr>
      <t>T</t>
    </r>
    <r>
      <rPr>
        <vertAlign val="subscript"/>
        <sz val="10"/>
        <rFont val="Arial"/>
        <family val="2"/>
      </rPr>
      <t>L</t>
    </r>
  </si>
  <si>
    <r>
      <t>D</t>
    </r>
    <r>
      <rPr>
        <sz val="10"/>
        <rFont val="Arial"/>
        <family val="2"/>
      </rPr>
      <t>T</t>
    </r>
    <r>
      <rPr>
        <vertAlign val="subscript"/>
        <sz val="10"/>
        <rFont val="Arial"/>
        <family val="2"/>
      </rPr>
      <t>TO</t>
    </r>
  </si>
  <si>
    <r>
      <t xml:space="preserve">   </t>
    </r>
    <r>
      <rPr>
        <b/>
        <sz val="10"/>
        <color indexed="12"/>
        <rFont val="Arial"/>
        <family val="2"/>
      </rPr>
      <t>Bold blue</t>
    </r>
    <r>
      <rPr>
        <sz val="10"/>
        <rFont val="Arial"/>
        <family val="2"/>
      </rPr>
      <t xml:space="preserve"> values represent input data.</t>
    </r>
  </si>
  <si>
    <t xml:space="preserve">   Author:</t>
  </si>
  <si>
    <r>
      <t xml:space="preserve">   Results are marked </t>
    </r>
    <r>
      <rPr>
        <b/>
        <sz val="10"/>
        <color indexed="10"/>
        <rFont val="Arial"/>
        <family val="2"/>
      </rPr>
      <t>red</t>
    </r>
    <r>
      <rPr>
        <sz val="10"/>
        <rFont val="Arial"/>
        <family val="2"/>
      </rPr>
      <t>. Don't change these cells!</t>
    </r>
  </si>
  <si>
    <t xml:space="preserve">   Interim values, constants, ... are in black!</t>
  </si>
  <si>
    <r>
      <t xml:space="preserve">   "</t>
    </r>
    <r>
      <rPr>
        <b/>
        <sz val="10"/>
        <rFont val="Arial"/>
        <family val="2"/>
      </rPr>
      <t>&lt;&lt;&lt;&lt;</t>
    </r>
    <r>
      <rPr>
        <sz val="10"/>
        <rFont val="Arial"/>
        <family val="2"/>
      </rPr>
      <t>" marks special input or user action</t>
    </r>
    <r>
      <rPr>
        <sz val="10"/>
        <rFont val="Arial"/>
        <family val="2"/>
      </rPr>
      <t>.</t>
    </r>
  </si>
  <si>
    <t>Approach</t>
  </si>
  <si>
    <t>Factor</t>
  </si>
  <si>
    <t>Conversion factor</t>
  </si>
  <si>
    <t>Given: landing field length</t>
  </si>
  <si>
    <t>Landing field length</t>
  </si>
  <si>
    <t>Approach speed</t>
  </si>
  <si>
    <t>Given: approach speed</t>
  </si>
  <si>
    <t>Landing</t>
  </si>
  <si>
    <t>Temperature above ISA (288,15K)</t>
  </si>
  <si>
    <t>Relative density</t>
  </si>
  <si>
    <t>Mass ratio, landing - take-off</t>
  </si>
  <si>
    <t>Wing loading at max. landing mass</t>
  </si>
  <si>
    <t>Wing loading at max. take-off mass</t>
  </si>
  <si>
    <t>Take-off</t>
  </si>
  <si>
    <t>Take-off field length</t>
  </si>
  <si>
    <t>Temperatur above ISA (288,15K)</t>
  </si>
  <si>
    <r>
      <t>Exprience value for C</t>
    </r>
    <r>
      <rPr>
        <vertAlign val="subscript"/>
        <sz val="10"/>
        <rFont val="Arial"/>
        <family val="2"/>
      </rPr>
      <t>L,max,TO</t>
    </r>
  </si>
  <si>
    <t>Thrust-to-weight ratio</t>
  </si>
  <si>
    <t>2nd Segment</t>
  </si>
  <si>
    <t>Calculation of glide ratio</t>
  </si>
  <si>
    <t>Aspect ratio</t>
  </si>
  <si>
    <t>Lift coefficient, take-off</t>
  </si>
  <si>
    <t>Lift-independent drag coefficient, clean</t>
  </si>
  <si>
    <t>Lift-independent drag coefficient, slats</t>
  </si>
  <si>
    <t>Lift-independent drag coefficient, flaps</t>
  </si>
  <si>
    <t>Profile drag coefficient</t>
  </si>
  <si>
    <t>Oswald efficiency factor; landing configuration</t>
  </si>
  <si>
    <t>Glide ratio in take-off configuration</t>
  </si>
  <si>
    <t>Number of engines</t>
  </si>
  <si>
    <t>Climb gradient</t>
  </si>
  <si>
    <t>Missed approach</t>
  </si>
  <si>
    <t>Calculation of the glide ratio</t>
  </si>
  <si>
    <t>Lift coefficient, landing</t>
  </si>
  <si>
    <t>Choose: Certification basis</t>
  </si>
  <si>
    <t>&lt;&lt;&lt;&lt; Choose according to task</t>
  </si>
  <si>
    <t>Lift-independent drag coefficient, landing gear</t>
  </si>
  <si>
    <t>Glide ratio in landing configuration</t>
  </si>
  <si>
    <r>
      <t>Estimation of k</t>
    </r>
    <r>
      <rPr>
        <b/>
        <vertAlign val="sub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by means of 1.), 2.) or 3.)</t>
    </r>
  </si>
  <si>
    <t>1.)  From theory</t>
  </si>
  <si>
    <r>
      <t>Oswald efficiency factor for k</t>
    </r>
    <r>
      <rPr>
        <vertAlign val="subscript"/>
        <sz val="10"/>
        <rFont val="Arial"/>
        <family val="2"/>
      </rPr>
      <t>E</t>
    </r>
  </si>
  <si>
    <r>
      <t>C</t>
    </r>
    <r>
      <rPr>
        <vertAlign val="subscript"/>
        <sz val="10"/>
        <rFont val="Arial"/>
        <family val="2"/>
      </rPr>
      <t>f,eqv</t>
    </r>
  </si>
  <si>
    <t>Equivalent surface friction coefficient</t>
  </si>
  <si>
    <t>3.) From own statistics</t>
  </si>
  <si>
    <t>Relative wetted area</t>
  </si>
  <si>
    <t>Max. glide ratio</t>
  </si>
  <si>
    <r>
      <t>k</t>
    </r>
    <r>
      <rPr>
        <vertAlign val="subscript"/>
        <sz val="10"/>
        <rFont val="Arial"/>
        <family val="2"/>
      </rPr>
      <t>E    chosen</t>
    </r>
  </si>
  <si>
    <t>or</t>
  </si>
  <si>
    <r>
      <t>E</t>
    </r>
    <r>
      <rPr>
        <vertAlign val="subscript"/>
        <sz val="10"/>
        <rFont val="Arial"/>
        <family val="2"/>
      </rPr>
      <t>max chosen</t>
    </r>
  </si>
  <si>
    <t>(from sheet 1)</t>
  </si>
  <si>
    <t>1.) Peliminary Sizing I</t>
  </si>
  <si>
    <t>3.) Preliminary Sizing II</t>
  </si>
  <si>
    <t>Calculations for cruise, matching chart, fuel mass, operating empty mass</t>
  </si>
  <si>
    <r>
      <t>and aircraft parameters m</t>
    </r>
    <r>
      <rPr>
        <b/>
        <vertAlign val="subscript"/>
        <sz val="10"/>
        <rFont val="Arial"/>
        <family val="2"/>
      </rPr>
      <t>MTO</t>
    </r>
    <r>
      <rPr>
        <b/>
        <sz val="10"/>
        <rFont val="Arial"/>
        <family val="2"/>
      </rPr>
      <t>, m</t>
    </r>
    <r>
      <rPr>
        <b/>
        <vertAlign val="subscript"/>
        <sz val="10"/>
        <rFont val="Arial"/>
        <family val="2"/>
      </rPr>
      <t>L</t>
    </r>
    <r>
      <rPr>
        <b/>
        <sz val="10"/>
        <rFont val="Arial"/>
        <family val="2"/>
      </rPr>
      <t>, m</t>
    </r>
    <r>
      <rPr>
        <b/>
        <vertAlign val="subscript"/>
        <sz val="10"/>
        <rFont val="Arial"/>
        <family val="2"/>
      </rPr>
      <t>OE</t>
    </r>
    <r>
      <rPr>
        <b/>
        <sz val="10"/>
        <rFont val="Arial"/>
        <family val="2"/>
      </rPr>
      <t>, S</t>
    </r>
    <r>
      <rPr>
        <b/>
        <vertAlign val="subscript"/>
        <sz val="10"/>
        <rFont val="Arial"/>
        <family val="2"/>
      </rPr>
      <t>W</t>
    </r>
    <r>
      <rPr>
        <b/>
        <sz val="10"/>
        <rFont val="Arial"/>
        <family val="2"/>
      </rPr>
      <t>, T</t>
    </r>
    <r>
      <rPr>
        <b/>
        <vertAlign val="subscript"/>
        <sz val="10"/>
        <rFont val="Arial"/>
        <family val="2"/>
      </rPr>
      <t>TO</t>
    </r>
    <r>
      <rPr>
        <b/>
        <sz val="10"/>
        <rFont val="Arial"/>
        <family val="2"/>
      </rPr>
      <t>, ...</t>
    </r>
  </si>
  <si>
    <t>Value</t>
  </si>
  <si>
    <t>By-pass ratio</t>
  </si>
  <si>
    <t>Oswald eff. factor, clean</t>
  </si>
  <si>
    <r>
      <t>Lift coefficient at E</t>
    </r>
    <r>
      <rPr>
        <vertAlign val="subscript"/>
        <sz val="10"/>
        <rFont val="Arial"/>
        <family val="2"/>
      </rPr>
      <t>max</t>
    </r>
  </si>
  <si>
    <t>Jet, Theory, Optimum:</t>
  </si>
  <si>
    <t>Constants</t>
  </si>
  <si>
    <t>Ratio of specific heats, air</t>
  </si>
  <si>
    <t>Earth acceleration</t>
  </si>
  <si>
    <t>Air pressure, ISA, standard</t>
  </si>
  <si>
    <t>Euler number</t>
  </si>
  <si>
    <t>Altitude</t>
  </si>
  <si>
    <t>Cruise</t>
  </si>
  <si>
    <t>Missed appr.</t>
  </si>
  <si>
    <t>Remarks:</t>
  </si>
  <si>
    <t>from sheet 1.)</t>
  </si>
  <si>
    <t>Repeat</t>
  </si>
  <si>
    <t>for plot</t>
  </si>
  <si>
    <t>Wing loading</t>
  </si>
  <si>
    <t>Thrust ratio</t>
  </si>
  <si>
    <t>Cruise altitude</t>
  </si>
  <si>
    <r>
      <t>Temperature, h</t>
    </r>
    <r>
      <rPr>
        <vertAlign val="subscript"/>
        <sz val="10"/>
        <rFont val="Arial"/>
        <family val="2"/>
      </rPr>
      <t>CR</t>
    </r>
  </si>
  <si>
    <r>
      <t>Speed of sound, h</t>
    </r>
    <r>
      <rPr>
        <vertAlign val="subscript"/>
        <sz val="10"/>
        <rFont val="Arial"/>
        <family val="2"/>
      </rPr>
      <t>CR</t>
    </r>
  </si>
  <si>
    <t>Design range</t>
  </si>
  <si>
    <t>Distance to alternate</t>
  </si>
  <si>
    <r>
      <t>Chose:</t>
    </r>
    <r>
      <rPr>
        <sz val="10"/>
        <rFont val="Arial"/>
        <family val="2"/>
      </rPr>
      <t xml:space="preserve"> FAR Part121-Reserves?</t>
    </r>
  </si>
  <si>
    <t>Extra-fuel for long range</t>
  </si>
  <si>
    <t>Spec.fuel consumption, cruise</t>
  </si>
  <si>
    <t>typical value</t>
  </si>
  <si>
    <t>Extra time:</t>
  </si>
  <si>
    <t>Extra flight distance</t>
  </si>
  <si>
    <t>Breguet-Factor, cruise</t>
  </si>
  <si>
    <t>Fuel-Fraction, cruise</t>
  </si>
  <si>
    <t>Fuel-Fraction, extra fliht distance</t>
  </si>
  <si>
    <t>Loiter time</t>
  </si>
  <si>
    <t>Spec.fuel consumption, loiter</t>
  </si>
  <si>
    <t>Breguet-Factor, flight time</t>
  </si>
  <si>
    <t>Fuel-Fraction, loiter</t>
  </si>
  <si>
    <t>Fuel-Fraction, engine start</t>
  </si>
  <si>
    <t>Fuel-Fraction, taxi</t>
  </si>
  <si>
    <t>Fuel-Fraction, take-off</t>
  </si>
  <si>
    <t>Fuel-Fraction, climb</t>
  </si>
  <si>
    <t>Fuel-Fraction, descent</t>
  </si>
  <si>
    <t>Fuel-Fraction, landing</t>
  </si>
  <si>
    <t>Fuel-Fraction, standard flight</t>
  </si>
  <si>
    <t>Fuel-Fraction, all reserves</t>
  </si>
  <si>
    <t>Fuel-Fraction, total</t>
  </si>
  <si>
    <t>Realtive operating empty mass</t>
  </si>
  <si>
    <t>acc. to Loftin</t>
  </si>
  <si>
    <t>from statistics (if given)</t>
  </si>
  <si>
    <r>
      <t>Choose</t>
    </r>
    <r>
      <rPr>
        <sz val="10"/>
        <rFont val="Arial"/>
        <family val="2"/>
      </rPr>
      <t>: type of a/c</t>
    </r>
  </si>
  <si>
    <t>long range</t>
  </si>
  <si>
    <t>Mass: Passengers, including baggage</t>
  </si>
  <si>
    <t>Number of passengers</t>
  </si>
  <si>
    <t>Cargo mass</t>
  </si>
  <si>
    <t>Payload</t>
  </si>
  <si>
    <t>Max. Take-off mass</t>
  </si>
  <si>
    <t>Max. landing mass</t>
  </si>
  <si>
    <t>Operating empty mass</t>
  </si>
  <si>
    <t>Mission fuel fraction</t>
  </si>
  <si>
    <t>Mission fuel fraction, standard flight</t>
  </si>
  <si>
    <t>Wing area</t>
  </si>
  <si>
    <t>Take-off thrust</t>
  </si>
  <si>
    <t>T-O thrust of ONE engine</t>
  </si>
  <si>
    <t>Fuel mass, needed</t>
  </si>
  <si>
    <t>Fuel density</t>
  </si>
  <si>
    <t>Fuel volume, needed</t>
  </si>
  <si>
    <t>Max. Payload</t>
  </si>
  <si>
    <t>Max. zero-fuel mass</t>
  </si>
  <si>
    <t>Fuel mass, all reserves</t>
  </si>
  <si>
    <t>Check of assumptions</t>
  </si>
  <si>
    <t>(check with tank geometry later on)</t>
  </si>
  <si>
    <t>one engine</t>
  </si>
  <si>
    <t>all engines together</t>
  </si>
  <si>
    <r>
      <t>M</t>
    </r>
    <r>
      <rPr>
        <vertAlign val="subscript"/>
        <sz val="10"/>
        <rFont val="Arial"/>
        <family val="2"/>
      </rPr>
      <t>ff</t>
    </r>
    <r>
      <rPr>
        <sz val="10"/>
        <rFont val="Arial"/>
        <family val="2"/>
      </rPr>
      <t xml:space="preserve"> per flight phases [Roskam]</t>
    </r>
  </si>
  <si>
    <t>Short- and Medium Range</t>
  </si>
  <si>
    <t>Long Range</t>
  </si>
  <si>
    <t>Cruise speed</t>
  </si>
  <si>
    <t>Max. glide ratio, cruise</t>
  </si>
  <si>
    <t>Zero-lift drag coefficient</t>
  </si>
  <si>
    <t>Mach number, cruise</t>
  </si>
  <si>
    <t>2.) Max. Glide Ratio in Curise</t>
  </si>
  <si>
    <t>Calculation of thrust-to-weight ratio</t>
  </si>
  <si>
    <t>Max. lift coefficient, take-off</t>
  </si>
  <si>
    <t>Slope</t>
  </si>
  <si>
    <t>Max. lift coefficient, landing</t>
  </si>
  <si>
    <t>&lt;&lt;&lt;&lt; Read design point from matching chart!</t>
  </si>
  <si>
    <r>
      <t xml:space="preserve">&lt;&lt;&lt;&lt; </t>
    </r>
    <r>
      <rPr>
        <sz val="10"/>
        <rFont val="Arial"/>
        <family val="2"/>
      </rPr>
      <t>Given data is correct when take-off and landing is sizing the aircraft at the same time.</t>
    </r>
  </si>
  <si>
    <t>Temperature, troposphere</t>
  </si>
  <si>
    <t>Reserve flight distance:</t>
  </si>
  <si>
    <t>&lt;&lt;&lt;&lt; Copy</t>
  </si>
  <si>
    <t>&lt;&lt;&lt;&lt; values</t>
  </si>
  <si>
    <t>&lt;&lt;&lt;&lt; from</t>
  </si>
  <si>
    <t>&lt;&lt;&lt;&lt; table</t>
  </si>
  <si>
    <t>&lt;&lt;&lt;&lt; on the</t>
  </si>
  <si>
    <t>&lt;&lt;&lt;&lt; right !</t>
  </si>
  <si>
    <t>yes</t>
  </si>
  <si>
    <t>no</t>
  </si>
  <si>
    <r>
      <t xml:space="preserve">(m/s²) </t>
    </r>
    <r>
      <rPr>
        <vertAlign val="superscript"/>
        <sz val="10"/>
        <color indexed="12"/>
        <rFont val="Arial"/>
        <family val="2"/>
      </rPr>
      <t>0.5</t>
    </r>
  </si>
  <si>
    <t>Zero-fuel mass</t>
  </si>
  <si>
    <r>
      <t>m</t>
    </r>
    <r>
      <rPr>
        <vertAlign val="subscript"/>
        <sz val="10"/>
        <rFont val="Arial"/>
        <family val="2"/>
      </rPr>
      <t>ZF</t>
    </r>
  </si>
  <si>
    <r>
      <t>m</t>
    </r>
    <r>
      <rPr>
        <vertAlign val="subscript"/>
        <sz val="10"/>
        <rFont val="Arial"/>
        <family val="2"/>
      </rPr>
      <t>ZF</t>
    </r>
    <r>
      <rPr>
        <sz val="10"/>
        <rFont val="Arial"/>
        <family val="2"/>
      </rPr>
      <t xml:space="preserve"> + m</t>
    </r>
    <r>
      <rPr>
        <vertAlign val="subscript"/>
        <sz val="10"/>
        <rFont val="Arial"/>
        <family val="2"/>
      </rPr>
      <t>F,res</t>
    </r>
  </si>
  <si>
    <r>
      <t>C</t>
    </r>
    <r>
      <rPr>
        <vertAlign val="subscript"/>
        <sz val="10"/>
        <rFont val="Arial"/>
        <family val="2"/>
      </rPr>
      <t>L,md</t>
    </r>
  </si>
  <si>
    <r>
      <t>V/V</t>
    </r>
    <r>
      <rPr>
        <vertAlign val="subscript"/>
        <sz val="10"/>
        <rFont val="Arial"/>
        <family val="2"/>
      </rPr>
      <t>md</t>
    </r>
  </si>
  <si>
    <r>
      <t>C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/C</t>
    </r>
    <r>
      <rPr>
        <vertAlign val="subscript"/>
        <sz val="10"/>
        <rFont val="Arial"/>
        <family val="2"/>
      </rPr>
      <t>L,md</t>
    </r>
  </si>
  <si>
    <t>CS-25</t>
  </si>
  <si>
    <t>(from part 2)</t>
  </si>
  <si>
    <t>(from part 1)</t>
  </si>
  <si>
    <r>
      <t>m</t>
    </r>
    <r>
      <rPr>
        <vertAlign val="subscript"/>
        <sz val="10"/>
        <rFont val="Arial"/>
        <family val="2"/>
      </rPr>
      <t>F,req</t>
    </r>
  </si>
  <si>
    <r>
      <t>V</t>
    </r>
    <r>
      <rPr>
        <vertAlign val="subscript"/>
        <sz val="10"/>
        <rFont val="Arial"/>
        <family val="2"/>
      </rPr>
      <t>F,req</t>
    </r>
  </si>
  <si>
    <r>
      <t>m</t>
    </r>
    <r>
      <rPr>
        <vertAlign val="subscript"/>
        <sz val="10"/>
        <rFont val="Arial"/>
        <family val="2"/>
      </rPr>
      <t>ML</t>
    </r>
    <r>
      <rPr>
        <sz val="10"/>
        <rFont val="Arial"/>
        <family val="2"/>
      </rPr>
      <t xml:space="preserve"> / m </t>
    </r>
    <r>
      <rPr>
        <vertAlign val="subscript"/>
        <sz val="10"/>
        <rFont val="Arial"/>
        <family val="2"/>
      </rPr>
      <t>TO</t>
    </r>
  </si>
  <si>
    <r>
      <t>m</t>
    </r>
    <r>
      <rPr>
        <vertAlign val="subscript"/>
        <sz val="10"/>
        <rFont val="Arial"/>
        <family val="2"/>
      </rPr>
      <t>ML</t>
    </r>
    <r>
      <rPr>
        <sz val="10"/>
        <rFont val="Arial"/>
        <family val="2"/>
      </rPr>
      <t xml:space="preserve"> / S</t>
    </r>
    <r>
      <rPr>
        <vertAlign val="subscript"/>
        <sz val="10"/>
        <rFont val="Arial"/>
        <family val="2"/>
      </rPr>
      <t>W</t>
    </r>
  </si>
  <si>
    <r>
      <t>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 xml:space="preserve"> / S</t>
    </r>
    <r>
      <rPr>
        <vertAlign val="subscript"/>
        <sz val="10"/>
        <rFont val="Arial"/>
        <family val="2"/>
      </rPr>
      <t>W</t>
    </r>
  </si>
  <si>
    <r>
      <t>Thrust-to-weight ratio @ landing 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>/S</t>
    </r>
    <r>
      <rPr>
        <vertAlign val="subscript"/>
        <sz val="10"/>
        <rFont val="Arial"/>
        <family val="2"/>
      </rPr>
      <t>W</t>
    </r>
  </si>
  <si>
    <r>
      <t>T</t>
    </r>
    <r>
      <rPr>
        <vertAlign val="subscript"/>
        <sz val="10"/>
        <rFont val="Arial"/>
        <family val="2"/>
      </rPr>
      <t>TO</t>
    </r>
    <r>
      <rPr>
        <sz val="10"/>
        <rFont val="Arial"/>
        <family val="2"/>
      </rPr>
      <t>/(m</t>
    </r>
    <r>
      <rPr>
        <vertAlign val="subscript"/>
        <sz val="10"/>
        <rFont val="Arial"/>
        <family val="2"/>
      </rPr>
      <t>MTO</t>
    </r>
    <r>
      <rPr>
        <sz val="10"/>
        <rFont val="Arial"/>
        <family val="2"/>
      </rPr>
      <t>*g)</t>
    </r>
  </si>
  <si>
    <t>Value for calculating Missed Approach (different in Cruise)</t>
  </si>
  <si>
    <t>Value for calculating 2nd Segment (different in Cruise)</t>
  </si>
  <si>
    <r>
      <t xml:space="preserve">   Values based on experience are </t>
    </r>
    <r>
      <rPr>
        <sz val="10"/>
        <color indexed="12"/>
        <rFont val="Arial"/>
        <family val="2"/>
      </rPr>
      <t>light blue</t>
    </r>
    <r>
      <rPr>
        <sz val="10"/>
        <rFont val="Arial"/>
        <family val="2"/>
      </rPr>
      <t>. Usually you should</t>
    </r>
  </si>
  <si>
    <t xml:space="preserve">       not change these values!</t>
  </si>
  <si>
    <t xml:space="preserve">  Example data: See Examination SS05</t>
  </si>
  <si>
    <t>Calculations for flight phases Approach, Landing, Take-Off, 2nd Segment and Missed Approach</t>
  </si>
  <si>
    <r>
      <t>Estimation of max. glide ratio in Cruise, E</t>
    </r>
    <r>
      <rPr>
        <b/>
        <vertAlign val="subscript"/>
        <sz val="10"/>
        <rFont val="Arial"/>
        <family val="2"/>
      </rPr>
      <t>max</t>
    </r>
  </si>
  <si>
    <t>2.) According to RAYMER</t>
  </si>
  <si>
    <t>short / medium or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</si>
</sst>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00"/>
  </numFmts>
  <fonts count="1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4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vertAlign val="subscript"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right"/>
    </xf>
    <xf numFmtId="0" fontId="5" fillId="0" borderId="0" xfId="0" applyFont="1"/>
    <xf numFmtId="2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0" fontId="1" fillId="0" borderId="0" xfId="0" applyFon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0" fontId="8" fillId="0" borderId="0" xfId="0" applyFont="1"/>
    <xf numFmtId="0" fontId="2" fillId="0" borderId="0" xfId="0" applyFont="1"/>
    <xf numFmtId="0" fontId="0" fillId="0" borderId="0" xfId="0" quotePrefix="1"/>
    <xf numFmtId="164" fontId="2" fillId="0" borderId="0" xfId="0" applyNumberFormat="1" applyFont="1"/>
    <xf numFmtId="1" fontId="2" fillId="0" borderId="0" xfId="0" applyNumberFormat="1" applyFont="1"/>
    <xf numFmtId="164" fontId="6" fillId="0" borderId="0" xfId="0" applyNumberFormat="1" applyFont="1"/>
    <xf numFmtId="9" fontId="6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2" xfId="0" applyBorder="1"/>
    <xf numFmtId="1" fontId="0" fillId="0" borderId="3" xfId="0" applyNumberFormat="1" applyBorder="1"/>
    <xf numFmtId="0" fontId="0" fillId="0" borderId="4" xfId="0" applyBorder="1" applyAlignment="1">
      <alignment horizontal="right"/>
    </xf>
    <xf numFmtId="164" fontId="0" fillId="0" borderId="5" xfId="0" applyNumberFormat="1" applyBorder="1"/>
    <xf numFmtId="0" fontId="0" fillId="0" borderId="5" xfId="0" applyBorder="1"/>
    <xf numFmtId="0" fontId="0" fillId="0" borderId="4" xfId="0" applyBorder="1"/>
    <xf numFmtId="2" fontId="0" fillId="0" borderId="5" xfId="0" applyNumberFormat="1" applyBorder="1"/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0" fillId="0" borderId="6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11" fontId="9" fillId="0" borderId="0" xfId="0" applyNumberFormat="1" applyFont="1"/>
    <xf numFmtId="1" fontId="9" fillId="0" borderId="0" xfId="0" applyNumberFormat="1" applyFont="1"/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7" xfId="0" applyBorder="1" applyAlignment="1">
      <alignment horizontal="right"/>
    </xf>
    <xf numFmtId="164" fontId="0" fillId="0" borderId="1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0" fontId="0" fillId="0" borderId="8" xfId="0" applyBorder="1"/>
    <xf numFmtId="0" fontId="0" fillId="0" borderId="12" xfId="0" applyBorder="1"/>
    <xf numFmtId="0" fontId="0" fillId="0" borderId="8" xfId="0" applyBorder="1" applyAlignment="1">
      <alignment horizontal="right"/>
    </xf>
    <xf numFmtId="164" fontId="0" fillId="0" borderId="12" xfId="0" applyNumberFormat="1" applyBorder="1"/>
    <xf numFmtId="164" fontId="0" fillId="0" borderId="4" xfId="0" applyNumberFormat="1" applyBorder="1"/>
    <xf numFmtId="164" fontId="9" fillId="0" borderId="0" xfId="0" applyNumberFormat="1" applyFont="1" applyBorder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" fontId="12" fillId="0" borderId="0" xfId="0" applyNumberFormat="1" applyFont="1"/>
    <xf numFmtId="0" fontId="12" fillId="0" borderId="0" xfId="0" applyFont="1"/>
    <xf numFmtId="2" fontId="9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2" fontId="2" fillId="0" borderId="0" xfId="0" applyNumberFormat="1" applyFont="1"/>
    <xf numFmtId="0" fontId="8" fillId="0" borderId="15" xfId="0" applyFont="1" applyBorder="1" applyAlignment="1">
      <alignment horizontal="right"/>
    </xf>
    <xf numFmtId="1" fontId="12" fillId="0" borderId="0" xfId="0" applyNumberFormat="1" applyFont="1" applyAlignment="1">
      <alignment horizontal="right"/>
    </xf>
    <xf numFmtId="1" fontId="6" fillId="0" borderId="0" xfId="0" applyNumberFormat="1" applyFont="1"/>
    <xf numFmtId="0" fontId="10" fillId="0" borderId="0" xfId="0" applyFont="1"/>
    <xf numFmtId="165" fontId="6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4" fontId="10" fillId="0" borderId="0" xfId="0" applyNumberFormat="1" applyFont="1"/>
    <xf numFmtId="0" fontId="5" fillId="0" borderId="4" xfId="0" applyFont="1" applyBorder="1" applyAlignment="1">
      <alignment horizontal="right"/>
    </xf>
    <xf numFmtId="0" fontId="10" fillId="0" borderId="2" xfId="0" applyFont="1" applyBorder="1"/>
    <xf numFmtId="0" fontId="14" fillId="0" borderId="0" xfId="0" applyFont="1"/>
    <xf numFmtId="2" fontId="12" fillId="0" borderId="0" xfId="0" applyNumberFormat="1" applyFont="1"/>
    <xf numFmtId="0" fontId="9" fillId="0" borderId="0" xfId="0" applyFont="1" applyAlignment="1">
      <alignment horizontal="right"/>
    </xf>
    <xf numFmtId="2" fontId="6" fillId="0" borderId="0" xfId="0" applyNumberFormat="1" applyFont="1"/>
    <xf numFmtId="0" fontId="0" fillId="0" borderId="0" xfId="0" applyFill="1" applyBorder="1"/>
    <xf numFmtId="0" fontId="0" fillId="0" borderId="4" xfId="0" applyFill="1" applyBorder="1"/>
    <xf numFmtId="165" fontId="6" fillId="0" borderId="0" xfId="0" applyNumberFormat="1" applyFont="1" applyAlignment="1">
      <alignment horizontal="right"/>
    </xf>
    <xf numFmtId="165" fontId="10" fillId="0" borderId="2" xfId="0" applyNumberFormat="1" applyFont="1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5" xfId="0" applyBorder="1"/>
    <xf numFmtId="0" fontId="6" fillId="0" borderId="0" xfId="0" applyFont="1" applyBorder="1"/>
    <xf numFmtId="0" fontId="8" fillId="0" borderId="0" xfId="0" applyFont="1" applyBorder="1"/>
    <xf numFmtId="0" fontId="0" fillId="0" borderId="16" xfId="0" applyBorder="1"/>
    <xf numFmtId="0" fontId="8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right"/>
    </xf>
    <xf numFmtId="0" fontId="0" fillId="0" borderId="17" xfId="0" applyBorder="1"/>
    <xf numFmtId="0" fontId="8" fillId="0" borderId="19" xfId="0" applyFont="1" applyBorder="1"/>
    <xf numFmtId="0" fontId="5" fillId="0" borderId="0" xfId="0" applyFont="1" applyFill="1" applyBorder="1"/>
    <xf numFmtId="0" fontId="0" fillId="0" borderId="9" xfId="0" applyBorder="1"/>
    <xf numFmtId="164" fontId="0" fillId="0" borderId="1" xfId="0" applyNumberFormat="1" applyBorder="1"/>
    <xf numFmtId="1" fontId="0" fillId="0" borderId="2" xfId="0" applyNumberFormat="1" applyBorder="1"/>
    <xf numFmtId="0" fontId="15" fillId="0" borderId="19" xfId="1" applyFont="1" applyBorder="1" applyAlignment="1" applyProtection="1"/>
    <xf numFmtId="11" fontId="6" fillId="0" borderId="0" xfId="0" applyNumberFormat="1" applyFont="1"/>
    <xf numFmtId="0" fontId="0" fillId="0" borderId="6" xfId="0" applyBorder="1" applyAlignment="1">
      <alignment horizontal="right"/>
    </xf>
    <xf numFmtId="0" fontId="0" fillId="0" borderId="7" xfId="0" applyBorder="1"/>
    <xf numFmtId="2" fontId="10" fillId="0" borderId="0" xfId="0" applyNumberFormat="1" applyFont="1"/>
    <xf numFmtId="164" fontId="10" fillId="0" borderId="2" xfId="0" applyNumberFormat="1" applyFont="1" applyBorder="1"/>
    <xf numFmtId="164" fontId="6" fillId="0" borderId="2" xfId="0" applyNumberFormat="1" applyFont="1" applyBorder="1"/>
    <xf numFmtId="164" fontId="8" fillId="0" borderId="3" xfId="0" applyNumberFormat="1" applyFont="1" applyBorder="1"/>
    <xf numFmtId="1" fontId="6" fillId="0" borderId="0" xfId="0" applyNumberFormat="1" applyFont="1" applyAlignment="1">
      <alignment horizontal="right"/>
    </xf>
    <xf numFmtId="9" fontId="10" fillId="0" borderId="0" xfId="0" applyNumberFormat="1" applyFont="1"/>
    <xf numFmtId="0" fontId="0" fillId="0" borderId="14" xfId="0" applyBorder="1"/>
    <xf numFmtId="0" fontId="0" fillId="0" borderId="11" xfId="0" applyBorder="1"/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9" xfId="0" applyFont="1" applyBorder="1"/>
    <xf numFmtId="0" fontId="2" fillId="0" borderId="21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Matching Chart</a:t>
            </a:r>
          </a:p>
        </c:rich>
      </c:tx>
      <c:layout>
        <c:manualLayout>
          <c:xMode val="edge"/>
          <c:yMode val="edge"/>
          <c:x val="0.43645833333333339"/>
          <c:y val="2.02020202020202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250000000000003E-2"/>
          <c:y val="0.11279461279461279"/>
          <c:w val="0.76875000000000016"/>
          <c:h val="0.7777777777777779"/>
        </c:manualLayout>
      </c:layout>
      <c:scatterChart>
        <c:scatterStyle val="lineMarker"/>
        <c:ser>
          <c:idx val="0"/>
          <c:order val="0"/>
          <c:tx>
            <c:strRef>
              <c:f>'3.) Preliminary Sizing II'!$G$20</c:f>
              <c:strCache>
                <c:ptCount val="1"/>
                <c:pt idx="0">
                  <c:v>2nd Segment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'3.) Preliminary Sizing II'!$F$30:$F$39</c:f>
              <c:numCache>
                <c:formatCode>0</c:formatCode>
                <c:ptCount val="10"/>
                <c:pt idx="0">
                  <c:v>699.95866417706804</c:v>
                </c:pt>
                <c:pt idx="1">
                  <c:v>604.44074941179531</c:v>
                </c:pt>
                <c:pt idx="2">
                  <c:v>519.76282331460368</c:v>
                </c:pt>
                <c:pt idx="3">
                  <c:v>444.95758157562767</c:v>
                </c:pt>
                <c:pt idx="4">
                  <c:v>379.84753608037522</c:v>
                </c:pt>
                <c:pt idx="5">
                  <c:v>324.43005028588459</c:v>
                </c:pt>
                <c:pt idx="6">
                  <c:v>277.09764453027759</c:v>
                </c:pt>
                <c:pt idx="7">
                  <c:v>236.6707539470143</c:v>
                </c:pt>
                <c:pt idx="8">
                  <c:v>630.58692600848838</c:v>
                </c:pt>
                <c:pt idx="9">
                  <c:v>630.6869260084884</c:v>
                </c:pt>
              </c:numCache>
            </c:numRef>
          </c:xVal>
          <c:yVal>
            <c:numRef>
              <c:f>'3.) Preliminary Sizing II'!$G$30:$G$39</c:f>
              <c:numCache>
                <c:formatCode>0.000</c:formatCode>
                <c:ptCount val="10"/>
                <c:pt idx="0">
                  <c:v>0.23064223875828477</c:v>
                </c:pt>
                <c:pt idx="1">
                  <c:v>0.23064223875828477</c:v>
                </c:pt>
                <c:pt idx="2">
                  <c:v>0.23064223875828477</c:v>
                </c:pt>
                <c:pt idx="3">
                  <c:v>0.23064223875828477</c:v>
                </c:pt>
                <c:pt idx="4">
                  <c:v>0.23064223875828477</c:v>
                </c:pt>
                <c:pt idx="5">
                  <c:v>0.23064223875828477</c:v>
                </c:pt>
                <c:pt idx="6">
                  <c:v>0.23064223875828477</c:v>
                </c:pt>
                <c:pt idx="7">
                  <c:v>0.23064223875828477</c:v>
                </c:pt>
              </c:numCache>
            </c:numRef>
          </c:yVal>
        </c:ser>
        <c:ser>
          <c:idx val="1"/>
          <c:order val="1"/>
          <c:tx>
            <c:strRef>
              <c:f>'3.) Preliminary Sizing II'!$H$20</c:f>
              <c:strCache>
                <c:ptCount val="1"/>
                <c:pt idx="0">
                  <c:v>Missed appr.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'3.) Preliminary Sizing II'!$F$30:$F$39</c:f>
              <c:numCache>
                <c:formatCode>0</c:formatCode>
                <c:ptCount val="10"/>
                <c:pt idx="0">
                  <c:v>699.95866417706804</c:v>
                </c:pt>
                <c:pt idx="1">
                  <c:v>604.44074941179531</c:v>
                </c:pt>
                <c:pt idx="2">
                  <c:v>519.76282331460368</c:v>
                </c:pt>
                <c:pt idx="3">
                  <c:v>444.95758157562767</c:v>
                </c:pt>
                <c:pt idx="4">
                  <c:v>379.84753608037522</c:v>
                </c:pt>
                <c:pt idx="5">
                  <c:v>324.43005028588459</c:v>
                </c:pt>
                <c:pt idx="6">
                  <c:v>277.09764453027759</c:v>
                </c:pt>
                <c:pt idx="7">
                  <c:v>236.6707539470143</c:v>
                </c:pt>
                <c:pt idx="8">
                  <c:v>630.58692600848838</c:v>
                </c:pt>
                <c:pt idx="9">
                  <c:v>630.6869260084884</c:v>
                </c:pt>
              </c:numCache>
            </c:numRef>
          </c:xVal>
          <c:yVal>
            <c:numRef>
              <c:f>'3.) Preliminary Sizing II'!$H$30:$H$39</c:f>
              <c:numCache>
                <c:formatCode>0.000</c:formatCode>
                <c:ptCount val="10"/>
                <c:pt idx="0">
                  <c:v>0.19172786937678182</c:v>
                </c:pt>
                <c:pt idx="1">
                  <c:v>0.19172786937678182</c:v>
                </c:pt>
                <c:pt idx="2">
                  <c:v>0.19172786937678182</c:v>
                </c:pt>
                <c:pt idx="3">
                  <c:v>0.19172786937678182</c:v>
                </c:pt>
                <c:pt idx="4">
                  <c:v>0.19172786937678182</c:v>
                </c:pt>
                <c:pt idx="5">
                  <c:v>0.19172786937678182</c:v>
                </c:pt>
                <c:pt idx="6">
                  <c:v>0.19172786937678182</c:v>
                </c:pt>
                <c:pt idx="7">
                  <c:v>0.19172786937678182</c:v>
                </c:pt>
              </c:numCache>
            </c:numRef>
          </c:yVal>
        </c:ser>
        <c:ser>
          <c:idx val="2"/>
          <c:order val="2"/>
          <c:tx>
            <c:strRef>
              <c:f>'3.) Preliminary Sizing II'!$I$20</c:f>
              <c:strCache>
                <c:ptCount val="1"/>
                <c:pt idx="0">
                  <c:v>Take-off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'3.) Preliminary Sizing II'!$F$30:$F$39</c:f>
              <c:numCache>
                <c:formatCode>0</c:formatCode>
                <c:ptCount val="10"/>
                <c:pt idx="0">
                  <c:v>699.95866417706804</c:v>
                </c:pt>
                <c:pt idx="1">
                  <c:v>604.44074941179531</c:v>
                </c:pt>
                <c:pt idx="2">
                  <c:v>519.76282331460368</c:v>
                </c:pt>
                <c:pt idx="3">
                  <c:v>444.95758157562767</c:v>
                </c:pt>
                <c:pt idx="4">
                  <c:v>379.84753608037522</c:v>
                </c:pt>
                <c:pt idx="5">
                  <c:v>324.43005028588459</c:v>
                </c:pt>
                <c:pt idx="6">
                  <c:v>277.09764453027759</c:v>
                </c:pt>
                <c:pt idx="7">
                  <c:v>236.6707539470143</c:v>
                </c:pt>
                <c:pt idx="8">
                  <c:v>630.58692600848838</c:v>
                </c:pt>
                <c:pt idx="9">
                  <c:v>630.6869260084884</c:v>
                </c:pt>
              </c:numCache>
            </c:numRef>
          </c:xVal>
          <c:yVal>
            <c:numRef>
              <c:f>'3.) Preliminary Sizing II'!$I$30:$I$39</c:f>
              <c:numCache>
                <c:formatCode>0.00</c:formatCode>
                <c:ptCount val="10"/>
                <c:pt idx="0">
                  <c:v>0.2583508849078745</c:v>
                </c:pt>
                <c:pt idx="1">
                  <c:v>0.22309574904470789</c:v>
                </c:pt>
                <c:pt idx="2">
                  <c:v>0.19184159325096098</c:v>
                </c:pt>
                <c:pt idx="3">
                  <c:v>0.16423139083746097</c:v>
                </c:pt>
                <c:pt idx="4">
                  <c:v>0.1401996319194298</c:v>
                </c:pt>
                <c:pt idx="5">
                  <c:v>0.11974534336339242</c:v>
                </c:pt>
                <c:pt idx="6">
                  <c:v>0.1022752132862737</c:v>
                </c:pt>
                <c:pt idx="7">
                  <c:v>8.735387079737239E-2</c:v>
                </c:pt>
              </c:numCache>
            </c:numRef>
          </c:yVal>
        </c:ser>
        <c:ser>
          <c:idx val="3"/>
          <c:order val="3"/>
          <c:tx>
            <c:strRef>
              <c:f>'3.) Preliminary Sizing II'!$J$20</c:f>
              <c:strCache>
                <c:ptCount val="1"/>
                <c:pt idx="0">
                  <c:v>Cruise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'3.) Preliminary Sizing II'!$F$30:$F$39</c:f>
              <c:numCache>
                <c:formatCode>0</c:formatCode>
                <c:ptCount val="10"/>
                <c:pt idx="0">
                  <c:v>699.95866417706804</c:v>
                </c:pt>
                <c:pt idx="1">
                  <c:v>604.44074941179531</c:v>
                </c:pt>
                <c:pt idx="2">
                  <c:v>519.76282331460368</c:v>
                </c:pt>
                <c:pt idx="3">
                  <c:v>444.95758157562767</c:v>
                </c:pt>
                <c:pt idx="4">
                  <c:v>379.84753608037522</c:v>
                </c:pt>
                <c:pt idx="5">
                  <c:v>324.43005028588459</c:v>
                </c:pt>
                <c:pt idx="6">
                  <c:v>277.09764453027759</c:v>
                </c:pt>
                <c:pt idx="7">
                  <c:v>236.6707539470143</c:v>
                </c:pt>
                <c:pt idx="8">
                  <c:v>630.58692600848838</c:v>
                </c:pt>
                <c:pt idx="9">
                  <c:v>630.6869260084884</c:v>
                </c:pt>
              </c:numCache>
            </c:numRef>
          </c:xVal>
          <c:yVal>
            <c:numRef>
              <c:f>'3.) Preliminary Sizing II'!$J$30:$J$39</c:f>
              <c:numCache>
                <c:formatCode>0.00</c:formatCode>
                <c:ptCount val="10"/>
                <c:pt idx="0">
                  <c:v>0.22093032607767901</c:v>
                </c:pt>
                <c:pt idx="1">
                  <c:v>0.24711643406565093</c:v>
                </c:pt>
                <c:pt idx="2">
                  <c:v>0.28034472547025047</c:v>
                </c:pt>
                <c:pt idx="3">
                  <c:v>0.32389728577477384</c:v>
                </c:pt>
                <c:pt idx="4">
                  <c:v>0.3834708618739</c:v>
                </c:pt>
                <c:pt idx="5">
                  <c:v>0.46989795764852843</c:v>
                </c:pt>
                <c:pt idx="6">
                  <c:v>0.60661826766647842</c:v>
                </c:pt>
                <c:pt idx="7">
                  <c:v>0.85554564382068965</c:v>
                </c:pt>
              </c:numCache>
            </c:numRef>
          </c:yVal>
        </c:ser>
        <c:ser>
          <c:idx val="4"/>
          <c:order val="4"/>
          <c:tx>
            <c:strRef>
              <c:f>'3.) Preliminary Sizing II'!$K$20</c:f>
              <c:strCache>
                <c:ptCount val="1"/>
                <c:pt idx="0">
                  <c:v>Landing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'3.) Preliminary Sizing II'!$F$30:$F$39</c:f>
              <c:numCache>
                <c:formatCode>0</c:formatCode>
                <c:ptCount val="10"/>
                <c:pt idx="0">
                  <c:v>699.95866417706804</c:v>
                </c:pt>
                <c:pt idx="1">
                  <c:v>604.44074941179531</c:v>
                </c:pt>
                <c:pt idx="2">
                  <c:v>519.76282331460368</c:v>
                </c:pt>
                <c:pt idx="3">
                  <c:v>444.95758157562767</c:v>
                </c:pt>
                <c:pt idx="4">
                  <c:v>379.84753608037522</c:v>
                </c:pt>
                <c:pt idx="5">
                  <c:v>324.43005028588459</c:v>
                </c:pt>
                <c:pt idx="6">
                  <c:v>277.09764453027759</c:v>
                </c:pt>
                <c:pt idx="7">
                  <c:v>236.6707539470143</c:v>
                </c:pt>
                <c:pt idx="8">
                  <c:v>630.58692600848838</c:v>
                </c:pt>
                <c:pt idx="9">
                  <c:v>630.6869260084884</c:v>
                </c:pt>
              </c:numCache>
            </c:numRef>
          </c:xVal>
          <c:yVal>
            <c:numRef>
              <c:f>'3.) Preliminary Sizing II'!$K$30:$K$39</c:f>
              <c:numCache>
                <c:formatCode>General</c:formatCode>
                <c:ptCount val="10"/>
                <c:pt idx="8">
                  <c:v>0</c:v>
                </c:pt>
                <c:pt idx="9">
                  <c:v>0.5</c:v>
                </c:pt>
              </c:numCache>
            </c:numRef>
          </c:yVal>
        </c:ser>
        <c:axId val="219359872"/>
        <c:axId val="219366528"/>
      </c:scatterChart>
      <c:valAx>
        <c:axId val="2193598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Wing loading in kg/m²</a:t>
                </a:r>
              </a:p>
            </c:rich>
          </c:tx>
          <c:layout>
            <c:manualLayout>
              <c:xMode val="edge"/>
              <c:yMode val="edge"/>
              <c:x val="0.39062500000000006"/>
              <c:y val="0.94276094276094269"/>
            </c:manualLayout>
          </c:layout>
          <c:spPr>
            <a:noFill/>
            <a:ln w="25400">
              <a:noFill/>
            </a:ln>
          </c:spPr>
        </c:title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66528"/>
        <c:crosses val="autoZero"/>
        <c:crossBetween val="midCat"/>
      </c:valAx>
      <c:valAx>
        <c:axId val="219366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Thrust-to-weight ratio [-]</a:t>
                </a:r>
              </a:p>
            </c:rich>
          </c:tx>
          <c:layout>
            <c:manualLayout>
              <c:xMode val="edge"/>
              <c:yMode val="edge"/>
              <c:x val="1.1458333333333334E-2"/>
              <c:y val="0.37205387205387214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359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75000000000013"/>
          <c:y val="0.4107744107744109"/>
          <c:w val="0.12187499999999996"/>
          <c:h val="0.178451178451178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8740157499999996" right="0.78740157499999996" top="0.984251969" bottom="0.984251969" header="0.4921259845" footer="0.4921259845"/>
  <pageSetup paperSize="9" orientation="landscape" horizontalDpi="96" verticalDpi="96" r:id="rId1"/>
  <headerFooter alignWithMargins="0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771525</xdr:colOff>
      <xdr:row>17</xdr:row>
      <xdr:rowOff>85725</xdr:rowOff>
    </xdr:from>
    <xdr:to>
      <xdr:col>3</xdr:col>
      <xdr:colOff>771525</xdr:colOff>
      <xdr:row>19</xdr:row>
      <xdr:rowOff>104775</xdr:rowOff>
    </xdr:to>
    <xdr:sp macro="" textlink="">
      <xdr:nvSpPr>
        <xdr:cNvPr id="3149" name="Line 11"/>
        <xdr:cNvSpPr>
          <a:spLocks noChangeShapeType="1"/>
        </xdr:cNvSpPr>
      </xdr:nvSpPr>
      <xdr:spPr bwMode="auto">
        <a:xfrm>
          <a:off x="4743450" y="31908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695325</xdr:colOff>
      <xdr:row>17</xdr:row>
      <xdr:rowOff>104775</xdr:rowOff>
    </xdr:from>
    <xdr:to>
      <xdr:col>5</xdr:col>
      <xdr:colOff>971550</xdr:colOff>
      <xdr:row>19</xdr:row>
      <xdr:rowOff>104775</xdr:rowOff>
    </xdr:to>
    <xdr:sp macro="" textlink="">
      <xdr:nvSpPr>
        <xdr:cNvPr id="3150" name="Line 12"/>
        <xdr:cNvSpPr>
          <a:spLocks noChangeShapeType="1"/>
        </xdr:cNvSpPr>
      </xdr:nvSpPr>
      <xdr:spPr bwMode="auto">
        <a:xfrm flipH="1">
          <a:off x="6524625" y="3209925"/>
          <a:ext cx="276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9525</xdr:rowOff>
    </xdr:from>
    <xdr:to>
      <xdr:col>5</xdr:col>
      <xdr:colOff>628650</xdr:colOff>
      <xdr:row>61</xdr:row>
      <xdr:rowOff>152400</xdr:rowOff>
    </xdr:to>
    <xdr:sp macro="" textlink="">
      <xdr:nvSpPr>
        <xdr:cNvPr id="3151" name="Line 16"/>
        <xdr:cNvSpPr>
          <a:spLocks noChangeShapeType="1"/>
        </xdr:cNvSpPr>
      </xdr:nvSpPr>
      <xdr:spPr bwMode="auto">
        <a:xfrm flipH="1">
          <a:off x="3981450" y="10610850"/>
          <a:ext cx="24765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67</xdr:row>
      <xdr:rowOff>9525</xdr:rowOff>
    </xdr:from>
    <xdr:to>
      <xdr:col>5</xdr:col>
      <xdr:colOff>714375</xdr:colOff>
      <xdr:row>69</xdr:row>
      <xdr:rowOff>28575</xdr:rowOff>
    </xdr:to>
    <xdr:sp macro="" textlink="">
      <xdr:nvSpPr>
        <xdr:cNvPr id="3152" name="Line 18"/>
        <xdr:cNvSpPr>
          <a:spLocks noChangeShapeType="1"/>
        </xdr:cNvSpPr>
      </xdr:nvSpPr>
      <xdr:spPr bwMode="auto">
        <a:xfrm flipH="1">
          <a:off x="3990975" y="11896725"/>
          <a:ext cx="25527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fscholz.de/" TargetMode="External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1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5" Type="http://schemas.openxmlformats.org/officeDocument/2006/relationships/oleObject" Target="../embeddings/oleObject10.bin"/><Relationship Id="rId4" Type="http://schemas.openxmlformats.org/officeDocument/2006/relationships/oleObject" Target="../embeddings/oleObject9.bin"/><Relationship Id="rId9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zoomScaleNormal="100" workbookViewId="0">
      <selection activeCell="A3" sqref="A3"/>
    </sheetView>
  </sheetViews>
  <sheetFormatPr baseColWidth="10" defaultRowHeight="12.75"/>
  <cols>
    <col min="1" max="1" width="39.28515625" customWidth="1"/>
    <col min="2" max="2" width="12.5703125" customWidth="1"/>
    <col min="3" max="3" width="10" customWidth="1"/>
    <col min="4" max="4" width="8.28515625" customWidth="1"/>
    <col min="5" max="6" width="11.5703125" bestFit="1" customWidth="1"/>
    <col min="10" max="10" width="15.7109375" customWidth="1"/>
  </cols>
  <sheetData>
    <row r="1" spans="1:7" ht="18">
      <c r="A1" s="2" t="s">
        <v>193</v>
      </c>
    </row>
    <row r="2" spans="1:7">
      <c r="A2" s="12" t="s">
        <v>316</v>
      </c>
    </row>
    <row r="3" spans="1:7" ht="13.5" thickBot="1">
      <c r="B3" s="16"/>
    </row>
    <row r="4" spans="1:7">
      <c r="A4" s="93" t="s">
        <v>139</v>
      </c>
      <c r="B4" s="94"/>
      <c r="C4" s="95"/>
      <c r="E4" s="93" t="s">
        <v>140</v>
      </c>
      <c r="F4" s="102"/>
      <c r="G4" s="95"/>
    </row>
    <row r="5" spans="1:7">
      <c r="A5" s="122" t="s">
        <v>313</v>
      </c>
      <c r="B5" s="92"/>
      <c r="C5" s="97"/>
      <c r="E5" s="103" t="s">
        <v>130</v>
      </c>
      <c r="F5" s="9"/>
      <c r="G5" s="97"/>
    </row>
    <row r="6" spans="1:7">
      <c r="A6" s="122" t="s">
        <v>314</v>
      </c>
      <c r="B6" s="92"/>
      <c r="C6" s="97"/>
      <c r="E6" s="103"/>
      <c r="F6" s="9"/>
      <c r="G6" s="97"/>
    </row>
    <row r="7" spans="1:7">
      <c r="A7" s="96" t="s">
        <v>141</v>
      </c>
      <c r="B7" s="92"/>
      <c r="C7" s="97"/>
      <c r="E7" s="103" t="s">
        <v>131</v>
      </c>
      <c r="F7" s="9"/>
      <c r="G7" s="97"/>
    </row>
    <row r="8" spans="1:7">
      <c r="A8" s="96" t="s">
        <v>142</v>
      </c>
      <c r="B8" s="92"/>
      <c r="C8" s="97"/>
      <c r="E8" s="108" t="s">
        <v>132</v>
      </c>
      <c r="F8" s="9"/>
      <c r="G8" s="97"/>
    </row>
    <row r="9" spans="1:7" ht="13.5" thickBot="1">
      <c r="A9" s="98" t="s">
        <v>143</v>
      </c>
      <c r="B9" s="99"/>
      <c r="C9" s="100"/>
      <c r="E9" s="123" t="s">
        <v>315</v>
      </c>
      <c r="F9" s="99"/>
      <c r="G9" s="100"/>
    </row>
    <row r="10" spans="1:7">
      <c r="A10" s="91"/>
    </row>
    <row r="11" spans="1:7">
      <c r="A11" s="13" t="s">
        <v>144</v>
      </c>
    </row>
    <row r="12" spans="1:7" ht="15.75">
      <c r="A12" t="s">
        <v>145</v>
      </c>
      <c r="B12" t="s">
        <v>52</v>
      </c>
      <c r="C12" s="112">
        <v>1.7018324</v>
      </c>
      <c r="D12" s="73" t="s">
        <v>294</v>
      </c>
    </row>
    <row r="13" spans="1:7">
      <c r="A13" t="s">
        <v>146</v>
      </c>
      <c r="C13" s="14">
        <f>3.6/1.852</f>
        <v>1.9438444924406046</v>
      </c>
      <c r="D13" t="s">
        <v>5</v>
      </c>
    </row>
    <row r="14" spans="1:7">
      <c r="C14" s="14"/>
    </row>
    <row r="15" spans="1:7">
      <c r="A15" s="16" t="s">
        <v>147</v>
      </c>
      <c r="C15" s="55" t="s">
        <v>292</v>
      </c>
      <c r="E15" s="16" t="s">
        <v>178</v>
      </c>
    </row>
    <row r="16" spans="1:7" ht="15.75">
      <c r="A16" t="s">
        <v>148</v>
      </c>
      <c r="B16" t="s">
        <v>53</v>
      </c>
      <c r="C16" s="25">
        <v>1700</v>
      </c>
      <c r="D16" s="25" t="s">
        <v>3</v>
      </c>
      <c r="E16" s="15"/>
    </row>
    <row r="17" spans="1:4" ht="15.75">
      <c r="A17" t="s">
        <v>149</v>
      </c>
      <c r="B17" s="24" t="s">
        <v>54</v>
      </c>
      <c r="C17" s="15">
        <f>C12*SQRT(C16)</f>
        <v>70.168347422984056</v>
      </c>
      <c r="D17" t="s">
        <v>4</v>
      </c>
    </row>
    <row r="18" spans="1:4" ht="15.75">
      <c r="A18" t="s">
        <v>149</v>
      </c>
      <c r="B18" s="24" t="s">
        <v>54</v>
      </c>
      <c r="C18" s="75">
        <f>C17*C13</f>
        <v>136.39635568182646</v>
      </c>
      <c r="D18" s="58" t="s">
        <v>6</v>
      </c>
    </row>
    <row r="19" spans="1:4">
      <c r="B19" s="24"/>
      <c r="C19" s="57"/>
      <c r="D19" s="58"/>
    </row>
    <row r="20" spans="1:4">
      <c r="A20" s="16" t="s">
        <v>150</v>
      </c>
      <c r="C20" s="71" t="str">
        <f>IF(C15="yes","no","yes")</f>
        <v>no</v>
      </c>
      <c r="D20" s="58"/>
    </row>
    <row r="21" spans="1:4" ht="15.75">
      <c r="A21" t="s">
        <v>149</v>
      </c>
      <c r="B21" t="s">
        <v>54</v>
      </c>
      <c r="C21" s="76">
        <v>136.19999999999999</v>
      </c>
      <c r="D21" s="25" t="s">
        <v>6</v>
      </c>
    </row>
    <row r="22" spans="1:4" ht="15.75">
      <c r="A22" t="s">
        <v>149</v>
      </c>
      <c r="B22" s="24" t="s">
        <v>54</v>
      </c>
      <c r="C22" s="74">
        <f>C21/C13</f>
        <v>70.067333333333337</v>
      </c>
      <c r="D22" t="s">
        <v>4</v>
      </c>
    </row>
    <row r="23" spans="1:4" ht="15.75">
      <c r="A23" t="s">
        <v>148</v>
      </c>
      <c r="B23" t="s">
        <v>53</v>
      </c>
      <c r="C23" s="57">
        <f>(C22/C12)^2</f>
        <v>1695.1088959016513</v>
      </c>
      <c r="D23" s="58" t="s">
        <v>3</v>
      </c>
    </row>
    <row r="24" spans="1:4">
      <c r="B24" s="24"/>
      <c r="C24" s="72"/>
      <c r="D24" s="24"/>
    </row>
    <row r="25" spans="1:4">
      <c r="C25" s="24"/>
      <c r="D25" s="24"/>
    </row>
    <row r="26" spans="1:4">
      <c r="A26" s="13" t="s">
        <v>151</v>
      </c>
    </row>
    <row r="27" spans="1:4" ht="15.75">
      <c r="A27" t="s">
        <v>148</v>
      </c>
      <c r="B27" t="s">
        <v>53</v>
      </c>
      <c r="C27" s="6">
        <f>IF(C15="yes",C16,C23)</f>
        <v>1700</v>
      </c>
      <c r="D27" t="s">
        <v>3</v>
      </c>
    </row>
    <row r="28" spans="1:4" ht="15.75">
      <c r="A28" t="s">
        <v>152</v>
      </c>
      <c r="B28" s="4" t="s">
        <v>137</v>
      </c>
      <c r="C28" s="25">
        <v>0</v>
      </c>
      <c r="D28" s="25" t="s">
        <v>24</v>
      </c>
    </row>
    <row r="29" spans="1:4">
      <c r="A29" t="s">
        <v>153</v>
      </c>
      <c r="B29" s="4" t="s">
        <v>29</v>
      </c>
      <c r="C29" s="14">
        <f>288.15/(288.15+C28)</f>
        <v>1</v>
      </c>
    </row>
    <row r="30" spans="1:4" ht="15.75">
      <c r="A30" t="s">
        <v>145</v>
      </c>
      <c r="B30" t="s">
        <v>55</v>
      </c>
      <c r="C30" s="21">
        <f>0.03694455*C12^2</f>
        <v>0.10700004400596522</v>
      </c>
      <c r="D30" t="s">
        <v>7</v>
      </c>
    </row>
    <row r="31" spans="1:4" ht="15.75">
      <c r="A31" t="s">
        <v>281</v>
      </c>
      <c r="B31" t="s">
        <v>56</v>
      </c>
      <c r="C31" s="25">
        <v>2.6</v>
      </c>
    </row>
    <row r="32" spans="1:4" ht="15.75">
      <c r="A32" t="s">
        <v>154</v>
      </c>
      <c r="B32" s="17" t="s">
        <v>306</v>
      </c>
      <c r="C32" s="59">
        <v>0.75</v>
      </c>
    </row>
    <row r="33" spans="1:4" ht="15.75">
      <c r="A33" t="s">
        <v>155</v>
      </c>
      <c r="B33" s="17" t="s">
        <v>307</v>
      </c>
      <c r="C33" s="57">
        <f>C30*C29*C31*C27</f>
        <v>472.94019450636625</v>
      </c>
      <c r="D33" s="58" t="s">
        <v>8</v>
      </c>
    </row>
    <row r="34" spans="1:4" ht="15.75">
      <c r="A34" t="s">
        <v>156</v>
      </c>
      <c r="B34" s="17" t="s">
        <v>308</v>
      </c>
      <c r="C34" s="57">
        <f>C33/C32</f>
        <v>630.58692600848838</v>
      </c>
      <c r="D34" s="58" t="s">
        <v>8</v>
      </c>
    </row>
    <row r="36" spans="1:4">
      <c r="A36" s="13" t="s">
        <v>157</v>
      </c>
    </row>
    <row r="37" spans="1:4" ht="15.75">
      <c r="A37" t="s">
        <v>158</v>
      </c>
      <c r="B37" t="s">
        <v>59</v>
      </c>
      <c r="C37" s="25">
        <v>3048</v>
      </c>
      <c r="D37" s="25" t="s">
        <v>3</v>
      </c>
    </row>
    <row r="38" spans="1:4" ht="15.75">
      <c r="A38" t="s">
        <v>159</v>
      </c>
      <c r="B38" s="4" t="s">
        <v>138</v>
      </c>
      <c r="C38" s="25">
        <v>0</v>
      </c>
      <c r="D38" s="25" t="s">
        <v>24</v>
      </c>
    </row>
    <row r="39" spans="1:4">
      <c r="A39" t="s">
        <v>153</v>
      </c>
      <c r="B39" s="4" t="s">
        <v>29</v>
      </c>
      <c r="C39" s="14">
        <f>288.15/(288.15+C38)</f>
        <v>1</v>
      </c>
    </row>
    <row r="40" spans="1:4" ht="15.75">
      <c r="A40" t="s">
        <v>145</v>
      </c>
      <c r="B40" t="s">
        <v>57</v>
      </c>
      <c r="C40" s="73">
        <v>2.34</v>
      </c>
      <c r="D40" s="73" t="s">
        <v>9</v>
      </c>
    </row>
    <row r="41" spans="1:4" ht="15.75">
      <c r="A41" t="s">
        <v>160</v>
      </c>
      <c r="B41" t="s">
        <v>73</v>
      </c>
      <c r="C41">
        <f>0.8*C31</f>
        <v>2.08</v>
      </c>
    </row>
    <row r="42" spans="1:4" ht="15.75">
      <c r="A42" t="s">
        <v>279</v>
      </c>
      <c r="B42" t="s">
        <v>58</v>
      </c>
      <c r="C42" s="25">
        <f>C41</f>
        <v>2.08</v>
      </c>
      <c r="D42" s="18"/>
    </row>
    <row r="43" spans="1:4">
      <c r="A43" t="s">
        <v>280</v>
      </c>
      <c r="B43" s="24" t="s">
        <v>2</v>
      </c>
      <c r="C43" s="61">
        <f>C40/C37/C39/C42</f>
        <v>3.6909448818897632E-4</v>
      </c>
      <c r="D43" s="58" t="s">
        <v>7</v>
      </c>
    </row>
    <row r="44" spans="1:4" ht="31.5" customHeight="1">
      <c r="A44" s="17" t="s">
        <v>309</v>
      </c>
      <c r="B44" s="121" t="s">
        <v>310</v>
      </c>
      <c r="C44" s="60">
        <f>C43*C34</f>
        <v>0.23274615871376289</v>
      </c>
    </row>
    <row r="46" spans="1:4">
      <c r="A46" s="13" t="s">
        <v>162</v>
      </c>
    </row>
    <row r="47" spans="1:4">
      <c r="B47" s="13"/>
    </row>
    <row r="48" spans="1:4">
      <c r="A48" s="16" t="s">
        <v>163</v>
      </c>
    </row>
    <row r="49" spans="1:6">
      <c r="A49" t="s">
        <v>164</v>
      </c>
      <c r="B49" t="s">
        <v>10</v>
      </c>
      <c r="C49" s="25">
        <v>10.02</v>
      </c>
    </row>
    <row r="50" spans="1:6" ht="15.75">
      <c r="A50" t="s">
        <v>165</v>
      </c>
      <c r="B50" t="s">
        <v>74</v>
      </c>
      <c r="C50" s="5">
        <f>C42/1.2^2</f>
        <v>1.4444444444444446</v>
      </c>
    </row>
    <row r="51" spans="1:6" ht="15.75">
      <c r="A51" t="s">
        <v>166</v>
      </c>
      <c r="B51" s="17" t="s">
        <v>49</v>
      </c>
      <c r="C51" s="77">
        <v>0.02</v>
      </c>
      <c r="E51" s="17" t="s">
        <v>312</v>
      </c>
    </row>
    <row r="52" spans="1:6" ht="15.75">
      <c r="A52" t="s">
        <v>168</v>
      </c>
      <c r="B52" s="4" t="s">
        <v>75</v>
      </c>
      <c r="C52" s="14">
        <f>IF(0.05*(C50-1.3)+0.01&lt;0, 0, 0.05*(C50-1.3)+0.01)</f>
        <v>1.7222222222222229E-2</v>
      </c>
    </row>
    <row r="53" spans="1:6" ht="15.75">
      <c r="A53" t="s">
        <v>167</v>
      </c>
      <c r="B53" s="4" t="s">
        <v>76</v>
      </c>
      <c r="C53" s="77">
        <v>0</v>
      </c>
      <c r="E53" s="51" t="s">
        <v>60</v>
      </c>
      <c r="F53" s="45" t="s">
        <v>62</v>
      </c>
    </row>
    <row r="54" spans="1:6" ht="15.75">
      <c r="A54" t="s">
        <v>169</v>
      </c>
      <c r="B54" t="s">
        <v>61</v>
      </c>
      <c r="C54" s="21">
        <f>C51+C52+C53</f>
        <v>3.7222222222222226E-2</v>
      </c>
      <c r="E54" s="32">
        <v>2</v>
      </c>
      <c r="F54" s="27">
        <v>2.4E-2</v>
      </c>
    </row>
    <row r="55" spans="1:6">
      <c r="A55" t="s">
        <v>170</v>
      </c>
      <c r="B55" t="s">
        <v>123</v>
      </c>
      <c r="C55" s="73">
        <v>0.7</v>
      </c>
      <c r="E55" s="32">
        <v>3</v>
      </c>
      <c r="F55" s="27">
        <v>2.7E-2</v>
      </c>
    </row>
    <row r="56" spans="1:6" ht="15.75">
      <c r="A56" t="s">
        <v>171</v>
      </c>
      <c r="B56" t="s">
        <v>78</v>
      </c>
      <c r="C56" s="5">
        <f>C50/(C54+C50^2/PI()/C49/C55)</f>
        <v>10.950369496110214</v>
      </c>
      <c r="E56" s="33">
        <v>4</v>
      </c>
      <c r="F56" s="48">
        <v>0.03</v>
      </c>
    </row>
    <row r="57" spans="1:6">
      <c r="C57" s="5"/>
    </row>
    <row r="58" spans="1:6">
      <c r="A58" s="16" t="s">
        <v>278</v>
      </c>
      <c r="C58" s="5"/>
    </row>
    <row r="59" spans="1:6" ht="15.75">
      <c r="A59" t="s">
        <v>172</v>
      </c>
      <c r="B59" t="s">
        <v>60</v>
      </c>
      <c r="C59" s="25">
        <v>2</v>
      </c>
    </row>
    <row r="60" spans="1:6">
      <c r="A60" t="s">
        <v>173</v>
      </c>
      <c r="B60" t="s">
        <v>62</v>
      </c>
      <c r="C60">
        <f>CHOOSE(C59-1,F54,F55,F56)</f>
        <v>2.4E-2</v>
      </c>
    </row>
    <row r="61" spans="1:6" ht="15.75">
      <c r="A61" t="s">
        <v>161</v>
      </c>
      <c r="B61" s="17" t="s">
        <v>72</v>
      </c>
      <c r="C61" s="60">
        <f>C59/(C59-1)*(1/C56+C60)</f>
        <v>0.23064223875828477</v>
      </c>
    </row>
    <row r="64" spans="1:6">
      <c r="A64" s="13" t="s">
        <v>174</v>
      </c>
    </row>
    <row r="65" spans="1:8">
      <c r="A65" s="16" t="s">
        <v>175</v>
      </c>
      <c r="E65" s="49"/>
      <c r="F65" s="38"/>
      <c r="G65" s="120" t="s">
        <v>301</v>
      </c>
      <c r="H65" s="45" t="s">
        <v>81</v>
      </c>
    </row>
    <row r="66" spans="1:8" ht="15.75">
      <c r="A66" t="s">
        <v>176</v>
      </c>
      <c r="B66" t="s">
        <v>79</v>
      </c>
      <c r="C66" s="5">
        <f>C31/1.3^2</f>
        <v>1.5384615384615383</v>
      </c>
      <c r="E66" s="78" t="s">
        <v>77</v>
      </c>
      <c r="F66" s="1"/>
      <c r="G66" s="114">
        <v>0</v>
      </c>
      <c r="H66" s="113">
        <v>1.4999999999999999E-2</v>
      </c>
    </row>
    <row r="67" spans="1:8" ht="15.75">
      <c r="A67" t="s">
        <v>166</v>
      </c>
      <c r="B67" s="17" t="s">
        <v>49</v>
      </c>
      <c r="C67" s="77">
        <v>0.02</v>
      </c>
      <c r="E67" s="17" t="s">
        <v>311</v>
      </c>
    </row>
    <row r="68" spans="1:8" ht="15.75">
      <c r="A68" t="s">
        <v>168</v>
      </c>
      <c r="B68" s="4" t="s">
        <v>75</v>
      </c>
      <c r="C68" s="14">
        <f>IF(0.05*(C66-1.3)+0.01&lt;0, 0, 0.05*(C66-1.3)+0.01)</f>
        <v>2.1923076923076913E-2</v>
      </c>
    </row>
    <row r="69" spans="1:8" ht="15.75">
      <c r="A69" t="s">
        <v>167</v>
      </c>
      <c r="B69" s="4" t="s">
        <v>76</v>
      </c>
      <c r="C69" s="77">
        <v>0</v>
      </c>
    </row>
    <row r="70" spans="1:8">
      <c r="A70" t="s">
        <v>177</v>
      </c>
      <c r="B70" s="17" t="s">
        <v>301</v>
      </c>
      <c r="C70" s="55" t="s">
        <v>293</v>
      </c>
      <c r="E70" s="12" t="s">
        <v>178</v>
      </c>
    </row>
    <row r="71" spans="1:8">
      <c r="B71" t="s">
        <v>81</v>
      </c>
      <c r="C71" s="71" t="str">
        <f>IF(C70="yes","no","yes")</f>
        <v>yes</v>
      </c>
    </row>
    <row r="72" spans="1:8" ht="15.75">
      <c r="A72" t="s">
        <v>179</v>
      </c>
      <c r="B72" s="4" t="s">
        <v>77</v>
      </c>
      <c r="C72" s="21">
        <f>IF(C70="yes",G66,H66)</f>
        <v>1.4999999999999999E-2</v>
      </c>
      <c r="E72" s="51" t="s">
        <v>60</v>
      </c>
      <c r="F72" s="45" t="s">
        <v>62</v>
      </c>
    </row>
    <row r="73" spans="1:8" ht="15.75">
      <c r="A73" t="s">
        <v>169</v>
      </c>
      <c r="B73" t="s">
        <v>61</v>
      </c>
      <c r="C73" s="21">
        <f>C67+C68+C69+C72</f>
        <v>5.692307692307691E-2</v>
      </c>
      <c r="E73" s="32">
        <v>2</v>
      </c>
      <c r="F73" s="27">
        <v>2.1000000000000001E-2</v>
      </c>
    </row>
    <row r="74" spans="1:8" ht="15.75">
      <c r="A74" t="s">
        <v>180</v>
      </c>
      <c r="B74" t="s">
        <v>80</v>
      </c>
      <c r="C74" s="5">
        <f>C66/(C73+C66^2/PI()/C49/C55)</f>
        <v>9.3616672669639875</v>
      </c>
      <c r="E74" s="32">
        <v>3</v>
      </c>
      <c r="F74" s="27">
        <v>2.4E-2</v>
      </c>
    </row>
    <row r="75" spans="1:8">
      <c r="C75" s="5"/>
      <c r="E75" s="33">
        <v>4</v>
      </c>
      <c r="F75" s="48">
        <v>2.7E-2</v>
      </c>
    </row>
    <row r="76" spans="1:8">
      <c r="A76" s="16" t="s">
        <v>278</v>
      </c>
      <c r="C76" s="5"/>
      <c r="E76" s="91"/>
      <c r="F76" s="91"/>
    </row>
    <row r="77" spans="1:8">
      <c r="A77" t="s">
        <v>173</v>
      </c>
      <c r="B77" t="s">
        <v>62</v>
      </c>
      <c r="C77">
        <f>CHOOSE(C59-1,F73,F74,F75)</f>
        <v>2.1000000000000001E-2</v>
      </c>
    </row>
    <row r="78" spans="1:8" ht="15.75">
      <c r="A78" t="s">
        <v>161</v>
      </c>
      <c r="B78" s="17" t="s">
        <v>72</v>
      </c>
      <c r="C78" s="60">
        <f>C59/(C59-1)*(1/C74+C77)*C32</f>
        <v>0.19172786937678182</v>
      </c>
    </row>
  </sheetData>
  <phoneticPr fontId="4" type="noConversion"/>
  <dataValidations count="1">
    <dataValidation type="list" allowBlank="1" showInputMessage="1" showErrorMessage="1" sqref="C15 C70">
      <formula1>"yes, no"</formula1>
    </dataValidation>
  </dataValidations>
  <hyperlinks>
    <hyperlink ref="E8" r:id="rId1" display="http://www.ProfScholz.de"/>
  </hyperlinks>
  <pageMargins left="0.78740157499999996" right="0.78740157499999996" top="0.87" bottom="0.984251969" header="0.4921259845" footer="0.4921259845"/>
  <pageSetup paperSize="9" scale="96" orientation="landscape" horizontalDpi="300" verticalDpi="300" r:id="rId2"/>
  <headerFooter alignWithMargins="0">
    <oddHeader>&amp;A</oddHeader>
    <oddFooter>Seite &amp;P</oddFooter>
  </headerFooter>
  <rowBreaks count="2" manualBreakCount="2">
    <brk id="35" max="16383" man="1"/>
    <brk id="62" max="16383" man="1"/>
  </rowBreaks>
  <legacyDrawing r:id="rId3"/>
  <oleObjects>
    <oleObject progId="Equation.3" shapeId="2049" r:id="rId4"/>
    <oleObject progId="Equation.3" shapeId="2050" r:id="rId5"/>
    <oleObject progId="Equation.3" shapeId="2051" r:id="rId6"/>
    <oleObject progId="Equation.3" shapeId="2052" r:id="rId7"/>
    <oleObject progId="Equation.3" shapeId="2053" r:id="rId8"/>
    <oleObject progId="Equation.3" shapeId="2054" r:id="rId9"/>
    <oleObject progId="Equation.3" shapeId="2077" r:id="rId10"/>
    <oleObject progId="Equation.3" shapeId="2080" r:id="rId11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baseColWidth="10" defaultRowHeight="12.75"/>
  <cols>
    <col min="1" max="1" width="38.28515625" bestFit="1" customWidth="1"/>
    <col min="2" max="2" width="9.5703125" customWidth="1"/>
  </cols>
  <sheetData>
    <row r="1" spans="1:3" ht="18">
      <c r="A1" s="2" t="s">
        <v>277</v>
      </c>
    </row>
    <row r="3" spans="1:3" ht="14.25">
      <c r="A3" s="16" t="s">
        <v>181</v>
      </c>
    </row>
    <row r="5" spans="1:3">
      <c r="A5" s="80" t="s">
        <v>182</v>
      </c>
    </row>
    <row r="6" spans="1:3" ht="15.75">
      <c r="A6" t="s">
        <v>183</v>
      </c>
      <c r="B6" t="s">
        <v>123</v>
      </c>
      <c r="C6" s="56">
        <v>0.85</v>
      </c>
    </row>
    <row r="7" spans="1:3" ht="15.75">
      <c r="A7" t="s">
        <v>185</v>
      </c>
      <c r="B7" t="s">
        <v>184</v>
      </c>
      <c r="C7" s="25">
        <v>3.0000000000000001E-3</v>
      </c>
    </row>
    <row r="8" spans="1:3" ht="15.75">
      <c r="A8" t="s">
        <v>145</v>
      </c>
      <c r="B8" t="s">
        <v>82</v>
      </c>
      <c r="C8" s="74">
        <f>1/2*SQRT(PI()*C6/C7)</f>
        <v>14.917422016865951</v>
      </c>
    </row>
    <row r="10" spans="1:3">
      <c r="A10" s="80" t="s">
        <v>318</v>
      </c>
    </row>
    <row r="11" spans="1:3" ht="15.75">
      <c r="A11" t="s">
        <v>145</v>
      </c>
      <c r="B11" t="s">
        <v>82</v>
      </c>
      <c r="C11">
        <v>15.8</v>
      </c>
    </row>
    <row r="13" spans="1:3">
      <c r="A13" s="80" t="s">
        <v>186</v>
      </c>
    </row>
    <row r="14" spans="1:3" ht="15.75">
      <c r="A14" t="s">
        <v>145</v>
      </c>
      <c r="B14" t="s">
        <v>82</v>
      </c>
      <c r="C14" s="82" t="s">
        <v>83</v>
      </c>
    </row>
    <row r="16" spans="1:3" ht="14.25">
      <c r="A16" s="12" t="s">
        <v>317</v>
      </c>
    </row>
    <row r="18" spans="1:4" ht="15.75">
      <c r="A18" t="s">
        <v>145</v>
      </c>
      <c r="B18" t="s">
        <v>189</v>
      </c>
      <c r="C18" s="25">
        <f>C11</f>
        <v>15.8</v>
      </c>
      <c r="D18" s="12" t="s">
        <v>178</v>
      </c>
    </row>
    <row r="19" spans="1:4" ht="15.75">
      <c r="A19" t="s">
        <v>187</v>
      </c>
      <c r="B19" t="s">
        <v>84</v>
      </c>
      <c r="C19" s="25">
        <v>6.1</v>
      </c>
      <c r="D19" t="s">
        <v>85</v>
      </c>
    </row>
    <row r="20" spans="1:4">
      <c r="A20" t="s">
        <v>164</v>
      </c>
      <c r="B20" t="s">
        <v>10</v>
      </c>
      <c r="C20">
        <f>'1.) Preliminary Sizing I'!C49</f>
        <v>10.02</v>
      </c>
      <c r="D20" t="s">
        <v>192</v>
      </c>
    </row>
    <row r="21" spans="1:4" ht="15.75">
      <c r="A21" t="s">
        <v>188</v>
      </c>
      <c r="B21" t="s">
        <v>86</v>
      </c>
      <c r="C21" s="81">
        <f>C18*SQRT(C20/C19)</f>
        <v>20.250046751615738</v>
      </c>
    </row>
    <row r="23" spans="1:4">
      <c r="B23" t="s">
        <v>190</v>
      </c>
    </row>
    <row r="25" spans="1:4" ht="15.75">
      <c r="A25" t="s">
        <v>188</v>
      </c>
      <c r="B25" t="s">
        <v>191</v>
      </c>
      <c r="C25" s="59">
        <f>C21</f>
        <v>20.250046751615738</v>
      </c>
      <c r="D25" s="12" t="s">
        <v>178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horizontalDpi="96" verticalDpi="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1"/>
  <sheetViews>
    <sheetView zoomScaleNormal="100" workbookViewId="0">
      <selection activeCell="A4" sqref="A4"/>
    </sheetView>
  </sheetViews>
  <sheetFormatPr baseColWidth="10" defaultRowHeight="12.75"/>
  <cols>
    <col min="1" max="1" width="32.140625" customWidth="1"/>
    <col min="2" max="2" width="15.5703125" customWidth="1"/>
    <col min="3" max="3" width="9" customWidth="1"/>
    <col min="4" max="4" width="12" customWidth="1"/>
    <col min="5" max="5" width="13.7109375" customWidth="1"/>
    <col min="6" max="6" width="15.85546875" customWidth="1"/>
    <col min="7" max="7" width="12.85546875" customWidth="1"/>
    <col min="8" max="8" width="12.42578125" bestFit="1" customWidth="1"/>
    <col min="10" max="10" width="12.28515625" customWidth="1"/>
  </cols>
  <sheetData>
    <row r="1" spans="1:10" ht="18">
      <c r="A1" s="2" t="s">
        <v>194</v>
      </c>
    </row>
    <row r="2" spans="1:10">
      <c r="A2" s="16" t="s">
        <v>195</v>
      </c>
    </row>
    <row r="3" spans="1:10" ht="14.25">
      <c r="A3" s="16" t="s">
        <v>196</v>
      </c>
    </row>
    <row r="5" spans="1:10">
      <c r="A5" s="8" t="s">
        <v>11</v>
      </c>
      <c r="B5" s="1"/>
      <c r="C5" s="3" t="s">
        <v>197</v>
      </c>
      <c r="D5" s="1"/>
      <c r="F5" s="8" t="s">
        <v>11</v>
      </c>
      <c r="G5" s="3" t="s">
        <v>197</v>
      </c>
    </row>
    <row r="6" spans="1:10" ht="15.75">
      <c r="A6" t="s">
        <v>198</v>
      </c>
      <c r="B6" t="s">
        <v>1</v>
      </c>
      <c r="C6" s="25">
        <v>9.5</v>
      </c>
      <c r="F6" s="17" t="s">
        <v>299</v>
      </c>
      <c r="G6" s="25">
        <f>SQRT(SQRT(3))</f>
        <v>1.3160740129524924</v>
      </c>
      <c r="I6" s="101" t="s">
        <v>201</v>
      </c>
      <c r="J6">
        <f>SQRT(SQRT(3))</f>
        <v>1.3160740129524924</v>
      </c>
    </row>
    <row r="7" spans="1:10" ht="15.75">
      <c r="A7" t="s">
        <v>274</v>
      </c>
      <c r="B7" s="24" t="s">
        <v>86</v>
      </c>
      <c r="C7" s="83">
        <f>'2.) Max. Glide Ratio in Cruise'!C25</f>
        <v>20.250046751615738</v>
      </c>
      <c r="D7" t="s">
        <v>302</v>
      </c>
      <c r="F7" s="17" t="s">
        <v>300</v>
      </c>
      <c r="G7" s="14">
        <f>1/G6^2</f>
        <v>0.57735026918962584</v>
      </c>
    </row>
    <row r="8" spans="1:10" ht="15.75">
      <c r="A8" t="s">
        <v>164</v>
      </c>
      <c r="B8" t="s">
        <v>10</v>
      </c>
      <c r="C8" s="17">
        <f>'1.) Preliminary Sizing I'!C49</f>
        <v>10.02</v>
      </c>
      <c r="D8" t="s">
        <v>303</v>
      </c>
      <c r="F8" t="s">
        <v>12</v>
      </c>
      <c r="G8" s="14">
        <f>G7*C11</f>
        <v>0.38143440789711358</v>
      </c>
    </row>
    <row r="9" spans="1:10">
      <c r="A9" t="s">
        <v>199</v>
      </c>
      <c r="B9" t="s">
        <v>123</v>
      </c>
      <c r="C9" s="73">
        <v>0.85</v>
      </c>
      <c r="F9" t="s">
        <v>87</v>
      </c>
      <c r="G9" s="14">
        <f>L_D_max*2/(1/G7+G7)</f>
        <v>17.537054914721782</v>
      </c>
    </row>
    <row r="10" spans="1:10" ht="15.75">
      <c r="A10" t="s">
        <v>275</v>
      </c>
      <c r="B10" t="s">
        <v>49</v>
      </c>
      <c r="C10" s="21">
        <f>PI()*C8*C9/4/L_D_max^2</f>
        <v>1.631264812215898E-2</v>
      </c>
    </row>
    <row r="11" spans="1:10" ht="15.75">
      <c r="A11" t="s">
        <v>200</v>
      </c>
      <c r="B11" s="17" t="s">
        <v>298</v>
      </c>
      <c r="C11" s="5">
        <f>SQRT(C10*PI()*C8*C9)</f>
        <v>0.66066377423275202</v>
      </c>
    </row>
    <row r="12" spans="1:10" ht="15.75">
      <c r="A12" t="s">
        <v>276</v>
      </c>
      <c r="B12" t="s">
        <v>50</v>
      </c>
      <c r="C12" s="25">
        <v>0.85</v>
      </c>
    </row>
    <row r="14" spans="1:10">
      <c r="A14" s="1" t="s">
        <v>202</v>
      </c>
      <c r="B14" s="1"/>
      <c r="C14" s="1"/>
      <c r="D14" s="1"/>
    </row>
    <row r="15" spans="1:10">
      <c r="A15" s="24" t="s">
        <v>203</v>
      </c>
      <c r="B15" s="104" t="s">
        <v>13</v>
      </c>
      <c r="C15">
        <v>1.4</v>
      </c>
    </row>
    <row r="16" spans="1:10">
      <c r="A16" t="s">
        <v>204</v>
      </c>
      <c r="B16" s="84" t="s">
        <v>13</v>
      </c>
      <c r="C16">
        <v>9.81</v>
      </c>
      <c r="D16" t="s">
        <v>14</v>
      </c>
    </row>
    <row r="17" spans="1:11" ht="15.75">
      <c r="A17" t="s">
        <v>205</v>
      </c>
      <c r="B17" s="84" t="s">
        <v>51</v>
      </c>
      <c r="C17">
        <v>101325</v>
      </c>
      <c r="D17" t="s">
        <v>15</v>
      </c>
    </row>
    <row r="18" spans="1:11">
      <c r="A18" t="s">
        <v>206</v>
      </c>
      <c r="B18" s="84" t="s">
        <v>123</v>
      </c>
      <c r="C18">
        <v>2.7182818281827998</v>
      </c>
    </row>
    <row r="20" spans="1:11">
      <c r="A20" s="70" t="s">
        <v>207</v>
      </c>
      <c r="B20" s="36"/>
      <c r="C20" s="35" t="s">
        <v>208</v>
      </c>
      <c r="D20" s="35"/>
      <c r="E20" s="35"/>
      <c r="F20" s="36"/>
      <c r="G20" s="37" t="s">
        <v>162</v>
      </c>
      <c r="H20" s="37" t="s">
        <v>209</v>
      </c>
      <c r="I20" s="37" t="s">
        <v>157</v>
      </c>
      <c r="J20" s="37" t="s">
        <v>208</v>
      </c>
      <c r="K20" s="37" t="s">
        <v>151</v>
      </c>
    </row>
    <row r="21" spans="1:11" ht="15.75">
      <c r="A21" s="39" t="s">
        <v>16</v>
      </c>
      <c r="B21" s="26" t="s">
        <v>17</v>
      </c>
      <c r="C21" s="3" t="s">
        <v>0</v>
      </c>
      <c r="D21" s="3" t="s">
        <v>18</v>
      </c>
      <c r="E21" s="3" t="s">
        <v>19</v>
      </c>
      <c r="F21" s="28" t="s">
        <v>20</v>
      </c>
      <c r="G21" s="30" t="s">
        <v>18</v>
      </c>
      <c r="H21" s="30" t="s">
        <v>18</v>
      </c>
      <c r="I21" s="30" t="s">
        <v>18</v>
      </c>
      <c r="J21" s="30" t="s">
        <v>18</v>
      </c>
      <c r="K21" s="30" t="s">
        <v>18</v>
      </c>
    </row>
    <row r="22" spans="1:11">
      <c r="A22" s="40">
        <v>0</v>
      </c>
      <c r="B22" s="27">
        <f t="shared" ref="B22:B37" si="0">A22*1000*3.281</f>
        <v>0</v>
      </c>
      <c r="C22" s="14">
        <f t="shared" ref="C22:C35" si="1">(0.0013*BPR-0.0397)*A22-0.0248*BPR+0.7125</f>
        <v>0.47689999999999999</v>
      </c>
      <c r="D22" s="14">
        <f t="shared" ref="D22:D37" si="2">1/(C22*L_D)</f>
        <v>0.11956828928632617</v>
      </c>
      <c r="E22" s="6">
        <f t="shared" ref="E22:E33" si="3">p0*POWER(1-0.02256*A22,5.256)</f>
        <v>101325</v>
      </c>
      <c r="F22" s="29">
        <f t="shared" ref="F22:F37" si="4">CL*M*M/g*gamma/2*E22</f>
        <v>1992.5230915416432</v>
      </c>
      <c r="G22" s="31">
        <f>'1.) Preliminary Sizing I'!$C$61</f>
        <v>0.23064223875828477</v>
      </c>
      <c r="H22" s="31">
        <f>'1.) Preliminary Sizing I'!$C$78</f>
        <v>0.19172786937678182</v>
      </c>
      <c r="I22" s="34">
        <f>F22*'1.) Preliminary Sizing I'!$C$43</f>
        <v>0.73542929067727958</v>
      </c>
      <c r="J22" s="34">
        <f t="shared" ref="J22:J35" si="5">D22</f>
        <v>0.11956828928632617</v>
      </c>
      <c r="K22" s="32"/>
    </row>
    <row r="23" spans="1:11">
      <c r="A23" s="40">
        <v>1</v>
      </c>
      <c r="B23" s="27">
        <f t="shared" si="0"/>
        <v>3281</v>
      </c>
      <c r="C23" s="14">
        <f t="shared" si="1"/>
        <v>0.44955000000000001</v>
      </c>
      <c r="D23" s="14">
        <f t="shared" si="2"/>
        <v>0.12684265857112434</v>
      </c>
      <c r="E23" s="6">
        <f t="shared" si="3"/>
        <v>89873.202817172307</v>
      </c>
      <c r="F23" s="29">
        <f t="shared" si="4"/>
        <v>1767.3272333976934</v>
      </c>
      <c r="G23" s="31">
        <f>'1.) Preliminary Sizing I'!$C$61</f>
        <v>0.23064223875828477</v>
      </c>
      <c r="H23" s="31">
        <f>'1.) Preliminary Sizing I'!$C$78</f>
        <v>0.19172786937678182</v>
      </c>
      <c r="I23" s="34">
        <f>F23*'1.) Preliminary Sizing I'!$C$43</f>
        <v>0.65231074067336114</v>
      </c>
      <c r="J23" s="34">
        <f t="shared" si="5"/>
        <v>0.12684265857112434</v>
      </c>
      <c r="K23" s="32"/>
    </row>
    <row r="24" spans="1:11">
      <c r="A24" s="40">
        <v>2</v>
      </c>
      <c r="B24" s="27">
        <f t="shared" si="0"/>
        <v>6562</v>
      </c>
      <c r="C24" s="14">
        <f t="shared" si="1"/>
        <v>0.42220000000000002</v>
      </c>
      <c r="D24" s="14">
        <f t="shared" si="2"/>
        <v>0.13505949114317609</v>
      </c>
      <c r="E24" s="6">
        <f t="shared" si="3"/>
        <v>79492.744270966257</v>
      </c>
      <c r="F24" s="29">
        <f t="shared" si="4"/>
        <v>1563.1989002705643</v>
      </c>
      <c r="G24" s="31">
        <f>'1.) Preliminary Sizing I'!$C$61</f>
        <v>0.23064223875828477</v>
      </c>
      <c r="H24" s="31">
        <f>'1.) Preliminary Sizing I'!$C$78</f>
        <v>0.19172786937678182</v>
      </c>
      <c r="I24" s="34">
        <f>F24*'1.) Preliminary Sizing I'!$C$43</f>
        <v>0.57696809803293458</v>
      </c>
      <c r="J24" s="34">
        <f t="shared" si="5"/>
        <v>0.13505949114317609</v>
      </c>
      <c r="K24" s="32"/>
    </row>
    <row r="25" spans="1:11">
      <c r="A25" s="40">
        <v>3</v>
      </c>
      <c r="B25" s="27">
        <f t="shared" si="0"/>
        <v>9843</v>
      </c>
      <c r="C25" s="14">
        <f t="shared" si="1"/>
        <v>0.39485000000000003</v>
      </c>
      <c r="D25" s="14">
        <f t="shared" si="2"/>
        <v>0.14441463127934392</v>
      </c>
      <c r="E25" s="6">
        <f t="shared" si="3"/>
        <v>70105.203827362144</v>
      </c>
      <c r="F25" s="29">
        <f t="shared" si="4"/>
        <v>1378.59597792502</v>
      </c>
      <c r="G25" s="31">
        <f>'1.) Preliminary Sizing I'!$C$61</f>
        <v>0.23064223875828477</v>
      </c>
      <c r="H25" s="31">
        <f>'1.) Preliminary Sizing I'!$C$78</f>
        <v>0.19172786937678182</v>
      </c>
      <c r="I25" s="34">
        <f>F25*'1.) Preliminary Sizing I'!$C$43</f>
        <v>0.50883217689161653</v>
      </c>
      <c r="J25" s="34">
        <f t="shared" si="5"/>
        <v>0.14441463127934392</v>
      </c>
      <c r="K25" s="32"/>
    </row>
    <row r="26" spans="1:11">
      <c r="A26" s="40">
        <v>4</v>
      </c>
      <c r="B26" s="27">
        <f t="shared" si="0"/>
        <v>13124</v>
      </c>
      <c r="C26" s="14">
        <f t="shared" si="1"/>
        <v>0.36750000000000005</v>
      </c>
      <c r="D26" s="14">
        <f t="shared" si="2"/>
        <v>0.1551622235663917</v>
      </c>
      <c r="E26" s="6">
        <f t="shared" si="3"/>
        <v>61636.230837376737</v>
      </c>
      <c r="F26" s="29">
        <f t="shared" si="4"/>
        <v>1212.0563850882236</v>
      </c>
      <c r="G26" s="31">
        <f>'1.) Preliminary Sizing I'!$C$61</f>
        <v>0.23064223875828477</v>
      </c>
      <c r="H26" s="31">
        <f>'1.) Preliminary Sizing I'!$C$78</f>
        <v>0.19172786937678182</v>
      </c>
      <c r="I26" s="34">
        <f>F26*'1.) Preliminary Sizing I'!$C$43</f>
        <v>0.44736333111031867</v>
      </c>
      <c r="J26" s="34">
        <f t="shared" si="5"/>
        <v>0.1551622235663917</v>
      </c>
      <c r="K26" s="32"/>
    </row>
    <row r="27" spans="1:11">
      <c r="A27" s="40">
        <v>5</v>
      </c>
      <c r="B27" s="27">
        <f t="shared" si="0"/>
        <v>16405</v>
      </c>
      <c r="C27" s="14">
        <f t="shared" si="1"/>
        <v>0.34015000000000006</v>
      </c>
      <c r="D27" s="14">
        <f t="shared" si="2"/>
        <v>0.16763815128810508</v>
      </c>
      <c r="E27" s="6">
        <f t="shared" si="3"/>
        <v>54015.424139401664</v>
      </c>
      <c r="F27" s="29">
        <f t="shared" si="4"/>
        <v>1062.1957058689732</v>
      </c>
      <c r="G27" s="31">
        <f>'1.) Preliminary Sizing I'!$C$61</f>
        <v>0.23064223875828477</v>
      </c>
      <c r="H27" s="31">
        <f>'1.) Preliminary Sizing I'!$C$78</f>
        <v>0.19172786937678182</v>
      </c>
      <c r="I27" s="34">
        <f>F27*'1.) Preliminary Sizing I'!$C$43</f>
        <v>0.39205058041423707</v>
      </c>
      <c r="J27" s="34">
        <f t="shared" si="5"/>
        <v>0.16763815128810508</v>
      </c>
      <c r="K27" s="32"/>
    </row>
    <row r="28" spans="1:11">
      <c r="A28" s="40">
        <v>6</v>
      </c>
      <c r="B28" s="27">
        <f t="shared" si="0"/>
        <v>19686</v>
      </c>
      <c r="C28" s="14">
        <f t="shared" si="1"/>
        <v>0.31280000000000002</v>
      </c>
      <c r="D28" s="14">
        <f t="shared" si="2"/>
        <v>0.18229577097394167</v>
      </c>
      <c r="E28" s="6">
        <f t="shared" si="3"/>
        <v>47176.212405223559</v>
      </c>
      <c r="F28" s="29">
        <f t="shared" si="4"/>
        <v>927.70483680119673</v>
      </c>
      <c r="G28" s="31">
        <f>'1.) Preliminary Sizing I'!$C$61</f>
        <v>0.23064223875828477</v>
      </c>
      <c r="H28" s="31">
        <f>'1.) Preliminary Sizing I'!$C$78</f>
        <v>0.19172786937678182</v>
      </c>
      <c r="I28" s="34">
        <f>F28*'1.) Preliminary Sizing I'!$C$43</f>
        <v>0.34241074192957549</v>
      </c>
      <c r="J28" s="34">
        <f t="shared" si="5"/>
        <v>0.18229577097394167</v>
      </c>
      <c r="K28" s="32"/>
    </row>
    <row r="29" spans="1:11">
      <c r="A29" s="40">
        <v>7</v>
      </c>
      <c r="B29" s="27">
        <f t="shared" si="0"/>
        <v>22967</v>
      </c>
      <c r="C29" s="14">
        <f t="shared" si="1"/>
        <v>0.28544999999999998</v>
      </c>
      <c r="D29" s="14">
        <f t="shared" si="2"/>
        <v>0.19976219008810284</v>
      </c>
      <c r="E29" s="6">
        <f t="shared" si="3"/>
        <v>41055.73524341148</v>
      </c>
      <c r="F29" s="29">
        <f t="shared" si="4"/>
        <v>807.34764878082842</v>
      </c>
      <c r="G29" s="31">
        <f>'1.) Preliminary Sizing I'!$C$61</f>
        <v>0.23064223875828477</v>
      </c>
      <c r="H29" s="31">
        <f>'1.) Preliminary Sizing I'!$C$78</f>
        <v>0.19172786937678182</v>
      </c>
      <c r="I29" s="34">
        <f>F29*'1.) Preliminary Sizing I'!$C$43</f>
        <v>0.29798756721733327</v>
      </c>
      <c r="J29" s="34">
        <f t="shared" si="5"/>
        <v>0.19976219008810284</v>
      </c>
      <c r="K29" s="32"/>
    </row>
    <row r="30" spans="1:11">
      <c r="A30" s="40">
        <v>8</v>
      </c>
      <c r="B30" s="27">
        <f t="shared" si="0"/>
        <v>26248</v>
      </c>
      <c r="C30" s="14">
        <f t="shared" si="1"/>
        <v>0.2581</v>
      </c>
      <c r="D30" s="14">
        <f t="shared" si="2"/>
        <v>0.22093032607767901</v>
      </c>
      <c r="E30" s="6">
        <f t="shared" si="3"/>
        <v>35594.725074361399</v>
      </c>
      <c r="F30" s="29">
        <f t="shared" si="4"/>
        <v>699.95866417706804</v>
      </c>
      <c r="G30" s="31">
        <f>'1.) Preliminary Sizing I'!$C$61</f>
        <v>0.23064223875828477</v>
      </c>
      <c r="H30" s="31">
        <f>'1.) Preliminary Sizing I'!$C$78</f>
        <v>0.19172786937678182</v>
      </c>
      <c r="I30" s="34">
        <f>F30*'1.) Preliminary Sizing I'!$C$43</f>
        <v>0.2583508849078745</v>
      </c>
      <c r="J30" s="34">
        <f t="shared" si="5"/>
        <v>0.22093032607767901</v>
      </c>
      <c r="K30" s="32"/>
    </row>
    <row r="31" spans="1:11">
      <c r="A31" s="40">
        <v>9</v>
      </c>
      <c r="B31" s="27">
        <f t="shared" si="0"/>
        <v>29529</v>
      </c>
      <c r="C31" s="14">
        <f t="shared" si="1"/>
        <v>0.23075000000000001</v>
      </c>
      <c r="D31" s="14">
        <f t="shared" si="2"/>
        <v>0.24711643406565093</v>
      </c>
      <c r="E31" s="6">
        <f t="shared" si="3"/>
        <v>30737.389791936654</v>
      </c>
      <c r="F31" s="29">
        <f t="shared" si="4"/>
        <v>604.44074941179531</v>
      </c>
      <c r="G31" s="31">
        <f>'1.) Preliminary Sizing I'!$C$61</f>
        <v>0.23064223875828477</v>
      </c>
      <c r="H31" s="31">
        <f>'1.) Preliminary Sizing I'!$C$78</f>
        <v>0.19172786937678182</v>
      </c>
      <c r="I31" s="34">
        <f>F31*'1.) Preliminary Sizing I'!$C$43</f>
        <v>0.22309574904470789</v>
      </c>
      <c r="J31" s="34">
        <f t="shared" si="5"/>
        <v>0.24711643406565093</v>
      </c>
      <c r="K31" s="32"/>
    </row>
    <row r="32" spans="1:11">
      <c r="A32" s="40">
        <v>10</v>
      </c>
      <c r="B32" s="27">
        <f t="shared" si="0"/>
        <v>32810</v>
      </c>
      <c r="C32" s="14">
        <f t="shared" si="1"/>
        <v>0.20340000000000003</v>
      </c>
      <c r="D32" s="14">
        <f t="shared" si="2"/>
        <v>0.28034472547025047</v>
      </c>
      <c r="E32" s="6">
        <f t="shared" si="3"/>
        <v>26431.296227339873</v>
      </c>
      <c r="F32" s="29">
        <f t="shared" si="4"/>
        <v>519.76282331460368</v>
      </c>
      <c r="G32" s="31">
        <f>'1.) Preliminary Sizing I'!$C$61</f>
        <v>0.23064223875828477</v>
      </c>
      <c r="H32" s="31">
        <f>'1.) Preliminary Sizing I'!$C$78</f>
        <v>0.19172786937678182</v>
      </c>
      <c r="I32" s="34">
        <f>F32*'1.) Preliminary Sizing I'!$C$43</f>
        <v>0.19184159325096098</v>
      </c>
      <c r="J32" s="34">
        <f t="shared" si="5"/>
        <v>0.28034472547025047</v>
      </c>
      <c r="K32" s="32"/>
    </row>
    <row r="33" spans="1:11">
      <c r="A33" s="105">
        <v>11</v>
      </c>
      <c r="B33" s="28">
        <f t="shared" si="0"/>
        <v>36091</v>
      </c>
      <c r="C33" s="106">
        <f t="shared" si="1"/>
        <v>0.17605000000000004</v>
      </c>
      <c r="D33" s="106">
        <f t="shared" si="2"/>
        <v>0.32389728577477384</v>
      </c>
      <c r="E33" s="7">
        <f t="shared" si="3"/>
        <v>22627.254431599747</v>
      </c>
      <c r="F33" s="107">
        <f t="shared" si="4"/>
        <v>444.95758157562767</v>
      </c>
      <c r="G33" s="31">
        <f>'1.) Preliminary Sizing I'!$C$61</f>
        <v>0.23064223875828477</v>
      </c>
      <c r="H33" s="31">
        <f>'1.) Preliminary Sizing I'!$C$78</f>
        <v>0.19172786937678182</v>
      </c>
      <c r="I33" s="34">
        <f>F33*'1.) Preliminary Sizing I'!$C$43</f>
        <v>0.16423139083746097</v>
      </c>
      <c r="J33" s="34">
        <f t="shared" si="5"/>
        <v>0.32389728577477384</v>
      </c>
      <c r="K33" s="32"/>
    </row>
    <row r="34" spans="1:11">
      <c r="A34" s="40">
        <v>12</v>
      </c>
      <c r="B34" s="27">
        <f t="shared" si="0"/>
        <v>39372</v>
      </c>
      <c r="C34" s="14">
        <f t="shared" si="1"/>
        <v>0.14870000000000005</v>
      </c>
      <c r="D34" s="14">
        <f t="shared" si="2"/>
        <v>0.3834708618739</v>
      </c>
      <c r="E34" s="6">
        <f>p0*0.2232*POWER(e,-0.1577*(A34-11))</f>
        <v>19316.238670822768</v>
      </c>
      <c r="F34" s="29">
        <f t="shared" si="4"/>
        <v>379.84753608037522</v>
      </c>
      <c r="G34" s="31">
        <f>'1.) Preliminary Sizing I'!$C$61</f>
        <v>0.23064223875828477</v>
      </c>
      <c r="H34" s="31">
        <f>'1.) Preliminary Sizing I'!$C$78</f>
        <v>0.19172786937678182</v>
      </c>
      <c r="I34" s="34">
        <f>F34*'1.) Preliminary Sizing I'!$C$43</f>
        <v>0.1401996319194298</v>
      </c>
      <c r="J34" s="34">
        <f t="shared" si="5"/>
        <v>0.3834708618739</v>
      </c>
      <c r="K34" s="32"/>
    </row>
    <row r="35" spans="1:11">
      <c r="A35" s="40">
        <v>13</v>
      </c>
      <c r="B35" s="27">
        <f t="shared" si="0"/>
        <v>42653</v>
      </c>
      <c r="C35" s="14">
        <f t="shared" si="1"/>
        <v>0.12135000000000007</v>
      </c>
      <c r="D35" s="14">
        <f t="shared" si="2"/>
        <v>0.46989795764852843</v>
      </c>
      <c r="E35" s="11">
        <f>p0*0.2232*POWER(e,-0.1577*(A35-11))</f>
        <v>16498.114869917543</v>
      </c>
      <c r="F35" s="29">
        <f t="shared" si="4"/>
        <v>324.43005028588459</v>
      </c>
      <c r="G35" s="31">
        <f>'1.) Preliminary Sizing I'!$C$61</f>
        <v>0.23064223875828477</v>
      </c>
      <c r="H35" s="31">
        <f>'1.) Preliminary Sizing I'!$C$78</f>
        <v>0.19172786937678182</v>
      </c>
      <c r="I35" s="34">
        <f>F35*'1.) Preliminary Sizing I'!$C$43</f>
        <v>0.11974534336339242</v>
      </c>
      <c r="J35" s="34">
        <f t="shared" si="5"/>
        <v>0.46989795764852843</v>
      </c>
      <c r="K35" s="32"/>
    </row>
    <row r="36" spans="1:11">
      <c r="A36" s="40">
        <v>14</v>
      </c>
      <c r="B36" s="27">
        <f t="shared" si="0"/>
        <v>45934</v>
      </c>
      <c r="C36" s="14">
        <f>(0.0013*BPR-0.0397)*A36-0.0248*BPR+0.7125</f>
        <v>9.3999999999999972E-2</v>
      </c>
      <c r="D36" s="14">
        <f t="shared" si="2"/>
        <v>0.60661826766647842</v>
      </c>
      <c r="E36" s="11">
        <f>p0*0.2232*POWER(e,-0.1577*(A36-11))</f>
        <v>14091.138492305688</v>
      </c>
      <c r="F36" s="29">
        <f t="shared" si="4"/>
        <v>277.09764453027759</v>
      </c>
      <c r="G36" s="31">
        <f>'1.) Preliminary Sizing I'!$C$61</f>
        <v>0.23064223875828477</v>
      </c>
      <c r="H36" s="31">
        <f>'1.) Preliminary Sizing I'!$C$78</f>
        <v>0.19172786937678182</v>
      </c>
      <c r="I36" s="34">
        <f>F36*'1.) Preliminary Sizing I'!$C$43</f>
        <v>0.1022752132862737</v>
      </c>
      <c r="J36" s="34">
        <f>D36</f>
        <v>0.60661826766647842</v>
      </c>
      <c r="K36" s="32"/>
    </row>
    <row r="37" spans="1:11">
      <c r="A37" s="40">
        <v>15</v>
      </c>
      <c r="B37" s="27">
        <f t="shared" si="0"/>
        <v>49215</v>
      </c>
      <c r="C37" s="14">
        <f>(0.0013*BPR-0.0397)*A37-0.0248*BPR+0.7125</f>
        <v>6.6649999999999987E-2</v>
      </c>
      <c r="D37" s="14">
        <f t="shared" si="2"/>
        <v>0.85554564382068965</v>
      </c>
      <c r="E37" s="11">
        <f>p0*0.2232*POWER(e,-0.1577*(A37-11))</f>
        <v>12035.325585675922</v>
      </c>
      <c r="F37" s="29">
        <f t="shared" si="4"/>
        <v>236.6707539470143</v>
      </c>
      <c r="G37" s="31">
        <f>'1.) Preliminary Sizing I'!$C$61</f>
        <v>0.23064223875828477</v>
      </c>
      <c r="H37" s="31">
        <f>'1.) Preliminary Sizing I'!$C$78</f>
        <v>0.19172786937678182</v>
      </c>
      <c r="I37" s="34">
        <f>F37*'1.) Preliminary Sizing I'!$C$43</f>
        <v>8.735387079737239E-2</v>
      </c>
      <c r="J37" s="34">
        <f>D37</f>
        <v>0.85554564382068965</v>
      </c>
      <c r="K37" s="32"/>
    </row>
    <row r="38" spans="1:11">
      <c r="A38" s="40"/>
      <c r="B38" s="27"/>
      <c r="C38" s="10"/>
      <c r="D38" s="10"/>
      <c r="E38" s="11"/>
      <c r="F38" s="29">
        <f>'1.) Preliminary Sizing I'!C34</f>
        <v>630.58692600848838</v>
      </c>
      <c r="G38" s="32"/>
      <c r="H38" s="32"/>
      <c r="I38" s="34"/>
      <c r="J38" s="34"/>
      <c r="K38" s="32">
        <v>0</v>
      </c>
    </row>
    <row r="39" spans="1:11">
      <c r="A39" s="40"/>
      <c r="B39" s="27"/>
      <c r="C39" s="10"/>
      <c r="D39" s="10"/>
      <c r="E39" s="11"/>
      <c r="F39" s="29">
        <f>F38+0.1</f>
        <v>630.6869260084884</v>
      </c>
      <c r="G39" s="32"/>
      <c r="H39" s="32"/>
      <c r="I39" s="34"/>
      <c r="J39" s="34"/>
      <c r="K39" s="32">
        <v>0.5</v>
      </c>
    </row>
    <row r="40" spans="1:11" ht="15.75">
      <c r="A40" s="62" t="s">
        <v>210</v>
      </c>
      <c r="B40" s="66" t="s">
        <v>48</v>
      </c>
      <c r="C40" s="63" t="s">
        <v>128</v>
      </c>
      <c r="D40" s="64" t="s">
        <v>21</v>
      </c>
      <c r="E40" s="63" t="s">
        <v>22</v>
      </c>
      <c r="F40" s="66" t="s">
        <v>23</v>
      </c>
      <c r="G40" s="50" t="s">
        <v>211</v>
      </c>
      <c r="H40" s="50" t="s">
        <v>211</v>
      </c>
      <c r="I40" s="50" t="s">
        <v>211</v>
      </c>
      <c r="J40" s="67" t="s">
        <v>212</v>
      </c>
      <c r="K40" s="50" t="s">
        <v>211</v>
      </c>
    </row>
    <row r="41" spans="1:11">
      <c r="A41" s="39"/>
      <c r="B41" s="26"/>
      <c r="C41" s="3" t="s">
        <v>129</v>
      </c>
      <c r="D41" s="65"/>
      <c r="E41" s="3"/>
      <c r="F41" s="26"/>
      <c r="G41" s="33"/>
      <c r="H41" s="33"/>
      <c r="I41" s="33"/>
      <c r="J41" s="68" t="s">
        <v>213</v>
      </c>
      <c r="K41" s="33"/>
    </row>
    <row r="43" spans="1:11" ht="15.75">
      <c r="A43" t="s">
        <v>214</v>
      </c>
      <c r="B43" t="s">
        <v>68</v>
      </c>
      <c r="C43" s="42">
        <f>'1.) Preliminary Sizing I'!C34</f>
        <v>630.58692600848838</v>
      </c>
      <c r="D43" s="25" t="s">
        <v>8</v>
      </c>
      <c r="E43" s="12" t="s">
        <v>282</v>
      </c>
    </row>
    <row r="44" spans="1:11" ht="15.75">
      <c r="A44" t="s">
        <v>161</v>
      </c>
      <c r="B44" t="s">
        <v>72</v>
      </c>
      <c r="C44" s="56">
        <f>'1.) Preliminary Sizing I'!C44</f>
        <v>0.23274615871376289</v>
      </c>
      <c r="E44" s="12" t="s">
        <v>283</v>
      </c>
    </row>
    <row r="45" spans="1:11" ht="15.75">
      <c r="A45" t="s">
        <v>215</v>
      </c>
      <c r="B45" t="s">
        <v>67</v>
      </c>
      <c r="C45" s="19">
        <f>1/(C44*L_D)</f>
        <v>0.24499702798866035</v>
      </c>
      <c r="E45" s="12"/>
    </row>
    <row r="46" spans="1:11">
      <c r="A46" t="s">
        <v>146</v>
      </c>
      <c r="B46" t="s">
        <v>134</v>
      </c>
      <c r="C46" s="19">
        <v>0.30480000000000002</v>
      </c>
      <c r="D46" t="s">
        <v>135</v>
      </c>
      <c r="E46" s="12"/>
    </row>
    <row r="47" spans="1:11" ht="15.75">
      <c r="A47" t="s">
        <v>216</v>
      </c>
      <c r="B47" t="s">
        <v>66</v>
      </c>
      <c r="C47" s="57">
        <f>(C45-0.7125+0.0248*BPR)/(0.0013*BPR-0.0397)*1000</f>
        <v>8479.0848998661677</v>
      </c>
      <c r="D47" s="58" t="s">
        <v>3</v>
      </c>
      <c r="E47" s="12"/>
    </row>
    <row r="48" spans="1:11" ht="15.75">
      <c r="A48" t="s">
        <v>216</v>
      </c>
      <c r="B48" t="s">
        <v>66</v>
      </c>
      <c r="C48" s="57">
        <f>C47/C46</f>
        <v>27818.520012684276</v>
      </c>
      <c r="D48" s="58" t="s">
        <v>136</v>
      </c>
      <c r="E48" s="12"/>
    </row>
    <row r="49" spans="1:7" ht="15.75">
      <c r="A49" t="s">
        <v>284</v>
      </c>
      <c r="B49" t="s">
        <v>64</v>
      </c>
      <c r="C49" s="69">
        <f>288.15-0.0065*C47</f>
        <v>233.0359481508699</v>
      </c>
      <c r="D49" t="s">
        <v>24</v>
      </c>
      <c r="E49" s="17" t="s">
        <v>63</v>
      </c>
      <c r="F49">
        <v>216.65</v>
      </c>
      <c r="G49" t="s">
        <v>24</v>
      </c>
    </row>
    <row r="50" spans="1:7" ht="15.75">
      <c r="A50" t="s">
        <v>217</v>
      </c>
      <c r="B50" t="s">
        <v>69</v>
      </c>
      <c r="C50" s="69">
        <f>IF(C49&lt;F49,F49,C49)</f>
        <v>233.0359481508699</v>
      </c>
      <c r="E50" s="12"/>
    </row>
    <row r="51" spans="1:7" ht="15.75">
      <c r="A51" t="s">
        <v>218</v>
      </c>
      <c r="B51" t="s">
        <v>2</v>
      </c>
      <c r="C51" s="20">
        <f>20.05*SQRT(C50)</f>
        <v>306.07357570773746</v>
      </c>
      <c r="D51" t="s">
        <v>4</v>
      </c>
      <c r="E51" s="12"/>
    </row>
    <row r="52" spans="1:7" ht="15.75">
      <c r="A52" t="s">
        <v>273</v>
      </c>
      <c r="B52" t="s">
        <v>65</v>
      </c>
      <c r="C52" s="57">
        <f>a*M</f>
        <v>260.16253935157681</v>
      </c>
      <c r="D52" s="58" t="s">
        <v>4</v>
      </c>
      <c r="E52" s="12"/>
    </row>
    <row r="53" spans="1:7">
      <c r="C53" s="20"/>
      <c r="E53" s="12"/>
    </row>
    <row r="54" spans="1:7">
      <c r="A54" t="s">
        <v>146</v>
      </c>
      <c r="B54" s="20" t="s">
        <v>126</v>
      </c>
      <c r="C54">
        <v>1852</v>
      </c>
      <c r="D54" t="s">
        <v>127</v>
      </c>
      <c r="E54" s="12"/>
    </row>
    <row r="55" spans="1:7">
      <c r="A55" t="s">
        <v>219</v>
      </c>
      <c r="B55" t="s">
        <v>25</v>
      </c>
      <c r="C55" s="42">
        <v>8500</v>
      </c>
      <c r="D55" s="25" t="s">
        <v>125</v>
      </c>
      <c r="E55" s="12"/>
    </row>
    <row r="56" spans="1:7">
      <c r="A56" t="s">
        <v>219</v>
      </c>
      <c r="B56" t="s">
        <v>25</v>
      </c>
      <c r="C56" s="24">
        <f>C55*C54</f>
        <v>15742000</v>
      </c>
      <c r="D56" t="s">
        <v>3</v>
      </c>
    </row>
    <row r="57" spans="1:7" ht="15.75">
      <c r="A57" t="s">
        <v>220</v>
      </c>
      <c r="B57" t="s">
        <v>70</v>
      </c>
      <c r="C57" s="73">
        <v>200</v>
      </c>
      <c r="D57" t="s">
        <v>125</v>
      </c>
    </row>
    <row r="58" spans="1:7" ht="15.75">
      <c r="A58" t="s">
        <v>220</v>
      </c>
      <c r="B58" t="s">
        <v>70</v>
      </c>
      <c r="C58" s="24">
        <f>C57*C54</f>
        <v>370400</v>
      </c>
      <c r="D58" t="s">
        <v>3</v>
      </c>
      <c r="E58" s="16" t="s">
        <v>285</v>
      </c>
    </row>
    <row r="59" spans="1:7" ht="15.75">
      <c r="A59" s="16" t="s">
        <v>221</v>
      </c>
      <c r="B59" t="s">
        <v>28</v>
      </c>
      <c r="C59" s="55" t="s">
        <v>292</v>
      </c>
      <c r="E59" s="90" t="s">
        <v>27</v>
      </c>
      <c r="F59" s="110" t="s">
        <v>71</v>
      </c>
      <c r="G59" s="111"/>
    </row>
    <row r="60" spans="1:7">
      <c r="B60" t="s">
        <v>96</v>
      </c>
      <c r="C60" s="71" t="str">
        <f>IF(C59="yes","no","yes")</f>
        <v>no</v>
      </c>
      <c r="E60" s="40" t="s">
        <v>28</v>
      </c>
      <c r="F60" s="118">
        <f>C58</f>
        <v>370400</v>
      </c>
      <c r="G60" s="119" t="s">
        <v>3</v>
      </c>
    </row>
    <row r="61" spans="1:7">
      <c r="A61" s="22" t="s">
        <v>222</v>
      </c>
      <c r="C61" s="117">
        <v>0.05</v>
      </c>
      <c r="E61" s="105" t="s">
        <v>96</v>
      </c>
      <c r="F61" s="1">
        <f>C56*C61+C58</f>
        <v>1157500</v>
      </c>
      <c r="G61" s="28" t="s">
        <v>3</v>
      </c>
    </row>
    <row r="63" spans="1:7" ht="15.75">
      <c r="A63" t="s">
        <v>226</v>
      </c>
      <c r="B63" t="s">
        <v>71</v>
      </c>
      <c r="C63" s="116">
        <f>IF(C59="yes",F60,F61)</f>
        <v>370400</v>
      </c>
      <c r="D63" t="s">
        <v>3</v>
      </c>
      <c r="E63" s="12"/>
    </row>
    <row r="64" spans="1:7" ht="15.75">
      <c r="A64" t="s">
        <v>223</v>
      </c>
      <c r="B64" t="s">
        <v>88</v>
      </c>
      <c r="C64" s="41">
        <v>1.4E-5</v>
      </c>
      <c r="D64" s="25" t="s">
        <v>26</v>
      </c>
      <c r="E64" t="s">
        <v>224</v>
      </c>
      <c r="F64" s="109">
        <v>1.5999999999999999E-5</v>
      </c>
      <c r="G64" t="s">
        <v>26</v>
      </c>
    </row>
    <row r="65" spans="1:7">
      <c r="C65" s="41"/>
      <c r="E65" s="16" t="s">
        <v>225</v>
      </c>
      <c r="F65" s="109"/>
    </row>
    <row r="66" spans="1:7" ht="15.75">
      <c r="A66" t="s">
        <v>227</v>
      </c>
      <c r="B66" t="s">
        <v>89</v>
      </c>
      <c r="C66" s="6">
        <f>L_D*V_CR/C64/g</f>
        <v>33220363.618480191</v>
      </c>
      <c r="D66" t="s">
        <v>3</v>
      </c>
      <c r="E66" s="90" t="s">
        <v>27</v>
      </c>
      <c r="F66" s="110" t="s">
        <v>92</v>
      </c>
      <c r="G66" s="111"/>
    </row>
    <row r="67" spans="1:7" ht="15.75">
      <c r="A67" t="s">
        <v>228</v>
      </c>
      <c r="B67" t="s">
        <v>90</v>
      </c>
      <c r="C67" s="14">
        <f>POWER(e,-C56/C66)</f>
        <v>0.62259068964704101</v>
      </c>
      <c r="E67" s="40" t="s">
        <v>28</v>
      </c>
      <c r="F67" s="9">
        <v>2700</v>
      </c>
      <c r="G67" s="27" t="s">
        <v>29</v>
      </c>
    </row>
    <row r="68" spans="1:7" ht="15.75">
      <c r="A68" t="s">
        <v>229</v>
      </c>
      <c r="B68" t="s">
        <v>91</v>
      </c>
      <c r="C68" s="14">
        <f>POWER(e,-C63/C66)</f>
        <v>0.98891214085657031</v>
      </c>
      <c r="E68" s="105" t="s">
        <v>96</v>
      </c>
      <c r="F68" s="1">
        <v>1800</v>
      </c>
      <c r="G68" s="28" t="s">
        <v>29</v>
      </c>
    </row>
    <row r="69" spans="1:7">
      <c r="C69" s="14"/>
    </row>
    <row r="70" spans="1:7" ht="15.75">
      <c r="A70" t="s">
        <v>230</v>
      </c>
      <c r="B70" t="s">
        <v>92</v>
      </c>
      <c r="C70" s="116">
        <f>IF(C59="yes",F67,F68)</f>
        <v>2700</v>
      </c>
      <c r="D70" t="s">
        <v>29</v>
      </c>
      <c r="E70" s="12"/>
    </row>
    <row r="71" spans="1:7" ht="15.75">
      <c r="A71" t="s">
        <v>231</v>
      </c>
      <c r="B71" t="s">
        <v>93</v>
      </c>
      <c r="C71" s="41">
        <f>C64</f>
        <v>1.4E-5</v>
      </c>
      <c r="D71" s="25" t="s">
        <v>26</v>
      </c>
    </row>
    <row r="72" spans="1:7" ht="15.75">
      <c r="A72" t="s">
        <v>232</v>
      </c>
      <c r="B72" t="s">
        <v>94</v>
      </c>
      <c r="C72" s="6">
        <f>C66/C52</f>
        <v>127690.80322354582</v>
      </c>
      <c r="D72" t="s">
        <v>29</v>
      </c>
    </row>
    <row r="73" spans="1:7" ht="15.75">
      <c r="A73" t="s">
        <v>233</v>
      </c>
      <c r="B73" t="s">
        <v>95</v>
      </c>
      <c r="C73" s="14">
        <f>POWER(e,-C70/C72)</f>
        <v>0.97907715706353149</v>
      </c>
    </row>
    <row r="74" spans="1:7" ht="15.75">
      <c r="E74" s="49" t="s">
        <v>30</v>
      </c>
      <c r="F74" s="43" t="s">
        <v>270</v>
      </c>
      <c r="G74" s="44"/>
    </row>
    <row r="75" spans="1:7">
      <c r="C75" s="16"/>
      <c r="E75" s="49"/>
      <c r="F75" s="51" t="s">
        <v>31</v>
      </c>
      <c r="G75" s="45" t="s">
        <v>32</v>
      </c>
    </row>
    <row r="76" spans="1:7" ht="15.75">
      <c r="A76" t="s">
        <v>234</v>
      </c>
      <c r="B76" t="s">
        <v>98</v>
      </c>
      <c r="C76" s="54">
        <v>0.99</v>
      </c>
      <c r="D76" s="16" t="s">
        <v>286</v>
      </c>
      <c r="E76" s="50" t="s">
        <v>33</v>
      </c>
      <c r="F76" s="52">
        <v>0.99</v>
      </c>
      <c r="G76" s="46">
        <v>0.99</v>
      </c>
    </row>
    <row r="77" spans="1:7" ht="15.75">
      <c r="A77" t="s">
        <v>235</v>
      </c>
      <c r="B77" t="s">
        <v>97</v>
      </c>
      <c r="C77" s="54">
        <v>0.99</v>
      </c>
      <c r="D77" s="16" t="s">
        <v>287</v>
      </c>
      <c r="E77" s="32" t="s">
        <v>34</v>
      </c>
      <c r="F77" s="31">
        <v>0.99</v>
      </c>
      <c r="G77" s="115">
        <v>0.995</v>
      </c>
    </row>
    <row r="78" spans="1:7" ht="15.75">
      <c r="A78" t="s">
        <v>236</v>
      </c>
      <c r="B78" t="s">
        <v>99</v>
      </c>
      <c r="C78" s="54">
        <v>0.995</v>
      </c>
      <c r="D78" s="16" t="s">
        <v>288</v>
      </c>
      <c r="E78" s="32" t="s">
        <v>35</v>
      </c>
      <c r="F78" s="31">
        <v>0.995</v>
      </c>
      <c r="G78" s="47">
        <v>0.995</v>
      </c>
    </row>
    <row r="79" spans="1:7" ht="15.75">
      <c r="A79" t="s">
        <v>237</v>
      </c>
      <c r="B79" t="s">
        <v>100</v>
      </c>
      <c r="C79" s="54">
        <v>0.98</v>
      </c>
      <c r="D79" s="16" t="s">
        <v>289</v>
      </c>
      <c r="E79" s="32" t="s">
        <v>36</v>
      </c>
      <c r="F79" s="31">
        <v>0.98</v>
      </c>
      <c r="G79" s="47">
        <v>0.98</v>
      </c>
    </row>
    <row r="80" spans="1:7" ht="15.75">
      <c r="A80" t="s">
        <v>238</v>
      </c>
      <c r="B80" t="s">
        <v>101</v>
      </c>
      <c r="C80" s="54">
        <v>0.99</v>
      </c>
      <c r="D80" s="16" t="s">
        <v>290</v>
      </c>
      <c r="E80" s="32" t="s">
        <v>37</v>
      </c>
      <c r="F80" s="31">
        <v>0.99</v>
      </c>
      <c r="G80" s="47">
        <v>0.99</v>
      </c>
    </row>
    <row r="81" spans="1:8" ht="15.75">
      <c r="A81" t="s">
        <v>239</v>
      </c>
      <c r="B81" t="s">
        <v>102</v>
      </c>
      <c r="C81" s="54">
        <v>0.99199999999999999</v>
      </c>
      <c r="D81" s="16" t="s">
        <v>291</v>
      </c>
      <c r="E81" s="33" t="s">
        <v>38</v>
      </c>
      <c r="F81" s="53">
        <v>0.99199999999999999</v>
      </c>
      <c r="G81" s="48">
        <v>0.99199999999999999</v>
      </c>
    </row>
    <row r="82" spans="1:8">
      <c r="E82" s="9"/>
      <c r="F82" s="9"/>
    </row>
    <row r="83" spans="1:8" ht="15.75">
      <c r="A83" t="s">
        <v>240</v>
      </c>
      <c r="B83" t="s">
        <v>103</v>
      </c>
      <c r="C83" s="14">
        <f>C78*C79*C67*C80*C81</f>
        <v>0.59620916126280066</v>
      </c>
      <c r="E83" s="9"/>
      <c r="F83" s="9"/>
    </row>
    <row r="84" spans="1:8" ht="15.75">
      <c r="A84" t="s">
        <v>241</v>
      </c>
      <c r="B84" t="s">
        <v>104</v>
      </c>
      <c r="C84" s="14">
        <f>C79*C68*C73*C80</f>
        <v>0.93936829308928871</v>
      </c>
      <c r="E84" s="9"/>
      <c r="F84" s="9"/>
    </row>
    <row r="85" spans="1:8" ht="15.75">
      <c r="A85" t="s">
        <v>242</v>
      </c>
      <c r="B85" t="s">
        <v>105</v>
      </c>
      <c r="C85" s="14">
        <f>C83*C84</f>
        <v>0.56005998213963348</v>
      </c>
      <c r="E85" s="9"/>
      <c r="F85" s="9"/>
    </row>
    <row r="86" spans="1:8" ht="15.75">
      <c r="A86" t="s">
        <v>255</v>
      </c>
      <c r="B86" t="s">
        <v>106</v>
      </c>
      <c r="C86" s="14">
        <f>1-C85</f>
        <v>0.43994001786036652</v>
      </c>
      <c r="E86" s="9"/>
      <c r="F86" s="9"/>
    </row>
    <row r="87" spans="1:8">
      <c r="C87" s="14"/>
      <c r="E87" s="9"/>
      <c r="F87" s="9"/>
    </row>
    <row r="88" spans="1:8" ht="15.75">
      <c r="A88" t="s">
        <v>243</v>
      </c>
      <c r="B88" t="s">
        <v>107</v>
      </c>
      <c r="C88" s="14">
        <f>0.23+1.04*C44</f>
        <v>0.47205600506231343</v>
      </c>
      <c r="E88" s="9" t="s">
        <v>244</v>
      </c>
      <c r="F88" s="9"/>
    </row>
    <row r="89" spans="1:8" ht="15.75">
      <c r="A89" t="s">
        <v>243</v>
      </c>
      <c r="B89" t="s">
        <v>107</v>
      </c>
      <c r="C89" s="55" t="s">
        <v>47</v>
      </c>
      <c r="E89" s="9" t="s">
        <v>245</v>
      </c>
      <c r="F89" s="9"/>
    </row>
    <row r="90" spans="1:8" ht="15.75">
      <c r="A90" t="s">
        <v>243</v>
      </c>
      <c r="B90" t="s">
        <v>107</v>
      </c>
      <c r="C90" s="56">
        <f>C88</f>
        <v>0.47205600506231343</v>
      </c>
      <c r="E90" s="12" t="s">
        <v>178</v>
      </c>
      <c r="F90" s="9"/>
    </row>
    <row r="91" spans="1:8">
      <c r="C91" s="56"/>
      <c r="E91" s="9"/>
    </row>
    <row r="92" spans="1:8">
      <c r="A92" s="16" t="s">
        <v>246</v>
      </c>
      <c r="B92" s="17" t="s">
        <v>319</v>
      </c>
      <c r="C92" s="55" t="s">
        <v>292</v>
      </c>
      <c r="E92" s="12" t="s">
        <v>178</v>
      </c>
    </row>
    <row r="93" spans="1:8">
      <c r="B93" t="s">
        <v>247</v>
      </c>
      <c r="C93" s="71" t="str">
        <f>IF(C92="yes","no","yes")</f>
        <v>no</v>
      </c>
    </row>
    <row r="94" spans="1:8" ht="15.75">
      <c r="A94" t="s">
        <v>248</v>
      </c>
      <c r="B94" s="84" t="s">
        <v>108</v>
      </c>
      <c r="C94" s="86">
        <f>IF(C92="yes",G95,H95)</f>
        <v>93</v>
      </c>
      <c r="D94" t="s">
        <v>39</v>
      </c>
      <c r="E94" s="49" t="s">
        <v>109</v>
      </c>
      <c r="F94" s="90"/>
      <c r="G94" s="45" t="s">
        <v>271</v>
      </c>
      <c r="H94" s="45" t="s">
        <v>272</v>
      </c>
    </row>
    <row r="95" spans="1:8" ht="15.75">
      <c r="A95" t="s">
        <v>249</v>
      </c>
      <c r="B95" t="s">
        <v>110</v>
      </c>
      <c r="C95" s="25">
        <v>217</v>
      </c>
      <c r="E95" s="85" t="s">
        <v>108</v>
      </c>
      <c r="F95" s="1"/>
      <c r="G95" s="87">
        <v>93</v>
      </c>
      <c r="H95" s="79">
        <v>97.5</v>
      </c>
    </row>
    <row r="96" spans="1:8" ht="15.75">
      <c r="A96" t="s">
        <v>250</v>
      </c>
      <c r="B96" t="s">
        <v>112</v>
      </c>
      <c r="C96" s="25">
        <v>0</v>
      </c>
      <c r="D96" s="25" t="s">
        <v>39</v>
      </c>
    </row>
    <row r="97" spans="1:5" ht="15.75">
      <c r="A97" t="s">
        <v>251</v>
      </c>
      <c r="B97" t="s">
        <v>111</v>
      </c>
      <c r="C97" s="57">
        <f>C94*C95+C96</f>
        <v>20181</v>
      </c>
      <c r="D97" s="58" t="s">
        <v>39</v>
      </c>
    </row>
    <row r="98" spans="1:5">
      <c r="C98" s="14"/>
    </row>
    <row r="99" spans="1:5" ht="15.75">
      <c r="A99" t="s">
        <v>252</v>
      </c>
      <c r="B99" t="s">
        <v>113</v>
      </c>
      <c r="C99" s="57">
        <f>C97/(1-C86-C90)</f>
        <v>229319.18158958916</v>
      </c>
      <c r="D99" s="58" t="s">
        <v>39</v>
      </c>
    </row>
    <row r="100" spans="1:5" ht="15.75">
      <c r="A100" t="s">
        <v>253</v>
      </c>
      <c r="B100" t="s">
        <v>114</v>
      </c>
      <c r="C100" s="57">
        <f>C99*'1.) Preliminary Sizing I'!C32</f>
        <v>171989.38619219186</v>
      </c>
      <c r="D100" s="58" t="s">
        <v>39</v>
      </c>
    </row>
    <row r="101" spans="1:5" ht="15.75">
      <c r="A101" t="s">
        <v>254</v>
      </c>
      <c r="B101" t="s">
        <v>115</v>
      </c>
      <c r="C101" s="57">
        <f>C99*C90</f>
        <v>108251.49674534067</v>
      </c>
      <c r="D101" s="58" t="s">
        <v>39</v>
      </c>
    </row>
    <row r="102" spans="1:5" ht="15.75">
      <c r="A102" t="s">
        <v>256</v>
      </c>
      <c r="B102" t="s">
        <v>133</v>
      </c>
      <c r="C102" s="57">
        <f>C99*C86</f>
        <v>100886.68484424849</v>
      </c>
      <c r="D102" s="58" t="s">
        <v>39</v>
      </c>
    </row>
    <row r="103" spans="1:5" ht="15.75">
      <c r="A103" t="s">
        <v>257</v>
      </c>
      <c r="B103" t="s">
        <v>116</v>
      </c>
      <c r="C103" s="57">
        <f>C99/C43</f>
        <v>363.65990497319996</v>
      </c>
      <c r="D103" s="58" t="s">
        <v>40</v>
      </c>
    </row>
    <row r="104" spans="1:5" ht="15.75">
      <c r="A104" t="s">
        <v>258</v>
      </c>
      <c r="B104" t="s">
        <v>117</v>
      </c>
      <c r="C104" s="6">
        <f>C99*g*C44</f>
        <v>523590.68620307883</v>
      </c>
      <c r="D104" t="s">
        <v>41</v>
      </c>
      <c r="E104" s="16" t="s">
        <v>269</v>
      </c>
    </row>
    <row r="105" spans="1:5" ht="15.75">
      <c r="A105" t="s">
        <v>259</v>
      </c>
      <c r="B105" t="s">
        <v>118</v>
      </c>
      <c r="C105" s="57">
        <f>C104/'1.) Preliminary Sizing I'!C59</f>
        <v>261795.34310153942</v>
      </c>
      <c r="D105" s="58" t="s">
        <v>41</v>
      </c>
      <c r="E105" s="16" t="s">
        <v>268</v>
      </c>
    </row>
    <row r="106" spans="1:5" ht="15.75">
      <c r="A106" t="s">
        <v>259</v>
      </c>
      <c r="B106" t="s">
        <v>118</v>
      </c>
      <c r="C106" s="6">
        <f>C105*0.2248</f>
        <v>58851.593129226057</v>
      </c>
      <c r="D106" t="s">
        <v>42</v>
      </c>
      <c r="E106" s="16" t="s">
        <v>268</v>
      </c>
    </row>
    <row r="108" spans="1:5" ht="15.75">
      <c r="A108" t="s">
        <v>260</v>
      </c>
      <c r="B108" t="s">
        <v>304</v>
      </c>
      <c r="C108" s="6">
        <f>C99*(1-C76*C77*C85)</f>
        <v>103442.49152948079</v>
      </c>
      <c r="D108" t="s">
        <v>39</v>
      </c>
    </row>
    <row r="109" spans="1:5" ht="15.75">
      <c r="A109" t="s">
        <v>261</v>
      </c>
      <c r="B109" s="4" t="s">
        <v>119</v>
      </c>
      <c r="C109" s="73">
        <v>800</v>
      </c>
      <c r="D109" s="73" t="s">
        <v>7</v>
      </c>
    </row>
    <row r="110" spans="1:5" ht="15.75">
      <c r="A110" t="s">
        <v>262</v>
      </c>
      <c r="B110" t="s">
        <v>305</v>
      </c>
      <c r="C110" s="75">
        <f>C108/C109</f>
        <v>129.30311441185097</v>
      </c>
      <c r="D110" s="58" t="s">
        <v>43</v>
      </c>
      <c r="E110" t="s">
        <v>267</v>
      </c>
    </row>
    <row r="112" spans="1:5" ht="15.75">
      <c r="A112" t="s">
        <v>263</v>
      </c>
      <c r="B112" t="s">
        <v>120</v>
      </c>
      <c r="C112" s="42">
        <f>C97</f>
        <v>20181</v>
      </c>
      <c r="D112" s="25" t="s">
        <v>39</v>
      </c>
    </row>
    <row r="113" spans="1:7" ht="15.75">
      <c r="A113" t="s">
        <v>264</v>
      </c>
      <c r="B113" t="s">
        <v>121</v>
      </c>
      <c r="C113" s="6">
        <f>C101+C112</f>
        <v>128432.49674534067</v>
      </c>
      <c r="D113" t="s">
        <v>39</v>
      </c>
    </row>
    <row r="114" spans="1:7" ht="15.75">
      <c r="A114" t="s">
        <v>295</v>
      </c>
      <c r="B114" t="s">
        <v>296</v>
      </c>
      <c r="C114" s="6">
        <f>C101+C97</f>
        <v>128432.49674534067</v>
      </c>
      <c r="D114" t="s">
        <v>39</v>
      </c>
    </row>
    <row r="116" spans="1:7" ht="15.75">
      <c r="A116" t="s">
        <v>265</v>
      </c>
      <c r="B116" t="s">
        <v>122</v>
      </c>
      <c r="C116" s="6">
        <f>C99*(1-C84)</f>
        <v>13904.013407144152</v>
      </c>
      <c r="D116" t="s">
        <v>39</v>
      </c>
    </row>
    <row r="118" spans="1:7" ht="15.75">
      <c r="A118" t="s">
        <v>266</v>
      </c>
      <c r="B118" t="s">
        <v>44</v>
      </c>
      <c r="C118" s="101" t="s">
        <v>124</v>
      </c>
      <c r="E118" s="23" t="s">
        <v>46</v>
      </c>
      <c r="F118" s="23" t="s">
        <v>297</v>
      </c>
      <c r="G118" s="16" t="s">
        <v>45</v>
      </c>
    </row>
    <row r="119" spans="1:7">
      <c r="C119" s="6">
        <f>C100</f>
        <v>171989.38619219186</v>
      </c>
      <c r="D119" t="s">
        <v>39</v>
      </c>
      <c r="E119" s="23" t="s">
        <v>46</v>
      </c>
      <c r="F119" s="6">
        <f>C114+C116</f>
        <v>142336.51015248481</v>
      </c>
      <c r="G119" t="s">
        <v>39</v>
      </c>
    </row>
    <row r="120" spans="1:7">
      <c r="E120" s="88" t="str">
        <f>IF(C100&gt;C113+C116, "yes","no")</f>
        <v>yes</v>
      </c>
    </row>
    <row r="121" spans="1:7">
      <c r="E121" s="89" t="str">
        <f>IF(E120="yes","Aircraft sizing finished!","Increase value mML/mMTO in table '1.) Preliminary Sizing I' !")</f>
        <v>Aircraft sizing finished!</v>
      </c>
    </row>
  </sheetData>
  <phoneticPr fontId="4" type="noConversion"/>
  <dataValidations count="1">
    <dataValidation type="list" allowBlank="1" showInputMessage="1" showErrorMessage="1" sqref="C59 C92">
      <formula1>"yes, no"</formula1>
    </dataValidation>
  </dataValidations>
  <pageMargins left="0.78740157499999996" right="0.5" top="0.77" bottom="0.74" header="0.4921259845" footer="0.4921259845"/>
  <pageSetup paperSize="9" scale="85" orientation="landscape" horizontalDpi="300" verticalDpi="300" r:id="rId1"/>
  <headerFooter alignWithMargins="0">
    <oddHeader>&amp;A</oddHeader>
    <oddFooter>Seite &amp;P</oddFooter>
  </headerFooter>
  <rowBreaks count="2" manualBreakCount="2">
    <brk id="42" max="16383" man="1"/>
    <brk id="82" max="16383" man="1"/>
  </rowBreaks>
  <drawing r:id="rId2"/>
  <legacyDrawing r:id="rId3"/>
  <oleObjects>
    <oleObject progId="Equation.3" shapeId="3080" r:id="rId4"/>
    <oleObject progId="Equation.3" shapeId="3082" r:id="rId5"/>
    <oleObject progId="Equation.3" shapeId="3085" r:id="rId6"/>
    <oleObject progId="Equation.3" shapeId="3086" r:id="rId7"/>
    <oleObject progId="Equation.3" shapeId="3087" r:id="rId8"/>
    <oleObject progId="Equation.3" shapeId="3116" r:id="rId9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15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1.) Preliminary Sizing I</vt:lpstr>
      <vt:lpstr>2.) Max. Glide Ratio in Cruise</vt:lpstr>
      <vt:lpstr>3.) Preliminary Sizing II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Matching Chart</vt:lpstr>
      <vt:lpstr>a</vt:lpstr>
      <vt:lpstr>BPR</vt:lpstr>
      <vt:lpstr>CL</vt:lpstr>
      <vt:lpstr>CL_m</vt:lpstr>
      <vt:lpstr>e</vt:lpstr>
      <vt:lpstr>g</vt:lpstr>
      <vt:lpstr>gamma</vt:lpstr>
      <vt:lpstr>L_D</vt:lpstr>
      <vt:lpstr>L_D_max</vt:lpstr>
      <vt:lpstr>M</vt:lpstr>
      <vt:lpstr>p0</vt:lpstr>
      <vt:lpstr>V_CR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Scholz</dc:creator>
  <cp:lastModifiedBy>Scholz</cp:lastModifiedBy>
  <cp:lastPrinted>2006-03-12T23:14:33Z</cp:lastPrinted>
  <dcterms:created xsi:type="dcterms:W3CDTF">1998-10-31T17:05:42Z</dcterms:created>
  <dcterms:modified xsi:type="dcterms:W3CDTF">2018-07-11T11:11:23Z</dcterms:modified>
</cp:coreProperties>
</file>