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Homepage\Aero\"/>
    </mc:Choice>
  </mc:AlternateContent>
  <xr:revisionPtr revIDLastSave="0" documentId="8_{902C443E-D27E-4C4D-AD47-EBCD1305BFAB}" xr6:coauthVersionLast="47" xr6:coauthVersionMax="47" xr10:uidLastSave="{00000000-0000-0000-0000-000000000000}"/>
  <bookViews>
    <workbookView xWindow="-120" yWindow="-120" windowWidth="19440" windowHeight="13920" xr2:uid="{00000000-000D-0000-FFFF-FFFF00000000}"/>
  </bookViews>
  <sheets>
    <sheet name="SAC" sheetId="1" r:id="rId1"/>
    <sheet name="t_SAC" sheetId="4" r:id="rId2"/>
    <sheet name="SAD" sheetId="2" r:id="rId3"/>
    <sheet name="RH" sheetId="3" r:id="rId4"/>
  </sheets>
  <definedNames>
    <definedName name="a_H">SAD!$C$181</definedName>
    <definedName name="a_i">SAC!$B$7</definedName>
    <definedName name="a_lat">SAD!$C$310</definedName>
    <definedName name="a_SLZ">t_SAC!$V$39</definedName>
    <definedName name="a_t">SAD!$D$147</definedName>
    <definedName name="a_tot">SAD!$D$208</definedName>
    <definedName name="a_w">SAC!$B$4</definedName>
    <definedName name="B">SAD!$B$239</definedName>
    <definedName name="b_H">SAD!$C$182</definedName>
    <definedName name="b_i">SAC!$B$8</definedName>
    <definedName name="b_lat">SAD!$C$311</definedName>
    <definedName name="b_SLZ">t_SAC!$V$40</definedName>
    <definedName name="b_t">SAD!$D$148</definedName>
    <definedName name="b_tot">SAD!$D$209</definedName>
    <definedName name="b_w">SAC!$B$5</definedName>
    <definedName name="c_i">SAC!$B$9</definedName>
    <definedName name="c_p">SAC!$B$32</definedName>
    <definedName name="c_SLZ">t_SAC!$V$41</definedName>
    <definedName name="c_w">SAC!$B$6</definedName>
    <definedName name="Dt_tot_40k">SAD!$I$167</definedName>
    <definedName name="E_w">SAC!$B$15</definedName>
    <definedName name="E_w_strich">SAC!$B$13</definedName>
    <definedName name="EI_H2O">SAC!$B$31</definedName>
    <definedName name="eps">SAC!$B$33</definedName>
    <definedName name="eta">SAC!$B$35</definedName>
    <definedName name="f_of_t">SAC!$B$41</definedName>
    <definedName name="G">SAC!$B$37</definedName>
    <definedName name="G0">SAC!$B$40</definedName>
    <definedName name="H">SAC!$B$27</definedName>
    <definedName name="H_SAC_0">SAD!$B$260</definedName>
    <definedName name="H_SAC_100">SAD!$B$258</definedName>
    <definedName name="H_SAC_lat_0">SAD!$B$261</definedName>
    <definedName name="H_SAC_lat_100">SAD!$B$259</definedName>
    <definedName name="H_T">SAC!$B$23</definedName>
    <definedName name="H_T_equator">SAD!$B$242</definedName>
    <definedName name="H_T_lat">SAD!$B$241</definedName>
    <definedName name="H_T_pole">SAD!$B$238</definedName>
    <definedName name="k_a">SAC!$B$20</definedName>
    <definedName name="k_b">SAC!$B$21</definedName>
    <definedName name="k_exp">SAC!$B$22</definedName>
    <definedName name="L">SAC!$B$18</definedName>
    <definedName name="L_SAC_0">SAD!$B$247</definedName>
    <definedName name="L_SAC_100">SAD!$B$248</definedName>
    <definedName name="m_ft">SAD!$B$236</definedName>
    <definedName name="p">SAC!$B$29</definedName>
    <definedName name="p_0">SAC!$B$24</definedName>
    <definedName name="p_T">SAC!$B$25</definedName>
    <definedName name="Q">SAC!$B$34</definedName>
    <definedName name="RH_a">SAC!$C$95</definedName>
    <definedName name="RH_b">SAC!$C$96</definedName>
    <definedName name="solver_adj" localSheetId="0" hidden="1">SAC!$B$12</definedName>
    <definedName name="solver_adj" localSheetId="2" hidden="1">SAD!$D$147:$D$148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ng" localSheetId="0" hidden="1">1</definedName>
    <definedName name="solver_eng" localSheetId="2" hidden="1">1</definedName>
    <definedName name="solver_est" localSheetId="0" hidden="1">1</definedName>
    <definedName name="solver_est" localSheetId="2" hidden="1">1</definedName>
    <definedName name="solver_itr" localSheetId="0" hidden="1">2147483647</definedName>
    <definedName name="solver_itr" localSheetId="2" hidden="1">2147483647</definedName>
    <definedName name="solver_mip" localSheetId="0" hidden="1">2147483647</definedName>
    <definedName name="solver_mip" localSheetId="2" hidden="1">2147483647</definedName>
    <definedName name="solver_mni" localSheetId="0" hidden="1">30</definedName>
    <definedName name="solver_mni" localSheetId="2" hidden="1">30</definedName>
    <definedName name="solver_mrt" localSheetId="0" hidden="1">0.075</definedName>
    <definedName name="solver_mrt" localSheetId="2" hidden="1">0.075</definedName>
    <definedName name="solver_msl" localSheetId="0" hidden="1">2</definedName>
    <definedName name="solver_msl" localSheetId="2" hidden="1">2</definedName>
    <definedName name="solver_neg" localSheetId="0" hidden="1">2</definedName>
    <definedName name="solver_neg" localSheetId="2" hidden="1">2</definedName>
    <definedName name="solver_nod" localSheetId="0" hidden="1">2147483647</definedName>
    <definedName name="solver_nod" localSheetId="2" hidden="1">2147483647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SAC!$B$14</definedName>
    <definedName name="solver_opt" localSheetId="2" hidden="1">SAD!$E$163</definedName>
    <definedName name="solver_pre" localSheetId="0" hidden="1">0.000001</definedName>
    <definedName name="solver_pre" localSheetId="2" hidden="1">0.000001</definedName>
    <definedName name="solver_rbv" localSheetId="0" hidden="1">1</definedName>
    <definedName name="solver_rbv" localSheetId="2" hidden="1">1</definedName>
    <definedName name="solver_rlx" localSheetId="0" hidden="1">2</definedName>
    <definedName name="solver_rlx" localSheetId="2" hidden="1">2</definedName>
    <definedName name="solver_rsd" localSheetId="0" hidden="1">0</definedName>
    <definedName name="solver_rsd" localSheetId="2" hidden="1">0</definedName>
    <definedName name="solver_scl" localSheetId="0" hidden="1">1</definedName>
    <definedName name="solver_scl" localSheetId="2" hidden="1">1</definedName>
    <definedName name="solver_sho" localSheetId="0" hidden="1">2</definedName>
    <definedName name="solver_sho" localSheetId="2" hidden="1">2</definedName>
    <definedName name="solver_ssz" localSheetId="0" hidden="1">100</definedName>
    <definedName name="solver_ssz" localSheetId="2" hidden="1">100</definedName>
    <definedName name="solver_tim" localSheetId="0" hidden="1">2147483647</definedName>
    <definedName name="solver_tim" localSheetId="2" hidden="1">2147483647</definedName>
    <definedName name="solver_tol" localSheetId="0" hidden="1">1</definedName>
    <definedName name="solver_tol" localSheetId="2" hidden="1">0.01</definedName>
    <definedName name="solver_typ" localSheetId="0" hidden="1">3</definedName>
    <definedName name="solver_typ" localSheetId="2" hidden="1">2</definedName>
    <definedName name="solver_val" localSheetId="0" hidden="1">0</definedName>
    <definedName name="solver_val" localSheetId="2" hidden="1">0</definedName>
    <definedName name="solver_ver" localSheetId="0" hidden="1">3</definedName>
    <definedName name="solver_ver" localSheetId="2" hidden="1">3</definedName>
    <definedName name="t">SAC!$B$12</definedName>
    <definedName name="t_0">SAC!$B$19</definedName>
    <definedName name="t_0_lat">SAD!$B$237</definedName>
    <definedName name="t_init">t_SAC!$B$21</definedName>
    <definedName name="t_SAC_0_0">SAD!$B$249</definedName>
    <definedName name="t_SAC_0_100">SAD!$B$250</definedName>
    <definedName name="t_T">SAD!$B$244</definedName>
    <definedName name="t_T_equator">SAD!$B$246</definedName>
    <definedName name="t_T_lat">SAD!$B$245</definedName>
    <definedName name="t_T_pole">SAD!$B$243</definedName>
    <definedName name="W_x">t_SAC!$B$41</definedName>
    <definedName name="W0">t_SAC!$B$47</definedName>
    <definedName name="Wminus1">t_SAC!$B$49</definedName>
    <definedName name="x">t_SAC!$B$39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8" i="4" l="1"/>
  <c r="B78" i="4"/>
  <c r="B79" i="4" s="1"/>
  <c r="B80" i="4" s="1"/>
  <c r="B81" i="4" s="1"/>
  <c r="B82" i="4" s="1"/>
  <c r="B39" i="1"/>
  <c r="B39" i="4"/>
  <c r="B29" i="4"/>
  <c r="I24" i="4"/>
  <c r="J24" i="4" s="1"/>
  <c r="K24" i="4" s="1"/>
  <c r="L24" i="4" s="1"/>
  <c r="H24" i="4"/>
  <c r="M24" i="4" s="1"/>
  <c r="I23" i="4"/>
  <c r="J23" i="4" s="1"/>
  <c r="K23" i="4" s="1"/>
  <c r="L23" i="4" s="1"/>
  <c r="H23" i="4"/>
  <c r="M23" i="4" s="1"/>
  <c r="I22" i="4"/>
  <c r="J22" i="4" s="1"/>
  <c r="K22" i="4" s="1"/>
  <c r="L22" i="4" s="1"/>
  <c r="H22" i="4"/>
  <c r="M22" i="4" s="1"/>
  <c r="I26" i="4"/>
  <c r="J26" i="4" s="1"/>
  <c r="K26" i="4" s="1"/>
  <c r="L26" i="4" s="1"/>
  <c r="I27" i="4"/>
  <c r="J27" i="4" s="1"/>
  <c r="K27" i="4" s="1"/>
  <c r="L27" i="4" s="1"/>
  <c r="I28" i="4"/>
  <c r="J28" i="4" s="1"/>
  <c r="K28" i="4" s="1"/>
  <c r="L28" i="4" s="1"/>
  <c r="I29" i="4"/>
  <c r="J29" i="4" s="1"/>
  <c r="K29" i="4" s="1"/>
  <c r="L29" i="4" s="1"/>
  <c r="I30" i="4"/>
  <c r="J30" i="4" s="1"/>
  <c r="K30" i="4" s="1"/>
  <c r="L30" i="4" s="1"/>
  <c r="I31" i="4"/>
  <c r="J31" i="4" s="1"/>
  <c r="K31" i="4" s="1"/>
  <c r="L31" i="4" s="1"/>
  <c r="I32" i="4"/>
  <c r="J32" i="4" s="1"/>
  <c r="K32" i="4" s="1"/>
  <c r="L32" i="4" s="1"/>
  <c r="I33" i="4"/>
  <c r="J33" i="4" s="1"/>
  <c r="K33" i="4" s="1"/>
  <c r="L33" i="4" s="1"/>
  <c r="I34" i="4"/>
  <c r="J34" i="4" s="1"/>
  <c r="K34" i="4" s="1"/>
  <c r="L34" i="4" s="1"/>
  <c r="I35" i="4"/>
  <c r="J35" i="4" s="1"/>
  <c r="K35" i="4" s="1"/>
  <c r="L35" i="4" s="1"/>
  <c r="I36" i="4"/>
  <c r="J36" i="4" s="1"/>
  <c r="K36" i="4" s="1"/>
  <c r="L36" i="4" s="1"/>
  <c r="I37" i="4"/>
  <c r="J37" i="4" s="1"/>
  <c r="K37" i="4" s="1"/>
  <c r="L37" i="4" s="1"/>
  <c r="I38" i="4"/>
  <c r="J38" i="4" s="1"/>
  <c r="K38" i="4" s="1"/>
  <c r="L38" i="4" s="1"/>
  <c r="I39" i="4"/>
  <c r="J39" i="4" s="1"/>
  <c r="K39" i="4" s="1"/>
  <c r="L39" i="4" s="1"/>
  <c r="I40" i="4"/>
  <c r="J40" i="4" s="1"/>
  <c r="K40" i="4" s="1"/>
  <c r="L40" i="4" s="1"/>
  <c r="I41" i="4"/>
  <c r="J41" i="4" s="1"/>
  <c r="K41" i="4" s="1"/>
  <c r="L41" i="4" s="1"/>
  <c r="I42" i="4"/>
  <c r="J42" i="4" s="1"/>
  <c r="K42" i="4" s="1"/>
  <c r="L42" i="4" s="1"/>
  <c r="I43" i="4"/>
  <c r="J43" i="4" s="1"/>
  <c r="K43" i="4" s="1"/>
  <c r="L43" i="4" s="1"/>
  <c r="I44" i="4"/>
  <c r="J44" i="4" s="1"/>
  <c r="K44" i="4" s="1"/>
  <c r="L44" i="4" s="1"/>
  <c r="I45" i="4"/>
  <c r="J45" i="4" s="1"/>
  <c r="K45" i="4" s="1"/>
  <c r="L45" i="4" s="1"/>
  <c r="I46" i="4"/>
  <c r="J46" i="4" s="1"/>
  <c r="K46" i="4" s="1"/>
  <c r="L46" i="4" s="1"/>
  <c r="I47" i="4"/>
  <c r="J47" i="4" s="1"/>
  <c r="K47" i="4" s="1"/>
  <c r="L47" i="4" s="1"/>
  <c r="I48" i="4"/>
  <c r="J48" i="4" s="1"/>
  <c r="K48" i="4" s="1"/>
  <c r="L48" i="4" s="1"/>
  <c r="I49" i="4"/>
  <c r="J49" i="4" s="1"/>
  <c r="K49" i="4" s="1"/>
  <c r="L49" i="4" s="1"/>
  <c r="I50" i="4"/>
  <c r="J50" i="4" s="1"/>
  <c r="K50" i="4" s="1"/>
  <c r="L50" i="4" s="1"/>
  <c r="I51" i="4"/>
  <c r="J51" i="4" s="1"/>
  <c r="K51" i="4" s="1"/>
  <c r="L51" i="4" s="1"/>
  <c r="I52" i="4"/>
  <c r="J52" i="4" s="1"/>
  <c r="K52" i="4" s="1"/>
  <c r="L52" i="4" s="1"/>
  <c r="I53" i="4"/>
  <c r="J53" i="4" s="1"/>
  <c r="K53" i="4" s="1"/>
  <c r="L53" i="4" s="1"/>
  <c r="I25" i="4"/>
  <c r="J25" i="4" s="1"/>
  <c r="K25" i="4" s="1"/>
  <c r="L25" i="4" s="1"/>
  <c r="H26" i="4"/>
  <c r="M26" i="4" s="1"/>
  <c r="H27" i="4"/>
  <c r="M27" i="4" s="1"/>
  <c r="H28" i="4"/>
  <c r="M28" i="4" s="1"/>
  <c r="H29" i="4"/>
  <c r="M29" i="4" s="1"/>
  <c r="H30" i="4"/>
  <c r="M30" i="4" s="1"/>
  <c r="H31" i="4"/>
  <c r="M31" i="4" s="1"/>
  <c r="H32" i="4"/>
  <c r="M32" i="4" s="1"/>
  <c r="H33" i="4"/>
  <c r="M33" i="4" s="1"/>
  <c r="H34" i="4"/>
  <c r="M34" i="4" s="1"/>
  <c r="H35" i="4"/>
  <c r="M35" i="4" s="1"/>
  <c r="H36" i="4"/>
  <c r="M36" i="4" s="1"/>
  <c r="H37" i="4"/>
  <c r="M37" i="4" s="1"/>
  <c r="H38" i="4"/>
  <c r="M38" i="4" s="1"/>
  <c r="H39" i="4"/>
  <c r="M39" i="4" s="1"/>
  <c r="H40" i="4"/>
  <c r="M40" i="4" s="1"/>
  <c r="H41" i="4"/>
  <c r="M41" i="4" s="1"/>
  <c r="H42" i="4"/>
  <c r="M42" i="4" s="1"/>
  <c r="H43" i="4"/>
  <c r="M43" i="4" s="1"/>
  <c r="H44" i="4"/>
  <c r="M44" i="4" s="1"/>
  <c r="H45" i="4"/>
  <c r="M45" i="4" s="1"/>
  <c r="H46" i="4"/>
  <c r="M46" i="4" s="1"/>
  <c r="H47" i="4"/>
  <c r="M47" i="4" s="1"/>
  <c r="H48" i="4"/>
  <c r="M48" i="4" s="1"/>
  <c r="H49" i="4"/>
  <c r="M49" i="4" s="1"/>
  <c r="H50" i="4"/>
  <c r="M50" i="4" s="1"/>
  <c r="H51" i="4"/>
  <c r="M51" i="4" s="1"/>
  <c r="H52" i="4"/>
  <c r="M52" i="4" s="1"/>
  <c r="H53" i="4"/>
  <c r="M53" i="4" s="1"/>
  <c r="H25" i="4"/>
  <c r="M25" i="4" s="1"/>
  <c r="H12" i="4"/>
  <c r="H18" i="4"/>
  <c r="I5" i="4"/>
  <c r="J5" i="4" s="1"/>
  <c r="K5" i="4" s="1"/>
  <c r="L5" i="4" s="1"/>
  <c r="I8" i="4"/>
  <c r="J8" i="4" s="1"/>
  <c r="K8" i="4" s="1"/>
  <c r="L8" i="4" s="1"/>
  <c r="I13" i="4"/>
  <c r="J13" i="4" s="1"/>
  <c r="K13" i="4" s="1"/>
  <c r="L13" i="4" s="1"/>
  <c r="I16" i="4"/>
  <c r="J16" i="4" s="1"/>
  <c r="K16" i="4" s="1"/>
  <c r="L16" i="4" s="1"/>
  <c r="I18" i="4"/>
  <c r="J18" i="4" s="1"/>
  <c r="K18" i="4" s="1"/>
  <c r="L18" i="4" s="1"/>
  <c r="F5" i="4"/>
  <c r="G5" i="4" s="1"/>
  <c r="H5" i="4" s="1"/>
  <c r="F6" i="4"/>
  <c r="G6" i="4" s="1"/>
  <c r="I6" i="4" s="1"/>
  <c r="J6" i="4" s="1"/>
  <c r="K6" i="4" s="1"/>
  <c r="L6" i="4" s="1"/>
  <c r="F7" i="4"/>
  <c r="G7" i="4" s="1"/>
  <c r="I7" i="4" s="1"/>
  <c r="J7" i="4" s="1"/>
  <c r="K7" i="4" s="1"/>
  <c r="L7" i="4" s="1"/>
  <c r="F8" i="4"/>
  <c r="G8" i="4" s="1"/>
  <c r="H8" i="4" s="1"/>
  <c r="F9" i="4"/>
  <c r="G9" i="4" s="1"/>
  <c r="I9" i="4" s="1"/>
  <c r="J9" i="4" s="1"/>
  <c r="K9" i="4" s="1"/>
  <c r="L9" i="4" s="1"/>
  <c r="F10" i="4"/>
  <c r="G10" i="4" s="1"/>
  <c r="I10" i="4" s="1"/>
  <c r="J10" i="4" s="1"/>
  <c r="K10" i="4" s="1"/>
  <c r="L10" i="4" s="1"/>
  <c r="F11" i="4"/>
  <c r="G11" i="4" s="1"/>
  <c r="H11" i="4" s="1"/>
  <c r="F12" i="4"/>
  <c r="G12" i="4" s="1"/>
  <c r="I12" i="4" s="1"/>
  <c r="J12" i="4" s="1"/>
  <c r="K12" i="4" s="1"/>
  <c r="L12" i="4" s="1"/>
  <c r="F13" i="4"/>
  <c r="G13" i="4" s="1"/>
  <c r="H13" i="4" s="1"/>
  <c r="F14" i="4"/>
  <c r="G14" i="4" s="1"/>
  <c r="I14" i="4" s="1"/>
  <c r="J14" i="4" s="1"/>
  <c r="K14" i="4" s="1"/>
  <c r="L14" i="4" s="1"/>
  <c r="F15" i="4"/>
  <c r="G15" i="4" s="1"/>
  <c r="H15" i="4" s="1"/>
  <c r="F16" i="4"/>
  <c r="G16" i="4" s="1"/>
  <c r="H16" i="4" s="1"/>
  <c r="F17" i="4"/>
  <c r="G17" i="4" s="1"/>
  <c r="I17" i="4" s="1"/>
  <c r="J17" i="4" s="1"/>
  <c r="K17" i="4" s="1"/>
  <c r="L17" i="4" s="1"/>
  <c r="F18" i="4"/>
  <c r="G18" i="4" s="1"/>
  <c r="F4" i="4"/>
  <c r="G4" i="4" s="1"/>
  <c r="I4" i="4" s="1"/>
  <c r="J4" i="4" s="1"/>
  <c r="K4" i="4" s="1"/>
  <c r="L4" i="4" s="1"/>
  <c r="B29" i="1"/>
  <c r="B19" i="4"/>
  <c r="B18" i="4"/>
  <c r="B17" i="4"/>
  <c r="B16" i="4"/>
  <c r="B15" i="4"/>
  <c r="B14" i="4"/>
  <c r="B12" i="4"/>
  <c r="B11" i="4"/>
  <c r="B10" i="4"/>
  <c r="B9" i="4"/>
  <c r="B8" i="4"/>
  <c r="B6" i="4"/>
  <c r="B5" i="4"/>
  <c r="B4" i="4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D115" i="1"/>
  <c r="E118" i="1"/>
  <c r="F118" i="1"/>
  <c r="G118" i="1"/>
  <c r="H118" i="1"/>
  <c r="I118" i="1"/>
  <c r="J118" i="1"/>
  <c r="K118" i="1"/>
  <c r="L118" i="1"/>
  <c r="M118" i="1"/>
  <c r="N118" i="1"/>
  <c r="O118" i="1"/>
  <c r="E119" i="1"/>
  <c r="F119" i="1"/>
  <c r="G119" i="1"/>
  <c r="H119" i="1"/>
  <c r="I119" i="1"/>
  <c r="J119" i="1"/>
  <c r="K119" i="1"/>
  <c r="L119" i="1"/>
  <c r="M119" i="1"/>
  <c r="N119" i="1"/>
  <c r="O119" i="1"/>
  <c r="E120" i="1"/>
  <c r="F120" i="1"/>
  <c r="G120" i="1"/>
  <c r="H120" i="1"/>
  <c r="I120" i="1"/>
  <c r="J120" i="1"/>
  <c r="K120" i="1"/>
  <c r="L120" i="1"/>
  <c r="M120" i="1"/>
  <c r="N120" i="1"/>
  <c r="O120" i="1"/>
  <c r="E121" i="1"/>
  <c r="F121" i="1"/>
  <c r="G121" i="1"/>
  <c r="H121" i="1"/>
  <c r="I121" i="1"/>
  <c r="J121" i="1"/>
  <c r="K121" i="1"/>
  <c r="L121" i="1"/>
  <c r="M121" i="1"/>
  <c r="N121" i="1"/>
  <c r="O121" i="1"/>
  <c r="D119" i="1"/>
  <c r="D120" i="1"/>
  <c r="D121" i="1"/>
  <c r="D118" i="1"/>
  <c r="D229" i="2"/>
  <c r="E225" i="2"/>
  <c r="F225" i="2"/>
  <c r="G225" i="2"/>
  <c r="H225" i="2"/>
  <c r="I225" i="2"/>
  <c r="J225" i="2"/>
  <c r="K225" i="2"/>
  <c r="L225" i="2"/>
  <c r="M225" i="2"/>
  <c r="N225" i="2"/>
  <c r="O225" i="2"/>
  <c r="E226" i="2"/>
  <c r="F226" i="2"/>
  <c r="G226" i="2"/>
  <c r="H226" i="2"/>
  <c r="I226" i="2"/>
  <c r="J226" i="2"/>
  <c r="K226" i="2"/>
  <c r="L226" i="2"/>
  <c r="M226" i="2"/>
  <c r="N226" i="2"/>
  <c r="O226" i="2"/>
  <c r="E227" i="2"/>
  <c r="F227" i="2"/>
  <c r="G227" i="2"/>
  <c r="H227" i="2"/>
  <c r="I227" i="2"/>
  <c r="J227" i="2"/>
  <c r="K227" i="2"/>
  <c r="L227" i="2"/>
  <c r="M227" i="2"/>
  <c r="N227" i="2"/>
  <c r="O227" i="2"/>
  <c r="D227" i="2"/>
  <c r="D225" i="2"/>
  <c r="D226" i="2"/>
  <c r="E205" i="2"/>
  <c r="F205" i="2"/>
  <c r="G205" i="2"/>
  <c r="I205" i="2"/>
  <c r="J205" i="2"/>
  <c r="K205" i="2"/>
  <c r="L205" i="2"/>
  <c r="M205" i="2"/>
  <c r="N205" i="2"/>
  <c r="O205" i="2"/>
  <c r="D205" i="2"/>
  <c r="E177" i="2"/>
  <c r="F177" i="2"/>
  <c r="G177" i="2"/>
  <c r="H177" i="2"/>
  <c r="I177" i="2"/>
  <c r="J177" i="2"/>
  <c r="K177" i="2"/>
  <c r="L177" i="2"/>
  <c r="M177" i="2"/>
  <c r="N177" i="2"/>
  <c r="O177" i="2"/>
  <c r="D177" i="2"/>
  <c r="E178" i="2"/>
  <c r="F178" i="2"/>
  <c r="G178" i="2"/>
  <c r="H178" i="2"/>
  <c r="I178" i="2"/>
  <c r="J178" i="2"/>
  <c r="K178" i="2"/>
  <c r="L178" i="2"/>
  <c r="M178" i="2"/>
  <c r="N178" i="2"/>
  <c r="O178" i="2"/>
  <c r="D178" i="2"/>
  <c r="K204" i="2"/>
  <c r="F204" i="2"/>
  <c r="D242" i="2"/>
  <c r="D238" i="2"/>
  <c r="H150" i="2"/>
  <c r="H151" i="2"/>
  <c r="H152" i="2"/>
  <c r="G150" i="2"/>
  <c r="G151" i="2"/>
  <c r="F150" i="2"/>
  <c r="F151" i="2"/>
  <c r="F152" i="2"/>
  <c r="F153" i="2"/>
  <c r="D150" i="2"/>
  <c r="E150" i="2" s="1"/>
  <c r="D151" i="2"/>
  <c r="E151" i="2" s="1"/>
  <c r="C154" i="2"/>
  <c r="C155" i="2"/>
  <c r="C156" i="2"/>
  <c r="C157" i="2"/>
  <c r="C158" i="2"/>
  <c r="C159" i="2"/>
  <c r="C160" i="2"/>
  <c r="C161" i="2"/>
  <c r="C162" i="2"/>
  <c r="B41" i="4" a="1"/>
  <c r="H9" i="4" l="1"/>
  <c r="I15" i="4"/>
  <c r="J15" i="4" s="1"/>
  <c r="K15" i="4" s="1"/>
  <c r="L15" i="4" s="1"/>
  <c r="H4" i="4"/>
  <c r="H17" i="4"/>
  <c r="I11" i="4"/>
  <c r="J11" i="4" s="1"/>
  <c r="K11" i="4" s="1"/>
  <c r="L11" i="4" s="1"/>
  <c r="H7" i="4"/>
  <c r="H10" i="4"/>
  <c r="H14" i="4"/>
  <c r="H6" i="4"/>
  <c r="B41" i="4"/>
  <c r="B43" i="4" s="1"/>
  <c r="D240" i="2"/>
  <c r="B240" i="2" s="1"/>
  <c r="B241" i="2" s="1"/>
  <c r="D241" i="2" s="1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14" i="2"/>
  <c r="D290" i="2" l="1"/>
  <c r="C290" i="2"/>
  <c r="D289" i="2"/>
  <c r="C289" i="2"/>
  <c r="D276" i="2"/>
  <c r="D277" i="2" s="1"/>
  <c r="C276" i="2"/>
  <c r="C277" i="2" s="1"/>
  <c r="B261" i="2"/>
  <c r="B260" i="2"/>
  <c r="D260" i="2" s="1"/>
  <c r="B259" i="2"/>
  <c r="B258" i="2"/>
  <c r="D258" i="2" s="1"/>
  <c r="B246" i="2"/>
  <c r="O234" i="2" s="1"/>
  <c r="B245" i="2"/>
  <c r="L233" i="2" s="1"/>
  <c r="B244" i="2"/>
  <c r="B265" i="2" s="1"/>
  <c r="D265" i="2" s="1"/>
  <c r="B243" i="2"/>
  <c r="I231" i="2" s="1"/>
  <c r="J234" i="2"/>
  <c r="I234" i="2"/>
  <c r="G234" i="2"/>
  <c r="F234" i="2"/>
  <c r="E234" i="2"/>
  <c r="D234" i="2"/>
  <c r="O232" i="2"/>
  <c r="N232" i="2"/>
  <c r="M232" i="2"/>
  <c r="L232" i="2"/>
  <c r="K232" i="2"/>
  <c r="J232" i="2"/>
  <c r="I232" i="2"/>
  <c r="G232" i="2"/>
  <c r="F232" i="2"/>
  <c r="E232" i="2"/>
  <c r="D232" i="2"/>
  <c r="E231" i="2"/>
  <c r="D231" i="2"/>
  <c r="O230" i="2"/>
  <c r="N230" i="2"/>
  <c r="M230" i="2"/>
  <c r="L230" i="2"/>
  <c r="K230" i="2"/>
  <c r="J230" i="2"/>
  <c r="I230" i="2"/>
  <c r="G230" i="2"/>
  <c r="F230" i="2"/>
  <c r="E230" i="2"/>
  <c r="D230" i="2"/>
  <c r="H230" i="2"/>
  <c r="O206" i="2"/>
  <c r="N206" i="2"/>
  <c r="M206" i="2"/>
  <c r="L206" i="2"/>
  <c r="K206" i="2"/>
  <c r="J206" i="2"/>
  <c r="I206" i="2"/>
  <c r="G206" i="2"/>
  <c r="F206" i="2"/>
  <c r="E206" i="2"/>
  <c r="D206" i="2"/>
  <c r="H203" i="2"/>
  <c r="I167" i="2"/>
  <c r="I166" i="2"/>
  <c r="H162" i="2"/>
  <c r="G162" i="2"/>
  <c r="F162" i="2"/>
  <c r="D162" i="2"/>
  <c r="H161" i="2"/>
  <c r="G161" i="2"/>
  <c r="F161" i="2"/>
  <c r="D161" i="2"/>
  <c r="H160" i="2"/>
  <c r="G160" i="2"/>
  <c r="F160" i="2"/>
  <c r="D160" i="2"/>
  <c r="H159" i="2"/>
  <c r="G159" i="2"/>
  <c r="F159" i="2"/>
  <c r="D159" i="2"/>
  <c r="E159" i="2" s="1"/>
  <c r="H158" i="2"/>
  <c r="G158" i="2"/>
  <c r="F158" i="2"/>
  <c r="D158" i="2"/>
  <c r="H157" i="2"/>
  <c r="G157" i="2"/>
  <c r="F157" i="2"/>
  <c r="D157" i="2"/>
  <c r="H156" i="2"/>
  <c r="G156" i="2"/>
  <c r="F156" i="2"/>
  <c r="D156" i="2"/>
  <c r="H155" i="2"/>
  <c r="G155" i="2"/>
  <c r="F155" i="2"/>
  <c r="D155" i="2"/>
  <c r="H154" i="2"/>
  <c r="G154" i="2"/>
  <c r="F154" i="2"/>
  <c r="D154" i="2"/>
  <c r="H153" i="2"/>
  <c r="G153" i="2"/>
  <c r="D153" i="2"/>
  <c r="G152" i="2"/>
  <c r="D152" i="2"/>
  <c r="E152" i="2" s="1"/>
  <c r="H147" i="2"/>
  <c r="G147" i="2"/>
  <c r="F147" i="2"/>
  <c r="M95" i="2"/>
  <c r="L95" i="2"/>
  <c r="K95" i="2"/>
  <c r="J95" i="2"/>
  <c r="I95" i="2"/>
  <c r="H95" i="2"/>
  <c r="G95" i="2"/>
  <c r="F95" i="2"/>
  <c r="E95" i="2"/>
  <c r="D95" i="2"/>
  <c r="M94" i="2"/>
  <c r="L94" i="2"/>
  <c r="K94" i="2"/>
  <c r="J94" i="2"/>
  <c r="I94" i="2"/>
  <c r="H94" i="2"/>
  <c r="G94" i="2"/>
  <c r="F94" i="2"/>
  <c r="E94" i="2"/>
  <c r="D94" i="2"/>
  <c r="M93" i="2"/>
  <c r="L93" i="2"/>
  <c r="K93" i="2"/>
  <c r="J93" i="2"/>
  <c r="I93" i="2"/>
  <c r="H93" i="2"/>
  <c r="G93" i="2"/>
  <c r="F93" i="2"/>
  <c r="E93" i="2"/>
  <c r="D93" i="2"/>
  <c r="M92" i="2"/>
  <c r="L92" i="2"/>
  <c r="K92" i="2"/>
  <c r="J92" i="2"/>
  <c r="I92" i="2"/>
  <c r="H92" i="2"/>
  <c r="G92" i="2"/>
  <c r="F92" i="2"/>
  <c r="E92" i="2"/>
  <c r="D92" i="2"/>
  <c r="M91" i="2"/>
  <c r="L91" i="2"/>
  <c r="K91" i="2"/>
  <c r="J91" i="2"/>
  <c r="I91" i="2"/>
  <c r="H91" i="2"/>
  <c r="G91" i="2"/>
  <c r="F91" i="2"/>
  <c r="E91" i="2"/>
  <c r="D91" i="2"/>
  <c r="M90" i="2"/>
  <c r="L90" i="2"/>
  <c r="K90" i="2"/>
  <c r="J90" i="2"/>
  <c r="I90" i="2"/>
  <c r="H90" i="2"/>
  <c r="G90" i="2"/>
  <c r="F90" i="2"/>
  <c r="E90" i="2"/>
  <c r="D90" i="2"/>
  <c r="M89" i="2"/>
  <c r="L89" i="2"/>
  <c r="K89" i="2"/>
  <c r="J89" i="2"/>
  <c r="I89" i="2"/>
  <c r="H89" i="2"/>
  <c r="G89" i="2"/>
  <c r="F89" i="2"/>
  <c r="E89" i="2"/>
  <c r="D89" i="2"/>
  <c r="M88" i="2"/>
  <c r="L88" i="2"/>
  <c r="K88" i="2"/>
  <c r="J88" i="2"/>
  <c r="I88" i="2"/>
  <c r="H88" i="2"/>
  <c r="G88" i="2"/>
  <c r="F88" i="2"/>
  <c r="E88" i="2"/>
  <c r="D88" i="2"/>
  <c r="M87" i="2"/>
  <c r="L87" i="2"/>
  <c r="K87" i="2"/>
  <c r="J87" i="2"/>
  <c r="I87" i="2"/>
  <c r="H87" i="2"/>
  <c r="G87" i="2"/>
  <c r="F87" i="2"/>
  <c r="E87" i="2"/>
  <c r="D87" i="2"/>
  <c r="M86" i="2"/>
  <c r="L86" i="2"/>
  <c r="K86" i="2"/>
  <c r="J86" i="2"/>
  <c r="I86" i="2"/>
  <c r="H86" i="2"/>
  <c r="G86" i="2"/>
  <c r="F86" i="2"/>
  <c r="E86" i="2"/>
  <c r="D86" i="2"/>
  <c r="M85" i="2"/>
  <c r="L85" i="2"/>
  <c r="K85" i="2"/>
  <c r="J85" i="2"/>
  <c r="I85" i="2"/>
  <c r="H85" i="2"/>
  <c r="G85" i="2"/>
  <c r="F85" i="2"/>
  <c r="E85" i="2"/>
  <c r="M84" i="2"/>
  <c r="L84" i="2"/>
  <c r="K84" i="2"/>
  <c r="J84" i="2"/>
  <c r="I84" i="2"/>
  <c r="H84" i="2"/>
  <c r="G84" i="2"/>
  <c r="F84" i="2"/>
  <c r="E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M80" i="2"/>
  <c r="L80" i="2"/>
  <c r="K80" i="2"/>
  <c r="J80" i="2"/>
  <c r="I80" i="2"/>
  <c r="H80" i="2"/>
  <c r="G80" i="2"/>
  <c r="M79" i="2"/>
  <c r="L79" i="2"/>
  <c r="K79" i="2"/>
  <c r="J79" i="2"/>
  <c r="I79" i="2"/>
  <c r="H79" i="2"/>
  <c r="G79" i="2"/>
  <c r="M78" i="2"/>
  <c r="L78" i="2"/>
  <c r="K78" i="2"/>
  <c r="J78" i="2"/>
  <c r="I78" i="2"/>
  <c r="M77" i="2"/>
  <c r="L77" i="2"/>
  <c r="K77" i="2"/>
  <c r="J77" i="2"/>
  <c r="I77" i="2"/>
  <c r="M76" i="2"/>
  <c r="L76" i="2"/>
  <c r="K76" i="2"/>
  <c r="J76" i="2"/>
  <c r="M75" i="2"/>
  <c r="L75" i="2"/>
  <c r="K75" i="2"/>
  <c r="J75" i="2"/>
  <c r="D75" i="2"/>
  <c r="M74" i="2"/>
  <c r="L74" i="2"/>
  <c r="K74" i="2"/>
  <c r="J74" i="2"/>
  <c r="D74" i="2"/>
  <c r="M73" i="2"/>
  <c r="L73" i="2"/>
  <c r="K73" i="2"/>
  <c r="E73" i="2"/>
  <c r="D73" i="2"/>
  <c r="M72" i="2"/>
  <c r="L72" i="2"/>
  <c r="K72" i="2"/>
  <c r="E72" i="2"/>
  <c r="D72" i="2"/>
  <c r="M71" i="2"/>
  <c r="L71" i="2"/>
  <c r="F71" i="2"/>
  <c r="E71" i="2"/>
  <c r="D71" i="2"/>
  <c r="M70" i="2"/>
  <c r="L70" i="2"/>
  <c r="F70" i="2"/>
  <c r="E70" i="2"/>
  <c r="D70" i="2"/>
  <c r="M69" i="2"/>
  <c r="L69" i="2"/>
  <c r="G69" i="2"/>
  <c r="F69" i="2"/>
  <c r="E69" i="2"/>
  <c r="D69" i="2"/>
  <c r="M68" i="2"/>
  <c r="H68" i="2"/>
  <c r="G68" i="2"/>
  <c r="F68" i="2"/>
  <c r="E68" i="2"/>
  <c r="D68" i="2"/>
  <c r="M67" i="2"/>
  <c r="H67" i="2"/>
  <c r="G67" i="2"/>
  <c r="F67" i="2"/>
  <c r="E67" i="2"/>
  <c r="D67" i="2"/>
  <c r="I66" i="2"/>
  <c r="H66" i="2"/>
  <c r="G66" i="2"/>
  <c r="F66" i="2"/>
  <c r="E66" i="2"/>
  <c r="D66" i="2"/>
  <c r="I65" i="2"/>
  <c r="H65" i="2"/>
  <c r="G65" i="2"/>
  <c r="F65" i="2"/>
  <c r="E65" i="2"/>
  <c r="D65" i="2"/>
  <c r="J64" i="2"/>
  <c r="I64" i="2"/>
  <c r="H64" i="2"/>
  <c r="G64" i="2"/>
  <c r="F64" i="2"/>
  <c r="E64" i="2"/>
  <c r="D64" i="2"/>
  <c r="J63" i="2"/>
  <c r="I63" i="2"/>
  <c r="H63" i="2"/>
  <c r="G63" i="2"/>
  <c r="F63" i="2"/>
  <c r="E63" i="2"/>
  <c r="D63" i="2"/>
  <c r="K62" i="2"/>
  <c r="J62" i="2"/>
  <c r="I62" i="2"/>
  <c r="H62" i="2"/>
  <c r="G62" i="2"/>
  <c r="F62" i="2"/>
  <c r="E62" i="2"/>
  <c r="D62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M59" i="2"/>
  <c r="M63" i="2" s="1"/>
  <c r="L59" i="2"/>
  <c r="L68" i="2" s="1"/>
  <c r="K59" i="2"/>
  <c r="K71" i="2" s="1"/>
  <c r="J59" i="2"/>
  <c r="J70" i="2" s="1"/>
  <c r="I59" i="2"/>
  <c r="I74" i="2" s="1"/>
  <c r="H59" i="2"/>
  <c r="H75" i="2" s="1"/>
  <c r="H119" i="2" s="1"/>
  <c r="G59" i="2"/>
  <c r="G75" i="2" s="1"/>
  <c r="G119" i="2" s="1"/>
  <c r="F59" i="2"/>
  <c r="F80" i="2" s="1"/>
  <c r="F124" i="2" s="1"/>
  <c r="E59" i="2"/>
  <c r="E79" i="2" s="1"/>
  <c r="E123" i="2" s="1"/>
  <c r="D59" i="2"/>
  <c r="D81" i="2" s="1"/>
  <c r="D125" i="2" s="1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C11" i="2"/>
  <c r="C8" i="2"/>
  <c r="C9" i="2" s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E68" i="1" s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E49" i="1" s="1"/>
  <c r="B49" i="1"/>
  <c r="C48" i="1"/>
  <c r="B48" i="1"/>
  <c r="C47" i="1"/>
  <c r="B47" i="1"/>
  <c r="C46" i="1"/>
  <c r="B46" i="1"/>
  <c r="C45" i="1"/>
  <c r="B45" i="1"/>
  <c r="C10" i="2"/>
  <c r="B16" i="1"/>
  <c r="B15" i="1"/>
  <c r="B13" i="1"/>
  <c r="A287" i="2"/>
  <c r="B287" i="2" s="1"/>
  <c r="A286" i="2"/>
  <c r="B286" i="2" s="1"/>
  <c r="A285" i="2"/>
  <c r="B285" i="2" s="1"/>
  <c r="D283" i="2"/>
  <c r="C283" i="2"/>
  <c r="B281" i="2"/>
  <c r="B280" i="2"/>
  <c r="B279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153" i="2"/>
  <c r="H139" i="2"/>
  <c r="G139" i="2"/>
  <c r="F139" i="2"/>
  <c r="E139" i="2"/>
  <c r="D139" i="2"/>
  <c r="H138" i="2"/>
  <c r="G138" i="2"/>
  <c r="F138" i="2"/>
  <c r="E138" i="2"/>
  <c r="D138" i="2"/>
  <c r="H137" i="2"/>
  <c r="G137" i="2"/>
  <c r="F137" i="2"/>
  <c r="E137" i="2"/>
  <c r="D137" i="2"/>
  <c r="H136" i="2"/>
  <c r="G136" i="2"/>
  <c r="F136" i="2"/>
  <c r="E136" i="2"/>
  <c r="D136" i="2"/>
  <c r="H135" i="2"/>
  <c r="G135" i="2"/>
  <c r="F135" i="2"/>
  <c r="E135" i="2"/>
  <c r="D135" i="2"/>
  <c r="H134" i="2"/>
  <c r="G134" i="2"/>
  <c r="F134" i="2"/>
  <c r="E134" i="2"/>
  <c r="D134" i="2"/>
  <c r="H133" i="2"/>
  <c r="G133" i="2"/>
  <c r="F133" i="2"/>
  <c r="E133" i="2"/>
  <c r="D133" i="2"/>
  <c r="H132" i="2"/>
  <c r="G132" i="2"/>
  <c r="F132" i="2"/>
  <c r="E132" i="2"/>
  <c r="D132" i="2"/>
  <c r="H131" i="2"/>
  <c r="G131" i="2"/>
  <c r="F131" i="2"/>
  <c r="E131" i="2"/>
  <c r="D131" i="2"/>
  <c r="H130" i="2"/>
  <c r="G130" i="2"/>
  <c r="F130" i="2"/>
  <c r="E130" i="2"/>
  <c r="D130" i="2"/>
  <c r="H129" i="2"/>
  <c r="G129" i="2"/>
  <c r="F129" i="2"/>
  <c r="E129" i="2"/>
  <c r="H128" i="2"/>
  <c r="G128" i="2"/>
  <c r="F128" i="2"/>
  <c r="E128" i="2"/>
  <c r="H127" i="2"/>
  <c r="G127" i="2"/>
  <c r="F127" i="2"/>
  <c r="H126" i="2"/>
  <c r="G126" i="2"/>
  <c r="F126" i="2"/>
  <c r="H125" i="2"/>
  <c r="G125" i="2"/>
  <c r="H124" i="2"/>
  <c r="G124" i="2"/>
  <c r="H123" i="2"/>
  <c r="G123" i="2"/>
  <c r="D119" i="2"/>
  <c r="D118" i="2"/>
  <c r="E117" i="2"/>
  <c r="D117" i="2"/>
  <c r="E116" i="2"/>
  <c r="D116" i="2"/>
  <c r="F115" i="2"/>
  <c r="E115" i="2"/>
  <c r="D115" i="2"/>
  <c r="F114" i="2"/>
  <c r="E114" i="2"/>
  <c r="D114" i="2"/>
  <c r="G113" i="2"/>
  <c r="F113" i="2"/>
  <c r="E113" i="2"/>
  <c r="D113" i="2"/>
  <c r="H112" i="2"/>
  <c r="G112" i="2"/>
  <c r="F112" i="2"/>
  <c r="E112" i="2"/>
  <c r="D112" i="2"/>
  <c r="H111" i="2"/>
  <c r="G111" i="2"/>
  <c r="F111" i="2"/>
  <c r="E111" i="2"/>
  <c r="D111" i="2"/>
  <c r="H110" i="2"/>
  <c r="G110" i="2"/>
  <c r="F110" i="2"/>
  <c r="E110" i="2"/>
  <c r="D110" i="2"/>
  <c r="H109" i="2"/>
  <c r="G109" i="2"/>
  <c r="F109" i="2"/>
  <c r="E109" i="2"/>
  <c r="D109" i="2"/>
  <c r="H108" i="2"/>
  <c r="G108" i="2"/>
  <c r="F108" i="2"/>
  <c r="E108" i="2"/>
  <c r="D108" i="2"/>
  <c r="H107" i="2"/>
  <c r="G107" i="2"/>
  <c r="F107" i="2"/>
  <c r="E107" i="2"/>
  <c r="D107" i="2"/>
  <c r="H106" i="2"/>
  <c r="G106" i="2"/>
  <c r="F106" i="2"/>
  <c r="E106" i="2"/>
  <c r="D106" i="2"/>
  <c r="H105" i="2"/>
  <c r="G105" i="2"/>
  <c r="F105" i="2"/>
  <c r="E105" i="2"/>
  <c r="D105" i="2"/>
  <c r="H104" i="2"/>
  <c r="G104" i="2"/>
  <c r="F104" i="2"/>
  <c r="E104" i="2"/>
  <c r="D104" i="2"/>
  <c r="O13" i="2"/>
  <c r="O204" i="2" s="1"/>
  <c r="N13" i="2"/>
  <c r="N204" i="2" s="1"/>
  <c r="M13" i="2"/>
  <c r="M204" i="2" s="1"/>
  <c r="L13" i="2"/>
  <c r="L204" i="2" s="1"/>
  <c r="J13" i="2"/>
  <c r="J204" i="2" s="1"/>
  <c r="I13" i="2"/>
  <c r="I204" i="2" s="1"/>
  <c r="H13" i="2"/>
  <c r="H204" i="2" s="1"/>
  <c r="G13" i="2"/>
  <c r="G204" i="2" s="1"/>
  <c r="E13" i="2"/>
  <c r="E204" i="2" s="1"/>
  <c r="D13" i="2"/>
  <c r="D204" i="2" s="1"/>
  <c r="E9" i="2"/>
  <c r="E57" i="1" l="1"/>
  <c r="E48" i="1"/>
  <c r="E52" i="1"/>
  <c r="E56" i="1"/>
  <c r="E60" i="1"/>
  <c r="E64" i="1"/>
  <c r="E72" i="1"/>
  <c r="E65" i="1"/>
  <c r="E73" i="1"/>
  <c r="E50" i="1"/>
  <c r="E66" i="1"/>
  <c r="E58" i="1"/>
  <c r="E74" i="1"/>
  <c r="E45" i="1"/>
  <c r="E53" i="1"/>
  <c r="E61" i="1"/>
  <c r="E69" i="1"/>
  <c r="E77" i="1"/>
  <c r="E75" i="1"/>
  <c r="E76" i="1"/>
  <c r="E59" i="1"/>
  <c r="E51" i="1"/>
  <c r="E67" i="1"/>
  <c r="H206" i="2"/>
  <c r="H205" i="2"/>
  <c r="C280" i="2"/>
  <c r="E153" i="2"/>
  <c r="E80" i="1"/>
  <c r="E79" i="1"/>
  <c r="E71" i="1"/>
  <c r="E47" i="1"/>
  <c r="E63" i="1"/>
  <c r="E10" i="2"/>
  <c r="E55" i="1"/>
  <c r="E46" i="1"/>
  <c r="E54" i="1"/>
  <c r="E62" i="1"/>
  <c r="E70" i="1"/>
  <c r="E78" i="1"/>
  <c r="O231" i="2"/>
  <c r="E161" i="2"/>
  <c r="H234" i="2"/>
  <c r="N231" i="2"/>
  <c r="E156" i="2"/>
  <c r="E160" i="2"/>
  <c r="D279" i="2"/>
  <c r="D285" i="2" s="1"/>
  <c r="F231" i="2"/>
  <c r="H232" i="2"/>
  <c r="K231" i="2"/>
  <c r="E157" i="2"/>
  <c r="B266" i="2"/>
  <c r="D266" i="2" s="1"/>
  <c r="M60" i="2"/>
  <c r="J233" i="2"/>
  <c r="K233" i="2"/>
  <c r="H72" i="2"/>
  <c r="H116" i="2" s="1"/>
  <c r="M233" i="2"/>
  <c r="E233" i="2"/>
  <c r="N233" i="2"/>
  <c r="F233" i="2"/>
  <c r="O233" i="2"/>
  <c r="E158" i="2"/>
  <c r="G233" i="2"/>
  <c r="H233" i="2"/>
  <c r="I233" i="2"/>
  <c r="E80" i="2"/>
  <c r="E124" i="2" s="1"/>
  <c r="E81" i="2"/>
  <c r="E125" i="2" s="1"/>
  <c r="D82" i="2"/>
  <c r="D126" i="2" s="1"/>
  <c r="N234" i="2"/>
  <c r="B264" i="2"/>
  <c r="D264" i="2" s="1"/>
  <c r="L61" i="2"/>
  <c r="E82" i="2"/>
  <c r="E126" i="2" s="1"/>
  <c r="G231" i="2"/>
  <c r="B268" i="2"/>
  <c r="D268" i="2" s="1"/>
  <c r="M61" i="2"/>
  <c r="K65" i="2"/>
  <c r="E74" i="2"/>
  <c r="E118" i="2" s="1"/>
  <c r="D78" i="2"/>
  <c r="D122" i="2" s="1"/>
  <c r="D83" i="2"/>
  <c r="D127" i="2" s="1"/>
  <c r="H231" i="2"/>
  <c r="D280" i="2"/>
  <c r="D286" i="2" s="1"/>
  <c r="L62" i="2"/>
  <c r="M64" i="2"/>
  <c r="L65" i="2"/>
  <c r="K66" i="2"/>
  <c r="E77" i="2"/>
  <c r="E121" i="2" s="1"/>
  <c r="E78" i="2"/>
  <c r="E122" i="2" s="1"/>
  <c r="J231" i="2"/>
  <c r="B267" i="2"/>
  <c r="D267" i="2" s="1"/>
  <c r="D281" i="2"/>
  <c r="D287" i="2" s="1"/>
  <c r="M62" i="2"/>
  <c r="M65" i="2"/>
  <c r="L66" i="2"/>
  <c r="K70" i="2"/>
  <c r="E76" i="2"/>
  <c r="E120" i="2" s="1"/>
  <c r="F77" i="2"/>
  <c r="F121" i="2" s="1"/>
  <c r="D85" i="2"/>
  <c r="D129" i="2" s="1"/>
  <c r="M66" i="2"/>
  <c r="F73" i="2"/>
  <c r="F117" i="2" s="1"/>
  <c r="G76" i="2"/>
  <c r="G120" i="2" s="1"/>
  <c r="L231" i="2"/>
  <c r="D233" i="2"/>
  <c r="B269" i="2"/>
  <c r="D269" i="2" s="1"/>
  <c r="K69" i="2"/>
  <c r="G72" i="2"/>
  <c r="G116" i="2" s="1"/>
  <c r="H76" i="2"/>
  <c r="H120" i="2" s="1"/>
  <c r="M231" i="2"/>
  <c r="E162" i="2"/>
  <c r="E154" i="2"/>
  <c r="E155" i="2"/>
  <c r="C279" i="2"/>
  <c r="C285" i="2" s="1"/>
  <c r="B270" i="2"/>
  <c r="D270" i="2" s="1"/>
  <c r="I71" i="2"/>
  <c r="K67" i="2"/>
  <c r="I72" i="2"/>
  <c r="B37" i="1"/>
  <c r="L63" i="2"/>
  <c r="L67" i="2"/>
  <c r="J68" i="2"/>
  <c r="H69" i="2"/>
  <c r="H113" i="2" s="1"/>
  <c r="J72" i="2"/>
  <c r="H73" i="2"/>
  <c r="H117" i="2" s="1"/>
  <c r="F74" i="2"/>
  <c r="F118" i="2" s="1"/>
  <c r="H77" i="2"/>
  <c r="F78" i="2"/>
  <c r="F122" i="2" s="1"/>
  <c r="D79" i="2"/>
  <c r="D123" i="2" s="1"/>
  <c r="E83" i="2"/>
  <c r="E127" i="2" s="1"/>
  <c r="K234" i="2"/>
  <c r="B263" i="2"/>
  <c r="D263" i="2" s="1"/>
  <c r="C281" i="2"/>
  <c r="C287" i="2" s="1"/>
  <c r="C286" i="2"/>
  <c r="J67" i="2"/>
  <c r="J71" i="2"/>
  <c r="K63" i="2"/>
  <c r="I76" i="2"/>
  <c r="D261" i="2"/>
  <c r="K64" i="2"/>
  <c r="K68" i="2"/>
  <c r="I69" i="2"/>
  <c r="G70" i="2"/>
  <c r="G114" i="2" s="1"/>
  <c r="I73" i="2"/>
  <c r="G74" i="2"/>
  <c r="G118" i="2" s="1"/>
  <c r="E75" i="2"/>
  <c r="E119" i="2" s="1"/>
  <c r="G78" i="2"/>
  <c r="G122" i="2" s="1"/>
  <c r="D84" i="2"/>
  <c r="D128" i="2" s="1"/>
  <c r="L234" i="2"/>
  <c r="I67" i="2"/>
  <c r="I75" i="2"/>
  <c r="D259" i="2"/>
  <c r="I68" i="2"/>
  <c r="G73" i="2"/>
  <c r="G117" i="2" s="1"/>
  <c r="G77" i="2"/>
  <c r="G121" i="2" s="1"/>
  <c r="L64" i="2"/>
  <c r="J65" i="2"/>
  <c r="J69" i="2"/>
  <c r="H70" i="2"/>
  <c r="H114" i="2" s="1"/>
  <c r="J73" i="2"/>
  <c r="H74" i="2"/>
  <c r="H118" i="2" s="1"/>
  <c r="F75" i="2"/>
  <c r="F119" i="2" s="1"/>
  <c r="D76" i="2"/>
  <c r="D120" i="2" s="1"/>
  <c r="H78" i="2"/>
  <c r="F79" i="2"/>
  <c r="F123" i="2" s="1"/>
  <c r="D80" i="2"/>
  <c r="D124" i="2" s="1"/>
  <c r="M234" i="2"/>
  <c r="I70" i="2"/>
  <c r="G71" i="2"/>
  <c r="G115" i="2" s="1"/>
  <c r="J66" i="2"/>
  <c r="H71" i="2"/>
  <c r="H115" i="2" s="1"/>
  <c r="F72" i="2"/>
  <c r="F116" i="2" s="1"/>
  <c r="F76" i="2"/>
  <c r="F120" i="2" s="1"/>
  <c r="D77" i="2"/>
  <c r="D121" i="2" s="1"/>
  <c r="B40" i="1" l="1"/>
  <c r="C45" i="2" s="1"/>
  <c r="B38" i="1"/>
  <c r="E163" i="2"/>
  <c r="E6" i="2"/>
  <c r="C6" i="2"/>
  <c r="B14" i="1"/>
  <c r="D45" i="1" l="1"/>
  <c r="C16" i="2"/>
  <c r="C22" i="2"/>
  <c r="D74" i="1"/>
  <c r="D64" i="1"/>
  <c r="C24" i="2"/>
  <c r="D75" i="1"/>
  <c r="C48" i="2"/>
  <c r="C26" i="2"/>
  <c r="C35" i="2"/>
  <c r="C43" i="2"/>
  <c r="C12" i="2"/>
  <c r="C13" i="2" s="1"/>
  <c r="D46" i="1"/>
  <c r="C49" i="2"/>
  <c r="C7" i="2"/>
  <c r="C27" i="2"/>
  <c r="C38" i="2"/>
  <c r="C28" i="2"/>
  <c r="C21" i="2"/>
  <c r="D47" i="1"/>
  <c r="C39" i="2"/>
  <c r="D53" i="1"/>
  <c r="D62" i="1"/>
  <c r="C32" i="2"/>
  <c r="D69" i="1"/>
  <c r="B41" i="1"/>
  <c r="B42" i="1" s="1"/>
  <c r="C34" i="2"/>
  <c r="C25" i="2"/>
  <c r="D55" i="1"/>
  <c r="C17" i="2"/>
  <c r="C47" i="2"/>
  <c r="D70" i="1"/>
  <c r="C36" i="2"/>
  <c r="D49" i="1"/>
  <c r="C29" i="2"/>
  <c r="C30" i="2"/>
  <c r="D59" i="1"/>
  <c r="C19" i="2"/>
  <c r="D78" i="1"/>
  <c r="C40" i="2"/>
  <c r="D48" i="1"/>
  <c r="D57" i="1"/>
  <c r="D52" i="1"/>
  <c r="C33" i="2"/>
  <c r="D71" i="1"/>
  <c r="D54" i="1"/>
  <c r="C42" i="2"/>
  <c r="C18" i="2"/>
  <c r="D50" i="1"/>
  <c r="D51" i="1"/>
  <c r="D56" i="1"/>
  <c r="D77" i="1"/>
  <c r="C50" i="2"/>
  <c r="D63" i="1"/>
  <c r="C46" i="2"/>
  <c r="D67" i="1"/>
  <c r="C31" i="2"/>
  <c r="C44" i="2"/>
  <c r="D72" i="1"/>
  <c r="D65" i="1"/>
  <c r="D60" i="1"/>
  <c r="C37" i="2"/>
  <c r="D79" i="1"/>
  <c r="D80" i="1"/>
  <c r="D73" i="1"/>
  <c r="D68" i="1"/>
  <c r="C41" i="2"/>
  <c r="D61" i="1"/>
  <c r="C51" i="2"/>
  <c r="C20" i="2"/>
  <c r="D58" i="1"/>
  <c r="C23" i="2"/>
  <c r="D66" i="1"/>
  <c r="D7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<sst xmlns="http://schemas.openxmlformats.org/spreadsheetml/2006/main" count="790" uniqueCount="307">
  <si>
    <t>Schmidt-Appleman-Criterion (SAC)</t>
  </si>
  <si>
    <t>https://purl.org/aero/SAC</t>
  </si>
  <si>
    <t>Magnus-Equation</t>
  </si>
  <si>
    <t>a_w</t>
  </si>
  <si>
    <t>Pa</t>
  </si>
  <si>
    <t>b_w</t>
  </si>
  <si>
    <t>c_w</t>
  </si>
  <si>
    <t>°C</t>
  </si>
  <si>
    <t>a_i</t>
  </si>
  <si>
    <t>b_i</t>
  </si>
  <si>
    <t>c_i</t>
  </si>
  <si>
    <t>https://de.wikipedia.org/wiki/Sättigungsdampfdruck#Berechnung_des_Sättigungsdampfdrucks_von_Wasser_über_die_Magnus-Formel</t>
  </si>
  <si>
    <t>https://en.wikipedia.org/wiki/Vapour_pressure_of_water</t>
  </si>
  <si>
    <t>contains also alternative equations</t>
  </si>
  <si>
    <t>t</t>
  </si>
  <si>
    <t>No contrail above this temperatur</t>
  </si>
  <si>
    <t>E_w'</t>
  </si>
  <si>
    <t>Pa/°C</t>
  </si>
  <si>
    <t>E_w' - G</t>
  </si>
  <si>
    <t>&lt;= drive to Zero with the Solver (settings on the right)</t>
  </si>
  <si>
    <t>= a_w*b_w*c_w*EXP(b_w*t/(c_w+t))/(c_w+t)^2-G</t>
  </si>
  <si>
    <t>E_w</t>
  </si>
  <si>
    <t>= a_w*EXP(b_w*t/(c_w+t))</t>
  </si>
  <si>
    <t>E_i</t>
  </si>
  <si>
    <t>= a_i*EXP(b_i*t/(c_i+t))</t>
  </si>
  <si>
    <t>L</t>
  </si>
  <si>
    <t>°C/ft</t>
  </si>
  <si>
    <t>t_0</t>
  </si>
  <si>
    <t>k_a</t>
  </si>
  <si>
    <t>1/ft</t>
  </si>
  <si>
    <t>Constants of the ISA, Scholz</t>
  </si>
  <si>
    <t>k_b</t>
  </si>
  <si>
    <t>k_exp</t>
  </si>
  <si>
    <t>H_T</t>
  </si>
  <si>
    <t>ft</t>
  </si>
  <si>
    <t>p_0</t>
  </si>
  <si>
    <t>p_T</t>
  </si>
  <si>
    <t>H</t>
  </si>
  <si>
    <t>Input of the flight altitude</t>
  </si>
  <si>
    <t>p</t>
  </si>
  <si>
    <t>Pressure from the ISA, Scholz</t>
  </si>
  <si>
    <t>= WENN(H&lt;H_T;p_0*(1-k_a*H)^k_exp;p_T*EXP(-k_b*(H-H_T)))</t>
  </si>
  <si>
    <t>EI_H2O</t>
  </si>
  <si>
    <t>c_p</t>
  </si>
  <si>
    <t>J/(kgK)</t>
  </si>
  <si>
    <t>eps</t>
  </si>
  <si>
    <t>GIERENS, Klaus, et al.,2008. A Review of Various Strategies for Contrail Avoidance. In: OASC, vol.2, pp. 1-7.</t>
  </si>
  <si>
    <t>Q</t>
  </si>
  <si>
    <t>J/kg</t>
  </si>
  <si>
    <t>https://doi.org/10.2174/1874282300802010001</t>
  </si>
  <si>
    <t>eta</t>
  </si>
  <si>
    <t>G</t>
  </si>
  <si>
    <t>= EI_H2O*p*c_p/(eps*Q*(1-eta))</t>
  </si>
  <si>
    <t>G0</t>
  </si>
  <si>
    <t>= E_w-G*t</t>
  </si>
  <si>
    <t>f(t)</t>
  </si>
  <si>
    <t>= G*t+G0</t>
  </si>
  <si>
    <t>f(t)=E_w(t) ?</t>
  </si>
  <si>
    <t>G*t+G0</t>
  </si>
  <si>
    <t>phi = E_i/E_w</t>
  </si>
  <si>
    <t>This according to:</t>
  </si>
  <si>
    <t>1.) Enter altitude, H in tab "SAC" and operate Solver (e.g. for a calculation of a new altitude)</t>
  </si>
  <si>
    <t>2.) Copy new colum "C" into the column to the right to safe for later</t>
  </si>
  <si>
    <t>m</t>
  </si>
  <si>
    <t>t_SAC,100</t>
  </si>
  <si>
    <t>t_SAC,0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</si>
  <si>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</si>
  <si>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phi</t>
  </si>
  <si>
    <t>Diagram for typical kerosine aircraft</t>
  </si>
  <si>
    <t>n.a.</t>
  </si>
  <si>
    <t xml:space="preserve">EI_H2O and Q for Kerosine </t>
  </si>
  <si>
    <t>Schmidt-Appleman-Diagram from Approximate Equation</t>
  </si>
  <si>
    <r>
      <t>phi = 1 - (1/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 xml:space="preserve">t,tot(H)^b_t)*((H - b_H)/a_H - t)^b_t     with    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 = a_tot*H + b_tot</t>
    </r>
  </si>
  <si>
    <t>H, ft</t>
  </si>
  <si>
    <t>t, °C</t>
  </si>
  <si>
    <t xml:space="preserve">    calculated: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</si>
  <si>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</t>
    </r>
  </si>
  <si>
    <t>Error of the Schmidt-Appleman-Diagram from Approximate Equation</t>
  </si>
  <si>
    <t>The Approximate Equation was calculated for a typical altitude of 40000 ft. Errors occur for lower relative humidity (towards 0%) at high and low altitudes.</t>
  </si>
  <si>
    <t>Calculation of the Approximate Equation for the Schmidt-Appleman-Diagram</t>
  </si>
  <si>
    <t>Calculate the correction that has to be applied to get from phi = 100% to the actual phi at temperatures lower than t_SAC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</si>
  <si>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t_tot:</t>
    </r>
  </si>
  <si>
    <t>valid for 40000 ft or "40k"</t>
  </si>
  <si>
    <t xml:space="preserve">a_t =  </t>
  </si>
  <si>
    <t>a_t: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</si>
  <si>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 9,246 °C</t>
    </r>
  </si>
  <si>
    <t xml:space="preserve">b_t =  </t>
  </si>
  <si>
    <t>Delta t, °C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</si>
  <si>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</si>
  <si>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error^2</t>
  </si>
  <si>
    <t>sum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</si>
  <si>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t^b_t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</si>
  <si>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1) =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</si>
  <si>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</t>
    </r>
  </si>
  <si>
    <r>
      <t xml:space="preserve">General equation with modified a_t(H) from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t_tot(H):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</si>
  <si>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a_tot*H + b_tot</t>
    </r>
  </si>
  <si>
    <t>see below</t>
  </si>
  <si>
    <r>
      <t>a_t(H) = 1/(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t_tot(H)^b_t)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</si>
  <si>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a_t(H)*((H - b_H)/a_H - t)^b_t</t>
    </r>
  </si>
  <si>
    <t>see above</t>
  </si>
  <si>
    <r>
      <t xml:space="preserve">phi = 1 -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</si>
  <si>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Important for the approximate equation for the Schmidt-Appleman-Diagram:</t>
  </si>
  <si>
    <t>H_SAC = f (t_SAC), to answer the question: "At what altitude do contrails start to form depending on temperature?"</t>
  </si>
  <si>
    <t>t_SAC</t>
  </si>
  <si>
    <t>a_H</t>
  </si>
  <si>
    <t>ft/°C</t>
  </si>
  <si>
    <t>b_H</t>
  </si>
  <si>
    <t>With the above, we obtain an equation:</t>
  </si>
  <si>
    <t>phi = 1 - a_t*(((H - b_H)*1/a_H) - t)^b_t</t>
  </si>
  <si>
    <t>This means for a relative humidity larger than phi, we will have a contrail.</t>
  </si>
  <si>
    <t>H_SAC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</si>
  <si>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from SAD</t>
    </r>
  </si>
  <si>
    <t>a_tot</t>
  </si>
  <si>
    <t>b_tot</t>
  </si>
  <si>
    <t>Evaluating and Planning Flights for Contrail Avoidance</t>
  </si>
  <si>
    <t>t_SAC = f ( H_SAC), to answer the question: "At what temperature do contrails start (and end) to form depending on altitude?"</t>
  </si>
  <si>
    <r>
      <t xml:space="preserve">average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</si>
  <si>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t_ICAO,H_T=36089 ft</t>
  </si>
  <si>
    <t>t_ICAO,H_T,pole</t>
  </si>
  <si>
    <t>t_ICAO,H_T,lat,tropo</t>
  </si>
  <si>
    <t>t_ICAO,H_T,lat,strato</t>
  </si>
  <si>
    <t>t_ICAO, H_T,equator</t>
  </si>
  <si>
    <t>m/ft</t>
  </si>
  <si>
    <t>t_0,lat</t>
  </si>
  <si>
    <t>H_T,pole</t>
  </si>
  <si>
    <t>km</t>
  </si>
  <si>
    <t>H_T,lat</t>
  </si>
  <si>
    <t>H_T,equator</t>
  </si>
  <si>
    <t>t_T,pole</t>
  </si>
  <si>
    <t>t_T</t>
  </si>
  <si>
    <t>t_T,lat</t>
  </si>
  <si>
    <t>t_T,equator</t>
  </si>
  <si>
    <t>L_SAC,0</t>
  </si>
  <si>
    <t>L_SAC,100</t>
  </si>
  <si>
    <t>t_SAC,0,0</t>
  </si>
  <si>
    <t>t_SAC,0,100</t>
  </si>
  <si>
    <t>t_SAC,100 = t_SAC,0,100 - L_SAC,100*H</t>
  </si>
  <si>
    <t>t_SAC,0 = t_SAC,0,0 - L_SAC,0*H</t>
  </si>
  <si>
    <t>Calculating Possible Intersections of t_SAC and t_atmosphere</t>
  </si>
  <si>
    <t>Troposphere:</t>
  </si>
  <si>
    <t>Flight Level, FL:</t>
  </si>
  <si>
    <t>H_SAC,100</t>
  </si>
  <si>
    <t>H_SAC,lat,100</t>
  </si>
  <si>
    <t>H_SAC,0</t>
  </si>
  <si>
    <t>H_SAC,lat,0</t>
  </si>
  <si>
    <t>Stratosphere:</t>
  </si>
  <si>
    <t>H_SAC,pole,0</t>
  </si>
  <si>
    <t>H_SAC,pole,100</t>
  </si>
  <si>
    <t>H_SAC,ICAO,0</t>
  </si>
  <si>
    <t>H_SAC,ICAO,100</t>
  </si>
  <si>
    <t>H_SAC,equator,0</t>
  </si>
  <si>
    <t>H_SAC,equator,100</t>
  </si>
  <si>
    <t>Calculating a SAD with Lines of Equal Relative Humidity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</si>
  <si>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</t>
    </r>
  </si>
  <si>
    <t>a_t(H)</t>
  </si>
  <si>
    <t>1/°C</t>
  </si>
  <si>
    <t>phi:</t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</si>
  <si>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2"/>
      </rPr>
      <t>phi:</t>
    </r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</si>
  <si>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1"/>
        <charset val="2"/>
      </rPr>
      <t>t:</t>
    </r>
  </si>
  <si>
    <t>t:</t>
  </si>
  <si>
    <t xml:space="preserve">   H_SAC = a_H*t _SAC+ b_H</t>
  </si>
  <si>
    <t>drive sum to min. with solver (setting on the right)</t>
  </si>
  <si>
    <t>a_lat</t>
  </si>
  <si>
    <t>b_lat</t>
  </si>
  <si>
    <t>h_measured</t>
  </si>
  <si>
    <t>H_T calc</t>
  </si>
  <si>
    <t>latitude, B</t>
  </si>
  <si>
    <t>H_T = a_lat*(1-(COS(2*B)))+b_lat</t>
  </si>
  <si>
    <t>deg</t>
  </si>
  <si>
    <t>Latitude, B</t>
  </si>
  <si>
    <t>H_T,lat(B)</t>
  </si>
  <si>
    <t>https://doi.org/10.1175/1520-0493(1999)127%3C2248:THAWAT%3E2.0.CO;2</t>
  </si>
  <si>
    <t>Figure 1</t>
  </si>
  <si>
    <t>GEERTS, B., LINACRE, E., 1997: The height of the tropopause. University of Wyoming, Department of Atmospheric Science.</t>
  </si>
  <si>
    <t>http://www-das.uwyo.edu/~geerts/cwx/notes/chap01/tropo.html</t>
  </si>
  <si>
    <t>https://perma.cc/42TC-K7EF</t>
  </si>
  <si>
    <t>H_T,amplitude</t>
  </si>
  <si>
    <t>standard values</t>
  </si>
  <si>
    <t>deg  (Hamburg)</t>
  </si>
  <si>
    <t>Mean height z (km) of the global tropopause (1979–93; 1200 UTC): annual mean</t>
  </si>
  <si>
    <t>[(a), all], northern summer [(b), JJA], and northern winter [(c), DJF]. The height increment is 500 m.</t>
  </si>
  <si>
    <t>Klaus P. Hoinka, 1999. Temperature, Humidity, and Wind at the Global Tropopause. In: Monthly Weather Review, Vol. 127 (1999), No. 10, pp. 2248–2265.</t>
  </si>
  <si>
    <t>Literature Review: Relative Humidity, RH</t>
  </si>
  <si>
    <t>Shading in the relative humidity field indicates 0%–10% (none), 10%–20% (weak), 20%–30% (moderate), 30%–40% (strong), and greater than 40% (very strong).</t>
  </si>
  <si>
    <t>Figure 8</t>
  </si>
  <si>
    <r>
      <t xml:space="preserve">Mean annual </t>
    </r>
    <r>
      <rPr>
        <b/>
        <sz val="11"/>
        <color rgb="FF000000"/>
        <rFont val="Calibri"/>
        <family val="2"/>
      </rPr>
      <t>rh (%)</t>
    </r>
    <r>
      <rPr>
        <sz val="11"/>
        <color rgb="FF000000"/>
        <rFont val="Calibri"/>
        <family val="2"/>
      </rPr>
      <t xml:space="preserve"> at the global </t>
    </r>
    <r>
      <rPr>
        <b/>
        <sz val="11"/>
        <color rgb="FF000000"/>
        <rFont val="Calibri"/>
        <family val="2"/>
      </rPr>
      <t>tropopause</t>
    </r>
    <r>
      <rPr>
        <sz val="11"/>
        <color rgb="FF000000"/>
        <rFont val="Calibri"/>
        <family val="2"/>
      </rPr>
      <t xml:space="preserve"> (1979–93; 1200 UTC). The increment is 5%.</t>
    </r>
  </si>
  <si>
    <t>Zonally averaged, nonsaturated, latitude–height distributions of RH for (left) January and (right) July in (top to bottom) 2003, 2007, and 2011.</t>
  </si>
  <si>
    <t>The colored RH (%) shadings of 10, 30, 60, 80, 90, 100 are displayed and RH is only plotted for good-quality data (QC = 0, 1).</t>
  </si>
  <si>
    <t>White areas indicate that there are no retrievals of this quality or the RH &lt; 10%.</t>
  </si>
  <si>
    <t>Figure 2</t>
  </si>
  <si>
    <t>In all cases, with a slight exception of January 2011, the minimum RH is reached at 300 hPa.</t>
  </si>
  <si>
    <t>Figure 4</t>
  </si>
  <si>
    <t>RUZMAIKIN, Alexander, AUMANN, Hartmut H., MANNING, Evan M. , 2014. Relative Humidity in the Troposphere with AIRS . In: Journal of the Atmospheric Sciences, Vol. 71 (2014), No. 7, pp. 2516–2533.</t>
  </si>
  <si>
    <t>https://doi.org/10.1175/JAS-D-13-0363.1</t>
  </si>
  <si>
    <r>
      <t xml:space="preserve">Height vs latitude </t>
    </r>
    <r>
      <rPr>
        <b/>
        <sz val="11"/>
        <color rgb="FF000000"/>
        <rFont val="Calibri"/>
        <family val="2"/>
      </rPr>
      <t>RH climatologies</t>
    </r>
    <r>
      <rPr>
        <sz val="11"/>
        <color rgb="FF000000"/>
        <rFont val="Calibri"/>
        <family val="2"/>
      </rPr>
      <t xml:space="preserve"> of (left) January and (right) July from AIRS 11 yr of measurements (1 Sep 2002–31 Aug 2013).</t>
    </r>
  </si>
  <si>
    <r>
      <t xml:space="preserve">The </t>
    </r>
    <r>
      <rPr>
        <b/>
        <sz val="11"/>
        <color rgb="FF000000"/>
        <rFont val="Calibri"/>
        <family val="2"/>
      </rPr>
      <t>RH profiles in the tropics</t>
    </r>
    <r>
      <rPr>
        <sz val="11"/>
        <color rgb="FF000000"/>
        <rFont val="Calibri"/>
        <family val="2"/>
      </rPr>
      <t xml:space="preserve"> for (left) January and (right) July in (top to bottom) 2003, 2007, and 2011. </t>
    </r>
  </si>
  <si>
    <t>This file: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</si>
  <si>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phi_calc_8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</si>
  <si>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phi_calc_12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</si>
  <si>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phi_calc_10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</si>
  <si>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phi_calc_9,246</t>
    </r>
  </si>
  <si>
    <t>°C  (ICAO)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</si>
  <si>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(b)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</si>
  <si>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(a)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</si>
  <si>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t_SAC_0_100-t_SAC_0_0-(L_SAC_100-L_SAC_0)*H</t>
    </r>
  </si>
  <si>
    <t>from trendline</t>
  </si>
  <si>
    <t>Minimum Relative Humidity for Persistent Contrails</t>
  </si>
  <si>
    <t>title of legend</t>
  </si>
  <si>
    <t>H_T = 20000 ft</t>
  </si>
  <si>
    <t>H_T = 36089 ft</t>
  </si>
  <si>
    <t>H_T = 50000 ft</t>
  </si>
  <si>
    <t>H_T = 70000 ft</t>
  </si>
  <si>
    <t>hPa</t>
  </si>
  <si>
    <t>p(H, H_T)</t>
  </si>
  <si>
    <t>p_0 =</t>
  </si>
  <si>
    <t>Result:</t>
  </si>
  <si>
    <t>The influence of the altitude of the tropopause, H_T on the pressure is small!</t>
  </si>
  <si>
    <t>Further approach:</t>
  </si>
  <si>
    <t>even if later the SAD is evaluated for the temperatures of various other H_T.</t>
  </si>
  <si>
    <t>Checking the Influence of the Altitude of the Tropopause on Pressure</t>
  </si>
  <si>
    <t>The SAC and SAD is calculated with a standard H_T = 36089 ft,</t>
  </si>
  <si>
    <t>Constructing the Schmidt-Appleman-Diagram (SAD)</t>
  </si>
  <si>
    <t>Depending on the Latitude, B</t>
  </si>
  <si>
    <t>Calculating the Altitude of the Tropopause, H_T</t>
  </si>
  <si>
    <t>RH_min = RH_a*t + RH_b</t>
  </si>
  <si>
    <t>RH_a</t>
  </si>
  <si>
    <t>RH_b</t>
  </si>
  <si>
    <t>RH_min = E_i(t) / E_w(t)</t>
  </si>
  <si>
    <t>exact:</t>
  </si>
  <si>
    <t>approx.:</t>
  </si>
  <si>
    <t>according to Gierens (2008)</t>
  </si>
  <si>
    <t>t_Schumann</t>
  </si>
  <si>
    <t>= -46+9,43*LN(G-0,053)+0,72*(LN(G-0,053))^2</t>
  </si>
  <si>
    <t>copy from</t>
  </si>
  <si>
    <t>table above</t>
  </si>
  <si>
    <t>Data for the fuel</t>
  </si>
  <si>
    <t>Kerosine:</t>
  </si>
  <si>
    <t>We will have a persistent contrail, if the relative humidity is much larger than RH_min. For RH_min see Tab "SAC".</t>
  </si>
  <si>
    <t>t_Scholz</t>
  </si>
  <si>
    <t>H [ft]</t>
  </si>
  <si>
    <t>p [Pa]</t>
  </si>
  <si>
    <t>G [Pa/°C]</t>
  </si>
  <si>
    <t>t_init</t>
  </si>
  <si>
    <t>t_1 [°C]</t>
  </si>
  <si>
    <t>t_2 [°C]</t>
  </si>
  <si>
    <t>t_3 [°C]</t>
  </si>
  <si>
    <t>t_4 [°C]</t>
  </si>
  <si>
    <t>ln(G)</t>
  </si>
  <si>
    <t>t_SLZ [°C]</t>
  </si>
  <si>
    <t>a_SLZ</t>
  </si>
  <si>
    <t>b_SLZ</t>
  </si>
  <si>
    <t>c_SLZ</t>
  </si>
  <si>
    <t>W(x) =</t>
  </si>
  <si>
    <t>and</t>
  </si>
  <si>
    <t>x =</t>
  </si>
  <si>
    <t>https://www.had2know.org/academics/lambert-w-function-calculator.html</t>
  </si>
  <si>
    <r>
      <t xml:space="preserve">   W</t>
    </r>
    <r>
      <rPr>
        <vertAlign val="subscript"/>
        <sz val="11"/>
        <color rgb="FF000000"/>
        <rFont val="Calibri"/>
        <family val="2"/>
      </rPr>
      <t>0</t>
    </r>
  </si>
  <si>
    <r>
      <t xml:space="preserve">   W</t>
    </r>
    <r>
      <rPr>
        <vertAlign val="subscript"/>
        <sz val="11"/>
        <color rgb="FF000000"/>
        <rFont val="Calibri"/>
        <family val="2"/>
      </rPr>
      <t>-1</t>
    </r>
  </si>
  <si>
    <t>Approximate-Analytical Solution</t>
  </si>
  <si>
    <t>t = t_SAC =</t>
  </si>
  <si>
    <t>-0.5*WURZEL(b_w*c_w*G/(a_w*EXP(b_w)))</t>
  </si>
  <si>
    <t>-c_w-b_w*c_w/(2*B39)</t>
  </si>
  <si>
    <t>Compare with online calculator (e.g.):</t>
  </si>
  <si>
    <t>a_SLZ*LN(G)^2+b_SLZ*LN(G)+c_SLZ</t>
  </si>
  <si>
    <t>Analytical Solution: LambertW Function</t>
  </si>
  <si>
    <r>
      <t xml:space="preserve">      LambertW function: W</t>
    </r>
    <r>
      <rPr>
        <vertAlign val="subscript"/>
        <sz val="11"/>
        <color rgb="FF000000"/>
        <rFont val="Calibri"/>
        <family val="2"/>
      </rPr>
      <t>-1</t>
    </r>
    <r>
      <rPr>
        <sz val="11"/>
        <color rgb="FF000000"/>
        <rFont val="Calibri"/>
        <family val="2"/>
      </rPr>
      <t xml:space="preserve"> und W</t>
    </r>
    <r>
      <rPr>
        <vertAlign val="subscript"/>
        <sz val="11"/>
        <color rgb="FF000000"/>
        <rFont val="Calibri"/>
        <family val="2"/>
      </rPr>
      <t>0</t>
    </r>
    <r>
      <rPr>
        <sz val="11"/>
        <color rgb="FF000000"/>
        <rFont val="Calibri"/>
        <family val="2"/>
      </rPr>
      <t xml:space="preserve">. Stephan Kulla, CC BY </t>
    </r>
  </si>
  <si>
    <r>
      <rPr>
        <sz val="11"/>
        <color rgb="FF0563C1"/>
        <rFont val="Calibri"/>
        <family val="2"/>
      </rPr>
      <t xml:space="preserve">     </t>
    </r>
    <r>
      <rPr>
        <u/>
        <sz val="11"/>
        <color rgb="FF0563C1"/>
        <rFont val="Calibri"/>
        <family val="2"/>
      </rPr>
      <t xml:space="preserve">https://commons.wikimedia.org/wiki/File:Diagram_of_the_real_branches_of_the_Lambert_W_function.png </t>
    </r>
  </si>
  <si>
    <r>
      <t>(</t>
    </r>
    <r>
      <rPr>
        <u/>
        <sz val="11"/>
        <color rgb="FF000000"/>
        <rFont val="Calibri"/>
        <family val="2"/>
      </rPr>
      <t>exact</t>
    </r>
    <r>
      <rPr>
        <sz val="11"/>
        <color rgb="FF000000"/>
        <rFont val="Calibri"/>
        <family val="2"/>
      </rPr>
      <t xml:space="preserve"> within numerical precision of the LamberW function)</t>
    </r>
  </si>
  <si>
    <t>Approximate equation from Schumann 1996 (https://elib.dlr.de/32128), Schumann 2000 (https://elib.dlr.de/9281)</t>
  </si>
  <si>
    <t>= a_SLZ*LN(G)^2+b_SLZ*LN(G)+c_SLZ</t>
  </si>
  <si>
    <t>Check of calculation must be "true"!</t>
  </si>
  <si>
    <t>with t_1,  t_2,  t_3,  t_4</t>
  </si>
  <si>
    <t>Iterative Solution</t>
  </si>
  <si>
    <t>Derivation of the Approximate-Analytical Solution</t>
  </si>
  <si>
    <t>LambertW(x;-1)</t>
  </si>
  <si>
    <t>Numerical Solution (with Excel Solver)</t>
  </si>
  <si>
    <t>See Tab "SAC"</t>
  </si>
  <si>
    <t>See on Tab "t_SAC". Parameters are similar to those from Schumann.</t>
  </si>
  <si>
    <t>Function LambertW(x As Double, Optional branch As Integer = 0) As Double</t>
  </si>
  <si>
    <t xml:space="preserve">    Dim w As Double, wPrev As Double, tol As Double, i As Integer</t>
  </si>
  <si>
    <t xml:space="preserve">    tol = 0.000000000001</t>
  </si>
  <si>
    <t xml:space="preserve">    ' Initial guess</t>
  </si>
  <si>
    <t xml:space="preserve">    If branch = -1 Then</t>
  </si>
  <si>
    <t xml:space="preserve">        w = Log(-x)</t>
  </si>
  <si>
    <t xml:space="preserve">    Else</t>
  </si>
  <si>
    <t xml:space="preserve">        w = x</t>
  </si>
  <si>
    <t xml:space="preserve">    End If</t>
  </si>
  <si>
    <t xml:space="preserve">    For i = 1 To 100</t>
  </si>
  <si>
    <t xml:space="preserve">        wPrev = w</t>
  </si>
  <si>
    <t xml:space="preserve">        w = w - (w * Exp(w) - x) / ((w + 1) * Exp(w) - (w + 2) * (w * Exp(w) - x) / (2 * w + 2))</t>
  </si>
  <si>
    <t xml:space="preserve">        If Abs(w - wPrev) &lt; tol Then Exit For</t>
  </si>
  <si>
    <t xml:space="preserve">    Next i</t>
  </si>
  <si>
    <t xml:space="preserve">    LambertW = w</t>
  </si>
  <si>
    <t>End Function</t>
  </si>
  <si>
    <t>t_n+1 =</t>
  </si>
  <si>
    <t>b_w*c_w/(b_w-LN(G*(c_w+t_n)^2/(a_w*b_w*c_w)))-c_w</t>
  </si>
  <si>
    <t>t_1 =</t>
  </si>
  <si>
    <t>t_2 =</t>
  </si>
  <si>
    <t>t_3 =</t>
  </si>
  <si>
    <t>t_4 =</t>
  </si>
  <si>
    <t>t_5 =</t>
  </si>
  <si>
    <t>mit t_0 = t_ini =</t>
  </si>
  <si>
    <t>Press &lt;ALT&gt; F11 to see the LamberW-Function (only included in files of type *.xlsm)</t>
  </si>
  <si>
    <t>Calculating t_SAC for the Schmidt-Appleman-Criterion (SAC)</t>
  </si>
  <si>
    <t>*</t>
  </si>
  <si>
    <t>* #NAME?,</t>
  </si>
  <si>
    <t xml:space="preserve">   if LamberW not defined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</si>
</sst>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E+00"/>
    <numFmt numFmtId="165" formatCode="0.000"/>
    <numFmt numFmtId="166" formatCode="0.0"/>
    <numFmt numFmtId="167" formatCode="0.0%"/>
    <numFmt numFmtId="168" formatCode="0.0000"/>
    <numFmt numFmtId="169" formatCode="0.000000"/>
    <numFmt numFmtId="170" formatCode="0.0000000"/>
    <numFmt numFmtId="171" formatCode="0.000E+00"/>
  </numFmts>
  <fonts count="13"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b/>
      <sz val="14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rgb="FF000000"/>
      <name val="Calibri"/>
      <family val="1"/>
      <charset val="2"/>
    </font>
    <font>
      <u/>
      <sz val="11"/>
      <color rgb="FF000000"/>
      <name val="Symbol"/>
      <family val="1"/>
      <charset val="2"/>
    </font>
    <font>
      <sz val="11"/>
      <color rgb="FF000000"/>
      <name val="Calibri"/>
      <family val="1"/>
      <charset val="2"/>
    </font>
    <font>
      <vertAlign val="subscript"/>
      <sz val="11"/>
      <color rgb="FF000000"/>
      <name val="Calibri"/>
      <family val="2"/>
    </font>
    <font>
      <sz val="11"/>
      <color rgb="FF0563C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BFBFBF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BFBFBF"/>
      </patternFill>
    </fill>
    <fill>
      <patternFill patternType="solid">
        <fgColor rgb="FF92D050"/>
        <bgColor rgb="FFBFBFBF"/>
      </patternFill>
    </fill>
    <fill>
      <patternFill patternType="solid">
        <fgColor theme="0" tint="-0.249977111117893"/>
        <bgColor rgb="FF92D050"/>
      </patternFill>
    </fill>
    <fill>
      <patternFill patternType="solid">
        <fgColor theme="0" tint="-0.249977111117893"/>
        <bgColor rgb="FFFFFF00"/>
      </patternFill>
    </fill>
    <fill>
      <patternFill patternType="solid">
        <fgColor rgb="FF92D050"/>
        <bgColor rgb="FFFFFF00"/>
      </patternFill>
    </fill>
    <fill>
      <patternFill patternType="solid">
        <fgColor theme="0" tint="-0.249977111117893"/>
        <bgColor rgb="FFBFBFBF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33">
    <xf numFmtId="0" fontId="0" fillId="0" borderId="0" xfId="0"/>
    <xf numFmtId="0" fontId="3" fillId="2" borderId="0" xfId="0" applyFont="1" applyFill="1"/>
    <xf numFmtId="0" fontId="0" fillId="2" borderId="0" xfId="0" applyFill="1"/>
    <xf numFmtId="0" fontId="2" fillId="2" borderId="0" xfId="2" applyFill="1"/>
    <xf numFmtId="0" fontId="4" fillId="2" borderId="0" xfId="0" applyFont="1" applyFill="1"/>
    <xf numFmtId="0" fontId="4" fillId="2" borderId="1" xfId="0" applyFont="1" applyFill="1" applyBorder="1"/>
    <xf numFmtId="0" fontId="4" fillId="2" borderId="3" xfId="0" applyFont="1" applyFill="1" applyBorder="1"/>
    <xf numFmtId="165" fontId="0" fillId="2" borderId="0" xfId="0" applyNumberFormat="1" applyFill="1"/>
    <xf numFmtId="0" fontId="0" fillId="3" borderId="0" xfId="0" applyFill="1"/>
    <xf numFmtId="0" fontId="4" fillId="3" borderId="0" xfId="0" applyFont="1" applyFill="1"/>
    <xf numFmtId="2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4" fillId="4" borderId="2" xfId="0" applyFont="1" applyFill="1" applyBorder="1"/>
    <xf numFmtId="1" fontId="4" fillId="2" borderId="2" xfId="0" applyNumberFormat="1" applyFont="1" applyFill="1" applyBorder="1"/>
    <xf numFmtId="11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4" xfId="0" applyFill="1" applyBorder="1" applyAlignment="1">
      <alignment horizontal="right"/>
    </xf>
    <xf numFmtId="167" fontId="1" fillId="2" borderId="0" xfId="1" applyNumberFormat="1" applyFill="1"/>
    <xf numFmtId="165" fontId="0" fillId="5" borderId="0" xfId="0" applyNumberFormat="1" applyFill="1"/>
    <xf numFmtId="166" fontId="0" fillId="5" borderId="0" xfId="0" applyNumberFormat="1" applyFill="1"/>
    <xf numFmtId="0" fontId="0" fillId="6" borderId="0" xfId="0" applyFill="1"/>
    <xf numFmtId="0" fontId="0" fillId="5" borderId="0" xfId="0" applyFill="1"/>
    <xf numFmtId="1" fontId="0" fillId="2" borderId="0" xfId="0" applyNumberFormat="1" applyFill="1"/>
    <xf numFmtId="1" fontId="0" fillId="5" borderId="0" xfId="0" applyNumberFormat="1" applyFill="1"/>
    <xf numFmtId="0" fontId="0" fillId="6" borderId="4" xfId="0" applyFill="1" applyBorder="1" applyAlignment="1">
      <alignment horizontal="right"/>
    </xf>
    <xf numFmtId="168" fontId="0" fillId="2" borderId="0" xfId="0" applyNumberFormat="1" applyFill="1" applyAlignment="1">
      <alignment horizontal="right"/>
    </xf>
    <xf numFmtId="168" fontId="0" fillId="2" borderId="0" xfId="0" applyNumberFormat="1" applyFill="1"/>
    <xf numFmtId="0" fontId="0" fillId="2" borderId="4" xfId="0" applyFill="1" applyBorder="1" applyAlignment="1">
      <alignment horizontal="left"/>
    </xf>
    <xf numFmtId="0" fontId="0" fillId="2" borderId="4" xfId="0" applyFill="1" applyBorder="1"/>
    <xf numFmtId="166" fontId="0" fillId="2" borderId="4" xfId="0" applyNumberFormat="1" applyFill="1" applyBorder="1"/>
    <xf numFmtId="165" fontId="0" fillId="2" borderId="0" xfId="0" applyNumberFormat="1" applyFill="1" applyAlignment="1">
      <alignment horizontal="right"/>
    </xf>
    <xf numFmtId="2" fontId="1" fillId="2" borderId="0" xfId="1" applyNumberFormat="1" applyFill="1" applyAlignment="1">
      <alignment horizontal="right"/>
    </xf>
    <xf numFmtId="0" fontId="0" fillId="5" borderId="0" xfId="0" applyFill="1" applyAlignment="1">
      <alignment horizontal="left"/>
    </xf>
    <xf numFmtId="0" fontId="4" fillId="2" borderId="0" xfId="0" applyFont="1" applyFill="1" applyAlignment="1">
      <alignment horizontal="right"/>
    </xf>
    <xf numFmtId="170" fontId="0" fillId="3" borderId="0" xfId="0" applyNumberFormat="1" applyFill="1"/>
    <xf numFmtId="169" fontId="0" fillId="2" borderId="0" xfId="0" applyNumberFormat="1" applyFill="1"/>
    <xf numFmtId="0" fontId="0" fillId="2" borderId="0" xfId="0" applyFill="1" applyAlignment="1">
      <alignment horizontal="left"/>
    </xf>
    <xf numFmtId="168" fontId="0" fillId="3" borderId="0" xfId="0" applyNumberFormat="1" applyFill="1"/>
    <xf numFmtId="168" fontId="0" fillId="2" borderId="4" xfId="0" applyNumberFormat="1" applyFill="1" applyBorder="1"/>
    <xf numFmtId="165" fontId="0" fillId="2" borderId="4" xfId="0" applyNumberFormat="1" applyFill="1" applyBorder="1"/>
    <xf numFmtId="0" fontId="0" fillId="6" borderId="0" xfId="0" applyFill="1" applyAlignment="1">
      <alignment horizontal="right"/>
    </xf>
    <xf numFmtId="165" fontId="0" fillId="6" borderId="0" xfId="0" applyNumberFormat="1" applyFill="1"/>
    <xf numFmtId="0" fontId="0" fillId="2" borderId="5" xfId="0" applyFill="1" applyBorder="1"/>
    <xf numFmtId="0" fontId="0" fillId="2" borderId="6" xfId="0" applyFill="1" applyBorder="1"/>
    <xf numFmtId="166" fontId="0" fillId="2" borderId="6" xfId="0" applyNumberFormat="1" applyFill="1" applyBorder="1"/>
    <xf numFmtId="0" fontId="0" fillId="2" borderId="7" xfId="0" applyFill="1" applyBorder="1"/>
    <xf numFmtId="164" fontId="0" fillId="3" borderId="0" xfId="0" applyNumberFormat="1" applyFill="1"/>
    <xf numFmtId="1" fontId="0" fillId="3" borderId="0" xfId="0" applyNumberFormat="1" applyFill="1"/>
    <xf numFmtId="0" fontId="0" fillId="2" borderId="8" xfId="0" applyFill="1" applyBorder="1"/>
    <xf numFmtId="0" fontId="0" fillId="6" borderId="4" xfId="0" applyFill="1" applyBorder="1"/>
    <xf numFmtId="0" fontId="6" fillId="2" borderId="0" xfId="0" applyFont="1" applyFill="1"/>
    <xf numFmtId="1" fontId="0" fillId="2" borderId="4" xfId="0" applyNumberFormat="1" applyFill="1" applyBorder="1"/>
    <xf numFmtId="1" fontId="0" fillId="2" borderId="0" xfId="0" applyNumberFormat="1" applyFill="1" applyAlignment="1">
      <alignment horizontal="right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9" fontId="1" fillId="2" borderId="0" xfId="1" applyFill="1"/>
    <xf numFmtId="9" fontId="0" fillId="2" borderId="0" xfId="0" applyNumberFormat="1" applyFill="1"/>
    <xf numFmtId="0" fontId="0" fillId="7" borderId="0" xfId="0" applyFill="1"/>
    <xf numFmtId="0" fontId="0" fillId="2" borderId="9" xfId="0" applyFill="1" applyBorder="1"/>
    <xf numFmtId="0" fontId="0" fillId="2" borderId="9" xfId="0" applyFill="1" applyBorder="1" applyAlignment="1">
      <alignment horizontal="right"/>
    </xf>
    <xf numFmtId="0" fontId="0" fillId="2" borderId="9" xfId="0" applyFill="1" applyBorder="1" applyAlignment="1">
      <alignment horizontal="left"/>
    </xf>
    <xf numFmtId="0" fontId="0" fillId="8" borderId="0" xfId="0" applyFill="1"/>
    <xf numFmtId="0" fontId="0" fillId="9" borderId="0" xfId="0" applyFill="1"/>
    <xf numFmtId="0" fontId="4" fillId="9" borderId="0" xfId="0" applyFont="1" applyFill="1"/>
    <xf numFmtId="0" fontId="2" fillId="9" borderId="0" xfId="2" applyFill="1"/>
    <xf numFmtId="0" fontId="0" fillId="9" borderId="9" xfId="0" applyFill="1" applyBorder="1"/>
    <xf numFmtId="0" fontId="0" fillId="2" borderId="0" xfId="0" quotePrefix="1" applyFill="1"/>
    <xf numFmtId="0" fontId="0" fillId="10" borderId="0" xfId="0" applyFill="1"/>
    <xf numFmtId="0" fontId="10" fillId="2" borderId="4" xfId="0" applyFont="1" applyFill="1" applyBorder="1" applyAlignment="1">
      <alignment horizontal="right"/>
    </xf>
    <xf numFmtId="168" fontId="0" fillId="2" borderId="9" xfId="0" applyNumberFormat="1" applyFill="1" applyBorder="1"/>
    <xf numFmtId="2" fontId="0" fillId="2" borderId="4" xfId="0" applyNumberFormat="1" applyFill="1" applyBorder="1"/>
    <xf numFmtId="165" fontId="0" fillId="3" borderId="0" xfId="0" applyNumberFormat="1" applyFill="1"/>
    <xf numFmtId="2" fontId="0" fillId="5" borderId="0" xfId="0" applyNumberFormat="1" applyFill="1"/>
    <xf numFmtId="0" fontId="0" fillId="2" borderId="10" xfId="0" applyFill="1" applyBorder="1"/>
    <xf numFmtId="0" fontId="0" fillId="2" borderId="11" xfId="0" applyFill="1" applyBorder="1"/>
    <xf numFmtId="0" fontId="0" fillId="2" borderId="11" xfId="0" applyFill="1" applyBorder="1" applyAlignment="1">
      <alignment horizontal="right"/>
    </xf>
    <xf numFmtId="0" fontId="0" fillId="2" borderId="12" xfId="0" applyFill="1" applyBorder="1"/>
    <xf numFmtId="0" fontId="0" fillId="2" borderId="13" xfId="0" applyFill="1" applyBorder="1"/>
    <xf numFmtId="2" fontId="0" fillId="2" borderId="9" xfId="0" applyNumberFormat="1" applyFill="1" applyBorder="1"/>
    <xf numFmtId="2" fontId="0" fillId="2" borderId="14" xfId="0" applyNumberFormat="1" applyFill="1" applyBorder="1"/>
    <xf numFmtId="0" fontId="10" fillId="2" borderId="0" xfId="0" applyFont="1" applyFill="1" applyAlignment="1">
      <alignment horizontal="left"/>
    </xf>
    <xf numFmtId="0" fontId="0" fillId="11" borderId="0" xfId="0" applyFill="1"/>
    <xf numFmtId="0" fontId="0" fillId="11" borderId="0" xfId="0" quotePrefix="1" applyFill="1"/>
    <xf numFmtId="0" fontId="0" fillId="2" borderId="15" xfId="0" applyFill="1" applyBorder="1"/>
    <xf numFmtId="166" fontId="0" fillId="2" borderId="16" xfId="0" applyNumberFormat="1" applyFill="1" applyBorder="1"/>
    <xf numFmtId="166" fontId="0" fillId="2" borderId="9" xfId="0" applyNumberFormat="1" applyFill="1" applyBorder="1"/>
    <xf numFmtId="166" fontId="0" fillId="2" borderId="14" xfId="0" applyNumberFormat="1" applyFill="1" applyBorder="1"/>
    <xf numFmtId="11" fontId="0" fillId="7" borderId="0" xfId="0" applyNumberFormat="1" applyFill="1"/>
    <xf numFmtId="166" fontId="0" fillId="7" borderId="0" xfId="0" applyNumberFormat="1" applyFill="1"/>
    <xf numFmtId="166" fontId="0" fillId="7" borderId="4" xfId="0" applyNumberFormat="1" applyFill="1" applyBorder="1"/>
    <xf numFmtId="0" fontId="4" fillId="2" borderId="4" xfId="0" applyFont="1" applyFill="1" applyBorder="1"/>
    <xf numFmtId="0" fontId="0" fillId="12" borderId="9" xfId="0" applyFill="1" applyBorder="1"/>
    <xf numFmtId="0" fontId="0" fillId="2" borderId="14" xfId="0" applyFill="1" applyBorder="1"/>
    <xf numFmtId="0" fontId="0" fillId="2" borderId="16" xfId="0" applyFill="1" applyBorder="1"/>
    <xf numFmtId="2" fontId="0" fillId="7" borderId="0" xfId="0" applyNumberFormat="1" applyFill="1"/>
    <xf numFmtId="0" fontId="0" fillId="13" borderId="0" xfId="0" applyFill="1"/>
    <xf numFmtId="0" fontId="0" fillId="14" borderId="0" xfId="0" applyFill="1"/>
    <xf numFmtId="0" fontId="0" fillId="14" borderId="0" xfId="0" applyFill="1" applyAlignment="1">
      <alignment horizontal="right"/>
    </xf>
    <xf numFmtId="171" fontId="0" fillId="7" borderId="0" xfId="0" applyNumberFormat="1" applyFill="1"/>
    <xf numFmtId="168" fontId="0" fillId="10" borderId="0" xfId="0" applyNumberFormat="1" applyFill="1"/>
    <xf numFmtId="168" fontId="0" fillId="10" borderId="4" xfId="0" applyNumberFormat="1" applyFill="1" applyBorder="1"/>
    <xf numFmtId="11" fontId="0" fillId="10" borderId="0" xfId="0" applyNumberFormat="1" applyFill="1"/>
    <xf numFmtId="0" fontId="0" fillId="15" borderId="0" xfId="0" applyFill="1"/>
    <xf numFmtId="11" fontId="0" fillId="15" borderId="0" xfId="0" applyNumberFormat="1" applyFill="1"/>
    <xf numFmtId="0" fontId="3" fillId="15" borderId="0" xfId="0" applyFont="1" applyFill="1"/>
    <xf numFmtId="0" fontId="0" fillId="9" borderId="9" xfId="0" applyFill="1" applyBorder="1" applyAlignment="1">
      <alignment horizontal="right"/>
    </xf>
    <xf numFmtId="165" fontId="0" fillId="9" borderId="0" xfId="0" applyNumberFormat="1" applyFill="1"/>
    <xf numFmtId="2" fontId="0" fillId="9" borderId="0" xfId="0" applyNumberFormat="1" applyFill="1"/>
    <xf numFmtId="1" fontId="0" fillId="9" borderId="0" xfId="0" applyNumberFormat="1" applyFill="1"/>
    <xf numFmtId="0" fontId="0" fillId="9" borderId="0" xfId="0" applyFill="1" applyAlignment="1">
      <alignment horizontal="right"/>
    </xf>
    <xf numFmtId="0" fontId="0" fillId="9" borderId="0" xfId="0" applyFill="1" applyAlignment="1">
      <alignment horizontal="left"/>
    </xf>
    <xf numFmtId="0" fontId="0" fillId="16" borderId="0" xfId="0" applyFill="1"/>
    <xf numFmtId="165" fontId="0" fillId="16" borderId="0" xfId="0" quotePrefix="1" applyNumberFormat="1" applyFill="1"/>
    <xf numFmtId="0" fontId="0" fillId="16" borderId="0" xfId="0" quotePrefix="1" applyFill="1"/>
    <xf numFmtId="2" fontId="0" fillId="16" borderId="0" xfId="0" quotePrefix="1" applyNumberFormat="1" applyFill="1"/>
    <xf numFmtId="169" fontId="0" fillId="9" borderId="0" xfId="0" quotePrefix="1" applyNumberFormat="1" applyFill="1" applyAlignment="1">
      <alignment horizontal="left"/>
    </xf>
    <xf numFmtId="169" fontId="0" fillId="9" borderId="0" xfId="0" applyNumberFormat="1" applyFill="1"/>
    <xf numFmtId="0" fontId="0" fillId="17" borderId="10" xfId="0" applyFill="1" applyBorder="1"/>
    <xf numFmtId="0" fontId="0" fillId="17" borderId="11" xfId="0" applyFill="1" applyBorder="1"/>
    <xf numFmtId="0" fontId="0" fillId="17" borderId="12" xfId="0" applyFill="1" applyBorder="1"/>
    <xf numFmtId="0" fontId="0" fillId="17" borderId="15" xfId="0" applyFill="1" applyBorder="1"/>
    <xf numFmtId="0" fontId="0" fillId="17" borderId="0" xfId="0" applyFill="1"/>
    <xf numFmtId="0" fontId="0" fillId="17" borderId="16" xfId="0" applyFill="1" applyBorder="1"/>
    <xf numFmtId="0" fontId="0" fillId="17" borderId="13" xfId="0" applyFill="1" applyBorder="1"/>
    <xf numFmtId="0" fontId="0" fillId="17" borderId="9" xfId="0" applyFill="1" applyBorder="1"/>
    <xf numFmtId="0" fontId="0" fillId="17" borderId="14" xfId="0" applyFill="1" applyBorder="1"/>
    <xf numFmtId="165" fontId="0" fillId="18" borderId="0" xfId="0" applyNumberFormat="1" applyFill="1" applyAlignment="1">
      <alignment horizontal="left"/>
    </xf>
    <xf numFmtId="0" fontId="0" fillId="18" borderId="0" xfId="0" applyFill="1"/>
    <xf numFmtId="2" fontId="0" fillId="2" borderId="0" xfId="0" quotePrefix="1" applyNumberFormat="1" applyFill="1"/>
    <xf numFmtId="165" fontId="0" fillId="18" borderId="0" xfId="0" applyNumberFormat="1" applyFill="1"/>
    <xf numFmtId="165" fontId="4" fillId="7" borderId="2" xfId="0" applyNumberFormat="1" applyFont="1" applyFill="1" applyBorder="1"/>
    <xf numFmtId="0" fontId="4" fillId="7" borderId="3" xfId="0" applyFont="1" applyFill="1" applyBorder="1"/>
  </cellXfs>
  <cellStyles count="3">
    <cellStyle name="Link" xfId="2" xr:uid="{00000000-0005-0000-0000-000000000000}"/>
    <cellStyle name="Prozent" xfId="1" builtinId="5" customBuiltin="1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SAC!$B$44:$B$44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SAC!$B$45:$B$80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3-4708-98C0-EC01F62649A1}"/>
            </c:ext>
          </c:extLst>
        </c:ser>
        <c:ser>
          <c:idx val="1"/>
          <c:order val="1"/>
          <c:tx>
            <c:strRef>
              <c:f>SAC!$C$44:$C$44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SAC!$C$45:$C$80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3-4708-98C0-EC01F62649A1}"/>
            </c:ext>
          </c:extLst>
        </c:ser>
        <c:ser>
          <c:idx val="2"/>
          <c:order val="2"/>
          <c:tx>
            <c:strRef>
              <c:f>SAC!$D$44:$D$44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SAC!$D$45:$D$80</c:f>
              <c:numCache>
                <c:formatCode>0.00</c:formatCode>
                <c:ptCount val="36"/>
                <c:pt idx="0">
                  <c:v>-9.2090784891198467</c:v>
                </c:pt>
                <c:pt idx="1">
                  <c:v>-7.8552690358635999</c:v>
                </c:pt>
                <c:pt idx="2">
                  <c:v>-6.5014595826073389</c:v>
                </c:pt>
                <c:pt idx="3">
                  <c:v>-5.1476501293510921</c:v>
                </c:pt>
                <c:pt idx="4">
                  <c:v>-3.7938406760948311</c:v>
                </c:pt>
                <c:pt idx="5">
                  <c:v>-2.4400312228385843</c:v>
                </c:pt>
                <c:pt idx="6">
                  <c:v>-1.0862217695823233</c:v>
                </c:pt>
                <c:pt idx="7">
                  <c:v>0.26758768367392349</c:v>
                </c:pt>
                <c:pt idx="8">
                  <c:v>1.6213971369301703</c:v>
                </c:pt>
                <c:pt idx="9">
                  <c:v>2.9752065901864313</c:v>
                </c:pt>
                <c:pt idx="10">
                  <c:v>4.3290160434426781</c:v>
                </c:pt>
                <c:pt idx="11">
                  <c:v>5.6828254966989391</c:v>
                </c:pt>
                <c:pt idx="12">
                  <c:v>7.0366349499551859</c:v>
                </c:pt>
                <c:pt idx="13">
                  <c:v>8.3904444032114398</c:v>
                </c:pt>
                <c:pt idx="14">
                  <c:v>9.7442538564676937</c:v>
                </c:pt>
                <c:pt idx="15">
                  <c:v>11.098063309723948</c:v>
                </c:pt>
                <c:pt idx="16">
                  <c:v>12.451872762980202</c:v>
                </c:pt>
                <c:pt idx="17">
                  <c:v>13.805682216236455</c:v>
                </c:pt>
                <c:pt idx="18">
                  <c:v>15.159491669492709</c:v>
                </c:pt>
                <c:pt idx="19">
                  <c:v>16.513301122748963</c:v>
                </c:pt>
                <c:pt idx="20">
                  <c:v>17.867110576005217</c:v>
                </c:pt>
                <c:pt idx="21">
                  <c:v>19.220920029261471</c:v>
                </c:pt>
                <c:pt idx="22">
                  <c:v>20.574729482517725</c:v>
                </c:pt>
                <c:pt idx="23">
                  <c:v>21.928538935773972</c:v>
                </c:pt>
                <c:pt idx="24">
                  <c:v>23.282348389030226</c:v>
                </c:pt>
                <c:pt idx="25">
                  <c:v>24.63615784228648</c:v>
                </c:pt>
                <c:pt idx="26">
                  <c:v>25.989967295542733</c:v>
                </c:pt>
                <c:pt idx="27">
                  <c:v>27.343776748798987</c:v>
                </c:pt>
                <c:pt idx="28">
                  <c:v>28.697586202055241</c:v>
                </c:pt>
                <c:pt idx="29">
                  <c:v>30.051395655311495</c:v>
                </c:pt>
                <c:pt idx="30">
                  <c:v>31.405205108567749</c:v>
                </c:pt>
                <c:pt idx="31">
                  <c:v>32.759014561824003</c:v>
                </c:pt>
                <c:pt idx="32">
                  <c:v>34.112824015080257</c:v>
                </c:pt>
                <c:pt idx="33">
                  <c:v>35.466633468336511</c:v>
                </c:pt>
                <c:pt idx="34">
                  <c:v>36.820442921592758</c:v>
                </c:pt>
                <c:pt idx="35">
                  <c:v>38.174252374849011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3-4708-98C0-EC01F626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2128"/>
        <c:axId val="1089863040"/>
      </c:scatterChart>
      <c:valAx>
        <c:axId val="1089863040"/>
        <c:scaling>
          <c:orientation val="minMax"/>
          <c:max val="5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2128"/>
        <c:crossesAt val="-60"/>
        <c:crossBetween val="midCat"/>
      </c:valAx>
      <c:valAx>
        <c:axId val="1089852128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6304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9.3970500878401433E-2"/>
          <c:y val="7.4518388841624969E-2"/>
          <c:w val="0.62953788079860806"/>
          <c:h val="0.79118098935047554"/>
        </c:manualLayout>
      </c:layout>
      <c:scatterChart>
        <c:scatterStyle val="lineMarker"/>
        <c:varyColors val="0"/>
        <c:ser>
          <c:idx val="2"/>
          <c:order val="0"/>
          <c:tx>
            <c:strRef>
              <c:f>SAD!$F$149</c:f>
              <c:strCache>
                <c:ptCount val="1"/>
                <c:pt idx="0">
                  <c:v>Dphi_calc_8</c:v>
                </c:pt>
              </c:strCache>
            </c:strRef>
          </c:tx>
          <c:spPr>
            <a:ln w="19046" cap="rnd">
              <a:solidFill>
                <a:srgbClr val="7030A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SAD!$F$150:$F$162</c:f>
              <c:numCache>
                <c:formatCode>0.000</c:formatCode>
                <c:ptCount val="13"/>
                <c:pt idx="0">
                  <c:v>2.8689563436604417</c:v>
                </c:pt>
                <c:pt idx="1">
                  <c:v>2.2882211867997633</c:v>
                </c:pt>
                <c:pt idx="2">
                  <c:v>1.786091327459804</c:v>
                </c:pt>
                <c:pt idx="3">
                  <c:v>1.3581997186524062</c:v>
                </c:pt>
                <c:pt idx="4">
                  <c:v>0.99999999999999989</c:v>
                </c:pt>
                <c:pt idx="5">
                  <c:v>0.70673770514236056</c:v>
                </c:pt>
                <c:pt idx="6">
                  <c:v>0.47341247337333386</c:v>
                </c:pt>
                <c:pt idx="7">
                  <c:v>0.29472665726400582</c:v>
                </c:pt>
                <c:pt idx="8">
                  <c:v>0.16501208685849758</c:v>
                </c:pt>
                <c:pt idx="9">
                  <c:v>7.8118780176176739E-2</c:v>
                </c:pt>
                <c:pt idx="10">
                  <c:v>2.7228988809396337E-2</c:v>
                </c:pt>
                <c:pt idx="11">
                  <c:v>4.4931122664851643E-3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7-4237-803A-EDDB45DC4FB4}"/>
            </c:ext>
          </c:extLst>
        </c:ser>
        <c:ser>
          <c:idx val="0"/>
          <c:order val="1"/>
          <c:tx>
            <c:strRef>
              <c:f>SAD!$C$149</c:f>
              <c:strCache>
                <c:ptCount val="1"/>
                <c:pt idx="0">
                  <c:v>Dphi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SAD!$C$150:$C$162</c:f>
              <c:numCache>
                <c:formatCode>General</c:formatCode>
                <c:ptCount val="13"/>
                <c:pt idx="3" formatCode="0.0000">
                  <c:v>0.94050017262129304</c:v>
                </c:pt>
                <c:pt idx="4" formatCode="0.0000">
                  <c:v>0.67956631646227661</c:v>
                </c:pt>
                <c:pt idx="5" formatCode="0.0000">
                  <c:v>0.47676345244762175</c:v>
                </c:pt>
                <c:pt idx="6" formatCode="0.0000">
                  <c:v>0.32169182397047258</c:v>
                </c:pt>
                <c:pt idx="7" formatCode="0.0000">
                  <c:v>0.2057161927448159</c:v>
                </c:pt>
                <c:pt idx="8" formatCode="0.0000">
                  <c:v>0.12166817714509504</c:v>
                </c:pt>
                <c:pt idx="9" formatCode="0.0000">
                  <c:v>6.3599440403302676E-2</c:v>
                </c:pt>
                <c:pt idx="10" formatCode="0.0000">
                  <c:v>2.6576860170490102E-2</c:v>
                </c:pt>
                <c:pt idx="11" formatCode="0.0000">
                  <c:v>6.5123958732581366E-3</c:v>
                </c:pt>
                <c:pt idx="12" formatCode="0.0000">
                  <c:v>2.1664519521569225E-5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7-4237-803A-EDDB45DC4FB4}"/>
            </c:ext>
          </c:extLst>
        </c:ser>
        <c:ser>
          <c:idx val="1"/>
          <c:order val="2"/>
          <c:tx>
            <c:strRef>
              <c:f>SAD!$D$149</c:f>
              <c:strCache>
                <c:ptCount val="1"/>
                <c:pt idx="0">
                  <c:v>Dphi_calc_9,246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SAD!$D$150:$D$162</c:f>
              <c:numCache>
                <c:formatCode>0.000</c:formatCode>
                <c:ptCount val="13"/>
                <c:pt idx="0">
                  <c:v>1.9694981033824521</c:v>
                </c:pt>
                <c:pt idx="1">
                  <c:v>1.5708316013521977</c:v>
                </c:pt>
                <c:pt idx="2">
                  <c:v>1.2261265284405707</c:v>
                </c:pt>
                <c:pt idx="3">
                  <c:v>0.93238496842637664</c:v>
                </c:pt>
                <c:pt idx="4">
                  <c:v>0.68648590897329942</c:v>
                </c:pt>
                <c:pt idx="5">
                  <c:v>0.48516547592035714</c:v>
                </c:pt>
                <c:pt idx="6">
                  <c:v>0.32499099210299104</c:v>
                </c:pt>
                <c:pt idx="7">
                  <c:v>0.20232569721054314</c:v>
                </c:pt>
                <c:pt idx="8">
                  <c:v>0.11327847243863676</c:v>
                </c:pt>
                <c:pt idx="9">
                  <c:v>5.3627441817128065E-2</c:v>
                </c:pt>
                <c:pt idx="10">
                  <c:v>1.8692317133242244E-2</c:v>
                </c:pt>
                <c:pt idx="11">
                  <c:v>3.08445825837715E-3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7-4237-803A-EDDB45DC4FB4}"/>
            </c:ext>
          </c:extLst>
        </c:ser>
        <c:ser>
          <c:idx val="4"/>
          <c:order val="3"/>
          <c:tx>
            <c:strRef>
              <c:f>SAD!$G$149</c:f>
              <c:strCache>
                <c:ptCount val="1"/>
                <c:pt idx="0">
                  <c:v>Dphi_calc_10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SAD!$G$150:$G$162</c:f>
              <c:numCache>
                <c:formatCode>0.000</c:formatCode>
                <c:ptCount val="13"/>
                <c:pt idx="0">
                  <c:v>1.6062763978260275</c:v>
                </c:pt>
                <c:pt idx="1">
                  <c:v>1.2811333617828451</c:v>
                </c:pt>
                <c:pt idx="2">
                  <c:v>1</c:v>
                </c:pt>
                <c:pt idx="3">
                  <c:v>0.76043128241602886</c:v>
                </c:pt>
                <c:pt idx="4">
                  <c:v>0.55988178466898975</c:v>
                </c:pt>
                <c:pt idx="5">
                  <c:v>0.39568956764797109</c:v>
                </c:pt>
                <c:pt idx="6">
                  <c:v>0.26505502047682278</c:v>
                </c:pt>
                <c:pt idx="7">
                  <c:v>0.16501208685849725</c:v>
                </c:pt>
                <c:pt idx="8">
                  <c:v>9.2387261682289973E-2</c:v>
                </c:pt>
                <c:pt idx="9">
                  <c:v>4.373728206120233E-2</c:v>
                </c:pt>
                <c:pt idx="10">
                  <c:v>1.524501484933677E-2</c:v>
                </c:pt>
                <c:pt idx="11">
                  <c:v>2.5156117144778433E-3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C7-4237-803A-EDDB45DC4FB4}"/>
            </c:ext>
          </c:extLst>
        </c:ser>
        <c:ser>
          <c:idx val="3"/>
          <c:order val="4"/>
          <c:tx>
            <c:strRef>
              <c:f>SAD!$H$149</c:f>
              <c:strCache>
                <c:ptCount val="1"/>
                <c:pt idx="0">
                  <c:v>Dphi_calc_12</c:v>
                </c:pt>
              </c:strCache>
            </c:strRef>
          </c:tx>
          <c:spPr>
            <a:ln w="19046" cap="rnd">
              <a:solidFill>
                <a:srgbClr val="0070C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SAD!$H$150:$H$162</c:f>
              <c:numCache>
                <c:formatCode>0.000</c:formatCode>
                <c:ptCount val="13"/>
                <c:pt idx="0">
                  <c:v>1</c:v>
                </c:pt>
                <c:pt idx="1">
                  <c:v>0.79757964663912229</c:v>
                </c:pt>
                <c:pt idx="2">
                  <c:v>0.62255786199275776</c:v>
                </c:pt>
                <c:pt idx="3">
                  <c:v>0.47341247337333392</c:v>
                </c:pt>
                <c:pt idx="4">
                  <c:v>0.3485588068322158</c:v>
                </c:pt>
                <c:pt idx="5">
                  <c:v>0.24633965124775956</c:v>
                </c:pt>
                <c:pt idx="6">
                  <c:v>0.16501208685849739</c:v>
                </c:pt>
                <c:pt idx="7">
                  <c:v>0.10272957199758928</c:v>
                </c:pt>
                <c:pt idx="8">
                  <c:v>5.7516416108291876E-2</c:v>
                </c:pt>
                <c:pt idx="9">
                  <c:v>2.722898880939632E-2</c:v>
                </c:pt>
                <c:pt idx="10">
                  <c:v>9.490903850650944E-3</c:v>
                </c:pt>
                <c:pt idx="11">
                  <c:v>1.5661138505692618E-3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7-4237-803A-EDDB45DC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9072"/>
        <c:axId val="1089852624"/>
      </c:scatterChart>
      <c:valAx>
        <c:axId val="1089852624"/>
        <c:scaling>
          <c:orientation val="minMax"/>
          <c:max val="1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phi, °C     i.e.   phi = 1 + Delta phi </a:t>
                </a:r>
              </a:p>
            </c:rich>
          </c:tx>
          <c:layout>
            <c:manualLayout>
              <c:xMode val="edge"/>
              <c:yMode val="edge"/>
              <c:x val="2.4999852546521571E-2"/>
              <c:y val="0.14717129684913716"/>
            </c:manualLayout>
          </c:layout>
          <c:overlay val="0"/>
          <c:spPr>
            <a:noFill/>
            <a:ln>
              <a:noFill/>
            </a:ln>
          </c:spPr>
        </c:title>
        <c:numFmt formatCode="0.0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9072"/>
        <c:crossesAt val="-10"/>
        <c:crossBetween val="midCat"/>
      </c:valAx>
      <c:valAx>
        <c:axId val="1089859072"/>
        <c:scaling>
          <c:orientation val="minMax"/>
          <c:max val="12"/>
          <c:min val="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t = t_SAC - t, °C</a:t>
                </a:r>
              </a:p>
            </c:rich>
          </c:tx>
          <c:layout>
            <c:manualLayout>
              <c:xMode val="edge"/>
              <c:yMode val="edge"/>
              <c:x val="0.32313427113745613"/>
              <c:y val="0.88866079044965229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2624"/>
        <c:crossesAt val="-1"/>
        <c:crossBetween val="midCat"/>
        <c:majorUnit val="1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991413314737908"/>
          <c:y val="0.31065676848809382"/>
          <c:w val="0.23012329983918292"/>
          <c:h val="0.3061241980298488"/>
        </c:manualLayout>
      </c:layout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4.8778704176178085E-2"/>
          <c:y val="2.5497594050743658E-2"/>
          <c:w val="0.67716251657842041"/>
          <c:h val="0.85318277923592878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SAD!$B$178</c:f>
              <c:strCache>
                <c:ptCount val="1"/>
                <c:pt idx="0">
                  <c:v>H_SAC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7.3310563718739508E-2"/>
                  <c:y val="-0.60475320793234177"/>
                </c:manualLayout>
              </c:layout>
              <c:numFmt formatCode="General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SAD!$D$177:$O$177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xVal>
          <c:yVal>
            <c:numRef>
              <c:f>SAD!$D$178:$O$178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C2-4767-BD04-D29999BB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4528"/>
        <c:axId val="1089851632"/>
      </c:scatterChart>
      <c:valAx>
        <c:axId val="1089851632"/>
        <c:scaling>
          <c:orientation val="minMax"/>
          <c:max val="70000"/>
          <c:min val="2000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layout>
            <c:manualLayout>
              <c:xMode val="edge"/>
              <c:yMode val="edge"/>
              <c:x val="1.9444471093407349E-2"/>
              <c:y val="9.5096237970253725E-2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high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528"/>
        <c:crossesAt val="-25"/>
        <c:crossBetween val="midCat"/>
      </c:valAx>
      <c:valAx>
        <c:axId val="1089864528"/>
        <c:scaling>
          <c:orientation val="minMax"/>
          <c:max val="-3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1632"/>
        <c:crosses val="autoZero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SAD!$A$204:$A$204</c:f>
              <c:strCache>
                <c:ptCount val="1"/>
                <c:pt idx="0">
                  <c:v>Dt,tot  from SAD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11397024097301506"/>
                  <c:y val="-0.51510270893968713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SAD!$D$204:$O$204</c:f>
              <c:numCache>
                <c:formatCode>0.00</c:formatCode>
                <c:ptCount val="12"/>
                <c:pt idx="0">
                  <c:v>10.191807796994766</c:v>
                </c:pt>
                <c:pt idx="1">
                  <c:v>9.9604385777602431</c:v>
                </c:pt>
                <c:pt idx="2">
                  <c:v>9.7278255152540041</c:v>
                </c:pt>
                <c:pt idx="3">
                  <c:v>9.4938003329852094</c:v>
                </c:pt>
                <c:pt idx="4">
                  <c:v>9.442709030448718</c:v>
                </c:pt>
                <c:pt idx="5">
                  <c:v>9.2615056131735756</c:v>
                </c:pt>
                <c:pt idx="6">
                  <c:v>9.0375911897456547</c:v>
                </c:pt>
                <c:pt idx="7">
                  <c:v>8.8219585861894672</c:v>
                </c:pt>
                <c:pt idx="8">
                  <c:v>8.6142027697986165</c:v>
                </c:pt>
                <c:pt idx="9">
                  <c:v>8.4139301957811696</c:v>
                </c:pt>
                <c:pt idx="10">
                  <c:v>8.2207515673014058</c:v>
                </c:pt>
                <c:pt idx="11">
                  <c:v>8.0343996169108394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6-452B-BAB8-91E02C098C9E}"/>
            </c:ext>
          </c:extLst>
        </c:ser>
        <c:ser>
          <c:idx val="1"/>
          <c:order val="1"/>
          <c:tx>
            <c:strRef>
              <c:f>SAD!$A$206:$A$206</c:f>
              <c:strCache>
                <c:ptCount val="1"/>
                <c:pt idx="0">
                  <c:v>Dt,tot  calculated   (b)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SAD!$D$206:$O$206</c:f>
              <c:numCache>
                <c:formatCode>0.00</c:formatCode>
                <c:ptCount val="12"/>
                <c:pt idx="0">
                  <c:v>10.154199999999998</c:v>
                </c:pt>
                <c:pt idx="1">
                  <c:v>9.937249999999997</c:v>
                </c:pt>
                <c:pt idx="2">
                  <c:v>9.7202999999999982</c:v>
                </c:pt>
                <c:pt idx="3">
                  <c:v>9.5033499999999975</c:v>
                </c:pt>
                <c:pt idx="4">
                  <c:v>9.4560982899999981</c:v>
                </c:pt>
                <c:pt idx="5">
                  <c:v>9.2863999999999969</c:v>
                </c:pt>
                <c:pt idx="6">
                  <c:v>9.0694499999999962</c:v>
                </c:pt>
                <c:pt idx="7">
                  <c:v>8.8524999999999974</c:v>
                </c:pt>
                <c:pt idx="8">
                  <c:v>8.6355499999999967</c:v>
                </c:pt>
                <c:pt idx="9">
                  <c:v>8.4185999999999961</c:v>
                </c:pt>
                <c:pt idx="10">
                  <c:v>8.2016499999999972</c:v>
                </c:pt>
                <c:pt idx="11">
                  <c:v>7.9846999999999966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66-452B-BAB8-91E02C09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6592"/>
        <c:axId val="1089860560"/>
      </c:scatterChart>
      <c:valAx>
        <c:axId val="1089860560"/>
        <c:scaling>
          <c:orientation val="minMax"/>
          <c:max val="10.5"/>
          <c:min val="8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Delta_t,tot   in 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6592"/>
        <c:crosses val="autoZero"/>
        <c:crossBetween val="midCat"/>
      </c:valAx>
      <c:valAx>
        <c:axId val="108985659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altitude, ft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0560"/>
        <c:crosses val="autoZero"/>
        <c:crossBetween val="midCat"/>
        <c:majorUnit val="10000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94-4AEE-9CD5-415F14EB0073}"/>
            </c:ext>
          </c:extLst>
        </c:ser>
        <c:ser>
          <c:idx val="1"/>
          <c:order val="1"/>
          <c:tx>
            <c:strRef>
              <c:f>SAD!$A$289:$A$289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SAD!$C$289:$D$289</c:f>
              <c:numCache>
                <c:formatCode>General</c:formatCode>
                <c:ptCount val="2"/>
                <c:pt idx="0">
                  <c:v>-34.352199999999996</c:v>
                </c:pt>
                <c:pt idx="1">
                  <c:v>-57.9377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4-4AEE-9CD5-415F14EB0073}"/>
            </c:ext>
          </c:extLst>
        </c:ser>
        <c:ser>
          <c:idx val="2"/>
          <c:order val="2"/>
          <c:tx>
            <c:strRef>
              <c:f>SAD!$A$290:$A$290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SAD!$C$290:$D$290</c:f>
              <c:numCache>
                <c:formatCode>General</c:formatCode>
                <c:ptCount val="2"/>
                <c:pt idx="0">
                  <c:v>-44.506399999999999</c:v>
                </c:pt>
                <c:pt idx="1">
                  <c:v>-65.922399999999996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94-4AEE-9CD5-415F14EB0073}"/>
            </c:ext>
          </c:extLst>
        </c:ser>
        <c:ser>
          <c:idx val="3"/>
          <c:order val="3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lgDashDot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94-4AEE-9CD5-415F14EB0073}"/>
            </c:ext>
          </c:extLst>
        </c:ser>
        <c:ser>
          <c:idx val="4"/>
          <c:order val="4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94-4AEE-9CD5-415F14EB0073}"/>
            </c:ext>
          </c:extLst>
        </c:ser>
        <c:ser>
          <c:idx val="5"/>
          <c:order val="5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94-4AEE-9CD5-415F14EB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6512"/>
        <c:axId val="1089858576"/>
      </c:scatterChart>
      <c:valAx>
        <c:axId val="1089858576"/>
        <c:scaling>
          <c:orientation val="minMax"/>
          <c:max val="-30"/>
          <c:min val="-6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0924810587510785E-2"/>
              <c:y val="0.3065201413468300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6512"/>
        <c:crosses val="autoZero"/>
        <c:crossBetween val="midCat"/>
        <c:majorUnit val="2"/>
      </c:valAx>
      <c:valAx>
        <c:axId val="108986651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8576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1753562773963"/>
          <c:y val="9.4857336606697568E-2"/>
          <c:w val="0.76124024138926372"/>
          <c:h val="0.7097086161884806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SAD!$B$313</c:f>
              <c:strCache>
                <c:ptCount val="1"/>
                <c:pt idx="0">
                  <c:v>h_measured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SAD!$B$314:$B$332</c:f>
              <c:numCache>
                <c:formatCode>0.0</c:formatCode>
                <c:ptCount val="19"/>
                <c:pt idx="0">
                  <c:v>9</c:v>
                </c:pt>
                <c:pt idx="1">
                  <c:v>9</c:v>
                </c:pt>
                <c:pt idx="2">
                  <c:v>9.5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15.2</c:v>
                </c:pt>
                <c:pt idx="7">
                  <c:v>16</c:v>
                </c:pt>
                <c:pt idx="8">
                  <c:v>16.8</c:v>
                </c:pt>
                <c:pt idx="9">
                  <c:v>16.399999999999999</c:v>
                </c:pt>
                <c:pt idx="10">
                  <c:v>16.399999999999999</c:v>
                </c:pt>
                <c:pt idx="11">
                  <c:v>15.8</c:v>
                </c:pt>
                <c:pt idx="12">
                  <c:v>13</c:v>
                </c:pt>
                <c:pt idx="13">
                  <c:v>10.4</c:v>
                </c:pt>
                <c:pt idx="14">
                  <c:v>9.6999999999999993</c:v>
                </c:pt>
                <c:pt idx="15">
                  <c:v>8.9</c:v>
                </c:pt>
                <c:pt idx="16">
                  <c:v>8.4</c:v>
                </c:pt>
                <c:pt idx="17">
                  <c:v>8</c:v>
                </c:pt>
                <c:pt idx="18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DC-4CFF-B132-7452367B3DBD}"/>
            </c:ext>
          </c:extLst>
        </c:ser>
        <c:ser>
          <c:idx val="1"/>
          <c:order val="1"/>
          <c:tx>
            <c:strRef>
              <c:f>SAD!$C$313</c:f>
              <c:strCache>
                <c:ptCount val="1"/>
                <c:pt idx="0">
                  <c:v>H_T calc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SAD!$C$314:$C$332</c:f>
              <c:numCache>
                <c:formatCode>0.00</c:formatCode>
                <c:ptCount val="19"/>
                <c:pt idx="0">
                  <c:v>8.5</c:v>
                </c:pt>
                <c:pt idx="1">
                  <c:v>8.7412295168563663</c:v>
                </c:pt>
                <c:pt idx="2">
                  <c:v>9.4358222275240884</c:v>
                </c:pt>
                <c:pt idx="3">
                  <c:v>10.5</c:v>
                </c:pt>
                <c:pt idx="4">
                  <c:v>11.80540728933228</c:v>
                </c:pt>
                <c:pt idx="5">
                  <c:v>13.194592710667722</c:v>
                </c:pt>
                <c:pt idx="6">
                  <c:v>14.5</c:v>
                </c:pt>
                <c:pt idx="7">
                  <c:v>15.564177772475912</c:v>
                </c:pt>
                <c:pt idx="8">
                  <c:v>16.258770483143635</c:v>
                </c:pt>
                <c:pt idx="9">
                  <c:v>16.5</c:v>
                </c:pt>
                <c:pt idx="10">
                  <c:v>16.258770483143635</c:v>
                </c:pt>
                <c:pt idx="11">
                  <c:v>15.564177772475912</c:v>
                </c:pt>
                <c:pt idx="12">
                  <c:v>14.5</c:v>
                </c:pt>
                <c:pt idx="13">
                  <c:v>13.194592710667722</c:v>
                </c:pt>
                <c:pt idx="14">
                  <c:v>11.80540728933228</c:v>
                </c:pt>
                <c:pt idx="15">
                  <c:v>10.5</c:v>
                </c:pt>
                <c:pt idx="16">
                  <c:v>9.4358222275240884</c:v>
                </c:pt>
                <c:pt idx="17">
                  <c:v>8.7412295168563663</c:v>
                </c:pt>
                <c:pt idx="1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DC-4CFF-B132-7452367B3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220895"/>
        <c:axId val="1353823215"/>
      </c:scatterChart>
      <c:valAx>
        <c:axId val="1159220895"/>
        <c:scaling>
          <c:orientation val="minMax"/>
          <c:max val="90"/>
          <c:min val="-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b="1"/>
                  <a:t>Latitude, B [deg]</a:t>
                </a:r>
              </a:p>
            </c:rich>
          </c:tx>
          <c:layout>
            <c:manualLayout>
              <c:xMode val="edge"/>
              <c:yMode val="edge"/>
              <c:x val="0.50710822911841891"/>
              <c:y val="0.885785107760257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53823215"/>
        <c:crosses val="autoZero"/>
        <c:crossBetween val="midCat"/>
        <c:majorUnit val="10"/>
      </c:valAx>
      <c:valAx>
        <c:axId val="1353823215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altitude</a:t>
                </a:r>
                <a:r>
                  <a:rPr lang="en-US" b="1" baseline="0"/>
                  <a:t> of tropopause, H_T [km]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5.4055621563928555E-2"/>
              <c:y val="0.22556845155308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59220895"/>
        <c:crossesAt val="-9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19077538581335"/>
          <c:y val="0.92870439625734169"/>
          <c:w val="0.25428170583536391"/>
          <c:h val="5.039228406506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4.0441995596692482E-2"/>
                  <c:y val="-0.22613546050228689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B3-41E3-B66E-B9896926F1F5}"/>
            </c:ext>
          </c:extLst>
        </c:ser>
        <c:ser>
          <c:idx val="1"/>
          <c:order val="1"/>
          <c:tx>
            <c:strRef>
              <c:f>SAD!$A$227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44037467916938916"/>
                  <c:y val="-0.10292998954360721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B3-41E3-B66E-B9896926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7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SAC!$B$44:$B$44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SAC!$B$45:$B$80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E2-47ED-9F57-2E6BBB6758E1}"/>
            </c:ext>
          </c:extLst>
        </c:ser>
        <c:ser>
          <c:idx val="1"/>
          <c:order val="1"/>
          <c:tx>
            <c:strRef>
              <c:f>SAC!$C$44:$C$44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SAC!$C$45:$C$80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E2-47ED-9F57-2E6BBB6758E1}"/>
            </c:ext>
          </c:extLst>
        </c:ser>
        <c:ser>
          <c:idx val="2"/>
          <c:order val="2"/>
          <c:tx>
            <c:strRef>
              <c:f>SAC!$D$44:$D$44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SAC!$D$45:$D$80</c:f>
              <c:numCache>
                <c:formatCode>0.00</c:formatCode>
                <c:ptCount val="36"/>
                <c:pt idx="0">
                  <c:v>-9.2090784891198467</c:v>
                </c:pt>
                <c:pt idx="1">
                  <c:v>-7.8552690358635999</c:v>
                </c:pt>
                <c:pt idx="2">
                  <c:v>-6.5014595826073389</c:v>
                </c:pt>
                <c:pt idx="3">
                  <c:v>-5.1476501293510921</c:v>
                </c:pt>
                <c:pt idx="4">
                  <c:v>-3.7938406760948311</c:v>
                </c:pt>
                <c:pt idx="5">
                  <c:v>-2.4400312228385843</c:v>
                </c:pt>
                <c:pt idx="6">
                  <c:v>-1.0862217695823233</c:v>
                </c:pt>
                <c:pt idx="7">
                  <c:v>0.26758768367392349</c:v>
                </c:pt>
                <c:pt idx="8">
                  <c:v>1.6213971369301703</c:v>
                </c:pt>
                <c:pt idx="9">
                  <c:v>2.9752065901864313</c:v>
                </c:pt>
                <c:pt idx="10">
                  <c:v>4.3290160434426781</c:v>
                </c:pt>
                <c:pt idx="11">
                  <c:v>5.6828254966989391</c:v>
                </c:pt>
                <c:pt idx="12">
                  <c:v>7.0366349499551859</c:v>
                </c:pt>
                <c:pt idx="13">
                  <c:v>8.3904444032114398</c:v>
                </c:pt>
                <c:pt idx="14">
                  <c:v>9.7442538564676937</c:v>
                </c:pt>
                <c:pt idx="15">
                  <c:v>11.098063309723948</c:v>
                </c:pt>
                <c:pt idx="16">
                  <c:v>12.451872762980202</c:v>
                </c:pt>
                <c:pt idx="17">
                  <c:v>13.805682216236455</c:v>
                </c:pt>
                <c:pt idx="18">
                  <c:v>15.159491669492709</c:v>
                </c:pt>
                <c:pt idx="19">
                  <c:v>16.513301122748963</c:v>
                </c:pt>
                <c:pt idx="20">
                  <c:v>17.867110576005217</c:v>
                </c:pt>
                <c:pt idx="21">
                  <c:v>19.220920029261471</c:v>
                </c:pt>
                <c:pt idx="22">
                  <c:v>20.574729482517725</c:v>
                </c:pt>
                <c:pt idx="23">
                  <c:v>21.928538935773972</c:v>
                </c:pt>
                <c:pt idx="24">
                  <c:v>23.282348389030226</c:v>
                </c:pt>
                <c:pt idx="25">
                  <c:v>24.63615784228648</c:v>
                </c:pt>
                <c:pt idx="26">
                  <c:v>25.989967295542733</c:v>
                </c:pt>
                <c:pt idx="27">
                  <c:v>27.343776748798987</c:v>
                </c:pt>
                <c:pt idx="28">
                  <c:v>28.697586202055241</c:v>
                </c:pt>
                <c:pt idx="29">
                  <c:v>30.051395655311495</c:v>
                </c:pt>
                <c:pt idx="30">
                  <c:v>31.405205108567749</c:v>
                </c:pt>
                <c:pt idx="31">
                  <c:v>32.759014561824003</c:v>
                </c:pt>
                <c:pt idx="32">
                  <c:v>34.112824015080257</c:v>
                </c:pt>
                <c:pt idx="33">
                  <c:v>35.466633468336511</c:v>
                </c:pt>
                <c:pt idx="34">
                  <c:v>36.820442921592758</c:v>
                </c:pt>
                <c:pt idx="35">
                  <c:v>38.174252374849011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E2-47ED-9F57-2E6BBB67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7584"/>
        <c:axId val="1089857088"/>
      </c:scatterChart>
      <c:valAx>
        <c:axId val="1089857088"/>
        <c:scaling>
          <c:orientation val="minMax"/>
          <c:max val="1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584"/>
        <c:crossesAt val="-60"/>
        <c:crossBetween val="midCat"/>
        <c:majorUnit val="1"/>
      </c:valAx>
      <c:valAx>
        <c:axId val="1089857584"/>
        <c:scaling>
          <c:orientation val="minMax"/>
          <c:max val="-46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088"/>
        <c:crosses val="autoZero"/>
        <c:crossBetween val="midCat"/>
        <c:majorUnit val="1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RH_min = E_i / E_w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6.5364238079717474E-2"/>
          <c:y val="0.15147863827091915"/>
          <c:w val="0.92372024319471824"/>
          <c:h val="0.739260581577523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SAC!$E$44:$E$44</c:f>
              <c:strCache>
                <c:ptCount val="1"/>
                <c:pt idx="0">
                  <c:v>phi = E_i/E_w</c:v>
                </c:pt>
              </c:strCache>
            </c:strRef>
          </c:tx>
          <c:spPr>
            <a:ln w="31747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-0.4860938072017455"/>
                  <c:y val="9.3193340336038183E-2"/>
                </c:manualLayout>
              </c:layout>
              <c:numFmt formatCode="0.00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</c:spPr>
            </c:trendlineLbl>
          </c:trendline>
          <c:xVal>
            <c:numRef>
              <c:f>SAC!$A$45:$A$80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SAC!$E$45:$E$80</c:f>
              <c:numCache>
                <c:formatCode>0.0%</c:formatCode>
                <c:ptCount val="36"/>
                <c:pt idx="0">
                  <c:v>0.56847128295693938</c:v>
                </c:pt>
                <c:pt idx="1">
                  <c:v>0.57289711820748213</c:v>
                </c:pt>
                <c:pt idx="2">
                  <c:v>0.57742462269150729</c:v>
                </c:pt>
                <c:pt idx="3">
                  <c:v>0.58205295353206643</c:v>
                </c:pt>
                <c:pt idx="4">
                  <c:v>0.58678131915932386</c:v>
                </c:pt>
                <c:pt idx="5">
                  <c:v>0.59160897639450538</c:v>
                </c:pt>
                <c:pt idx="6">
                  <c:v>0.59653522771170875</c:v>
                </c:pt>
                <c:pt idx="7">
                  <c:v>0.60155941866523854</c:v>
                </c:pt>
                <c:pt idx="8">
                  <c:v>0.60668093547110646</c:v>
                </c:pt>
                <c:pt idx="9">
                  <c:v>0.61189920273219289</c:v>
                </c:pt>
                <c:pt idx="10">
                  <c:v>0.6172136812973682</c:v>
                </c:pt>
                <c:pt idx="11">
                  <c:v>0.62262386624562949</c:v>
                </c:pt>
                <c:pt idx="12">
                  <c:v>0.62812928498693099</c:v>
                </c:pt>
                <c:pt idx="13">
                  <c:v>0.63372949547205937</c:v>
                </c:pt>
                <c:pt idx="14">
                  <c:v>0.63942408450442911</c:v>
                </c:pt>
                <c:pt idx="15">
                  <c:v>0.6452126661472124</c:v>
                </c:pt>
                <c:pt idx="16">
                  <c:v>0.65109488021969497</c:v>
                </c:pt>
                <c:pt idx="17">
                  <c:v>0.65707039087718688</c:v>
                </c:pt>
                <c:pt idx="18">
                  <c:v>0.66313888526921982</c:v>
                </c:pt>
                <c:pt idx="19">
                  <c:v>0.66930007227113797</c:v>
                </c:pt>
                <c:pt idx="20">
                  <c:v>0.67555368128454274</c:v>
                </c:pt>
                <c:pt idx="21">
                  <c:v>0.68189946110235045</c:v>
                </c:pt>
                <c:pt idx="22">
                  <c:v>0.68833717883452872</c:v>
                </c:pt>
                <c:pt idx="23">
                  <c:v>0.69486661889084977</c:v>
                </c:pt>
                <c:pt idx="24">
                  <c:v>0.70148758201723305</c:v>
                </c:pt>
                <c:pt idx="25">
                  <c:v>0.70819988438250492</c:v>
                </c:pt>
                <c:pt idx="26">
                  <c:v>0.71500335671258763</c:v>
                </c:pt>
                <c:pt idx="27">
                  <c:v>0.72189784346935926</c:v>
                </c:pt>
                <c:pt idx="28">
                  <c:v>0.72888320207158552</c:v>
                </c:pt>
                <c:pt idx="29">
                  <c:v>0.73595930215550465</c:v>
                </c:pt>
                <c:pt idx="30">
                  <c:v>0.74312602487280044</c:v>
                </c:pt>
                <c:pt idx="31">
                  <c:v>0.75038326222386165</c:v>
                </c:pt>
                <c:pt idx="32">
                  <c:v>0.75773091642431989</c:v>
                </c:pt>
                <c:pt idx="33">
                  <c:v>0.76516889930304099</c:v>
                </c:pt>
                <c:pt idx="34">
                  <c:v>0.77269713172981769</c:v>
                </c:pt>
                <c:pt idx="35">
                  <c:v>0.78031554307113105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4D-4982-B8CC-447D336B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8080"/>
        <c:axId val="1089856096"/>
      </c:scatterChart>
      <c:valAx>
        <c:axId val="1089856096"/>
        <c:scaling>
          <c:orientation val="minMax"/>
          <c:max val="0.8"/>
          <c:min val="0.5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relative humidity</a:t>
                </a:r>
              </a:p>
            </c:rich>
          </c:tx>
          <c:layout>
            <c:manualLayout>
              <c:xMode val="edge"/>
              <c:yMode val="edge"/>
              <c:x val="2.4959875575342075E-2"/>
              <c:y val="0.35127390334943476"/>
            </c:manualLayout>
          </c:layout>
          <c:overlay val="0"/>
          <c:spPr>
            <a:noFill/>
            <a:ln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8080"/>
        <c:crossesAt val="-60"/>
        <c:crossBetween val="midCat"/>
        <c:majorUnit val="5.000000000000001E-2"/>
      </c:valAx>
      <c:valAx>
        <c:axId val="1089858080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layout>
            <c:manualLayout>
              <c:xMode val="edge"/>
              <c:yMode val="edge"/>
              <c:x val="0.46532179920829753"/>
              <c:y val="0.89720585966518374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6096"/>
        <c:crossesAt val="-6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DE" b="1">
                <a:solidFill>
                  <a:schemeClr val="tx1"/>
                </a:solidFill>
              </a:rPr>
              <a:t>p(H, H_T)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SAC!$Q$118</c:f>
              <c:strCache>
                <c:ptCount val="1"/>
                <c:pt idx="0">
                  <c:v>H_T = 20000 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SAC!$D$117:$O$117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SAC!$D$118:$O$118</c:f>
              <c:numCache>
                <c:formatCode>0</c:formatCode>
                <c:ptCount val="12"/>
                <c:pt idx="0">
                  <c:v>465.58560984464981</c:v>
                </c:pt>
                <c:pt idx="1">
                  <c:v>366.12653190706061</c:v>
                </c:pt>
                <c:pt idx="2">
                  <c:v>287.91404745309768</c:v>
                </c:pt>
                <c:pt idx="3">
                  <c:v>226.40942815328913</c:v>
                </c:pt>
                <c:pt idx="4">
                  <c:v>214.86371569423667</c:v>
                </c:pt>
                <c:pt idx="5">
                  <c:v>178.04351545247212</c:v>
                </c:pt>
                <c:pt idx="6">
                  <c:v>140.00959965860054</c:v>
                </c:pt>
                <c:pt idx="7">
                  <c:v>110.10054450309049</c:v>
                </c:pt>
                <c:pt idx="8">
                  <c:v>86.580705390456217</c:v>
                </c:pt>
                <c:pt idx="9">
                  <c:v>68.08520865851446</c:v>
                </c:pt>
                <c:pt idx="10">
                  <c:v>53.540746950121701</c:v>
                </c:pt>
                <c:pt idx="11">
                  <c:v>42.103294393274631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B1-455D-9B73-091B0FD800E2}"/>
            </c:ext>
          </c:extLst>
        </c:ser>
        <c:ser>
          <c:idx val="1"/>
          <c:order val="1"/>
          <c:tx>
            <c:strRef>
              <c:f>SAC!$Q$119</c:f>
              <c:strCache>
                <c:ptCount val="1"/>
                <c:pt idx="0">
                  <c:v>H_T = 36089 ft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SAC!$D$117:$O$117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SAC!$D$119:$O$119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187.51987610628152</c:v>
                </c:pt>
                <c:pt idx="6">
                  <c:v>147.46160630983147</c:v>
                </c:pt>
                <c:pt idx="7">
                  <c:v>115.96064261023326</c:v>
                </c:pt>
                <c:pt idx="8">
                  <c:v>91.188960781595142</c:v>
                </c:pt>
                <c:pt idx="9">
                  <c:v>71.709041802890809</c:v>
                </c:pt>
                <c:pt idx="10">
                  <c:v>56.390451565784254</c:v>
                </c:pt>
                <c:pt idx="11">
                  <c:v>44.34424094710004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B1-455D-9B73-091B0FD800E2}"/>
            </c:ext>
          </c:extLst>
        </c:ser>
        <c:ser>
          <c:idx val="2"/>
          <c:order val="2"/>
          <c:tx>
            <c:strRef>
              <c:f>SAC!$Q$120</c:f>
              <c:strCache>
                <c:ptCount val="1"/>
                <c:pt idx="0">
                  <c:v>H_T = 50000 ft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SAC!$D$117:$O$117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SAC!$D$120:$O$120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87.044098295365018</c:v>
                </c:pt>
                <c:pt idx="9">
                  <c:v>68.449610894316407</c:v>
                </c:pt>
                <c:pt idx="10">
                  <c:v>53.827305048121886</c:v>
                </c:pt>
                <c:pt idx="11">
                  <c:v>42.328637531877433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B1-455D-9B73-091B0FD800E2}"/>
            </c:ext>
          </c:extLst>
        </c:ser>
        <c:ser>
          <c:idx val="3"/>
          <c:order val="3"/>
          <c:tx>
            <c:strRef>
              <c:f>SAC!$Q$121</c:f>
              <c:strCache>
                <c:ptCount val="1"/>
                <c:pt idx="0">
                  <c:v>H_T = 70000 ft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SAC!$D$117:$O$117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SAC!$D$121:$O$121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83.422049984400147</c:v>
                </c:pt>
                <c:pt idx="9">
                  <c:v>61.868126276407672</c:v>
                </c:pt>
                <c:pt idx="10">
                  <c:v>45.063286671360494</c:v>
                </c:pt>
                <c:pt idx="11">
                  <c:v>32.161993729646518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B1-455D-9B73-091B0FD8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338271"/>
        <c:axId val="194956047"/>
      </c:scatterChart>
      <c:valAx>
        <c:axId val="1059338271"/>
        <c:scaling>
          <c:orientation val="minMax"/>
          <c:max val="70000"/>
          <c:min val="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altitude, H [ft]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956047"/>
        <c:crosses val="autoZero"/>
        <c:crossBetween val="midCat"/>
      </c:valAx>
      <c:valAx>
        <c:axId val="19495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pressure, p [hPa]</a:t>
                </a:r>
              </a:p>
            </c:rich>
          </c:tx>
          <c:layout>
            <c:manualLayout>
              <c:xMode val="edge"/>
              <c:yMode val="edge"/>
              <c:x val="1.5217045887458923E-2"/>
              <c:y val="0.32421195277638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593382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63408082897157"/>
          <c:y val="0.30692008510931551"/>
          <c:w val="0.17328249692903344"/>
          <c:h val="0.28039018486294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0892388451444"/>
          <c:y val="0.25091790609507147"/>
          <c:w val="0.78884951881014875"/>
          <c:h val="0.6370217264508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t_SAC!$L$3</c:f>
              <c:strCache>
                <c:ptCount val="1"/>
                <c:pt idx="0">
                  <c:v>t_4 [°C]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7677362204724409"/>
                  <c:y val="-5.7106736089823806E-2"/>
                </c:manualLayout>
              </c:layout>
              <c:numFmt formatCode="0.000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t_SAC!$H$4:$H$18</c:f>
              <c:numCache>
                <c:formatCode>0.000</c:formatCode>
                <c:ptCount val="15"/>
                <c:pt idx="0">
                  <c:v>1.7448244358248626</c:v>
                </c:pt>
                <c:pt idx="1">
                  <c:v>1.5045074358248627</c:v>
                </c:pt>
                <c:pt idx="2">
                  <c:v>1.2641904358248628</c:v>
                </c:pt>
                <c:pt idx="3">
                  <c:v>1.0238734358248629</c:v>
                </c:pt>
                <c:pt idx="4">
                  <c:v>0.78355643582486278</c:v>
                </c:pt>
                <c:pt idx="5">
                  <c:v>0.54323943582486289</c:v>
                </c:pt>
                <c:pt idx="6">
                  <c:v>0.30292243582486283</c:v>
                </c:pt>
                <c:pt idx="7">
                  <c:v>6.2605435824862721E-2</c:v>
                </c:pt>
                <c:pt idx="8">
                  <c:v>-0.17771156417513742</c:v>
                </c:pt>
                <c:pt idx="9">
                  <c:v>-0.41802856417513712</c:v>
                </c:pt>
                <c:pt idx="10">
                  <c:v>-0.65834556417513723</c:v>
                </c:pt>
                <c:pt idx="11">
                  <c:v>-0.89866256417513724</c:v>
                </c:pt>
                <c:pt idx="12">
                  <c:v>-1.1389795641751372</c:v>
                </c:pt>
                <c:pt idx="13">
                  <c:v>-1.3792965641751371</c:v>
                </c:pt>
                <c:pt idx="14">
                  <c:v>-1.6196135641751372</c:v>
                </c:pt>
              </c:numCache>
            </c:numRef>
          </c:xVal>
          <c:yVal>
            <c:numRef>
              <c:f>t_SAC!$L$4:$L$18</c:f>
              <c:numCache>
                <c:formatCode>0.00</c:formatCode>
                <c:ptCount val="15"/>
                <c:pt idx="0">
                  <c:v>-27.969787395041863</c:v>
                </c:pt>
                <c:pt idx="1">
                  <c:v>-30.815957844282622</c:v>
                </c:pt>
                <c:pt idx="2">
                  <c:v>-33.583857596267023</c:v>
                </c:pt>
                <c:pt idx="3">
                  <c:v>-36.276777706343097</c:v>
                </c:pt>
                <c:pt idx="4">
                  <c:v>-38.897823077557376</c:v>
                </c:pt>
                <c:pt idx="5">
                  <c:v>-41.449925657060191</c:v>
                </c:pt>
                <c:pt idx="6">
                  <c:v>-43.935856511598502</c:v>
                </c:pt>
                <c:pt idx="7">
                  <c:v>-46.358236892690599</c:v>
                </c:pt>
                <c:pt idx="8">
                  <c:v>-48.719548389687446</c:v>
                </c:pt>
                <c:pt idx="9">
                  <c:v>-51.022142258083875</c:v>
                </c:pt>
                <c:pt idx="10">
                  <c:v>-53.268248000935955</c:v>
                </c:pt>
                <c:pt idx="11">
                  <c:v>-55.459981272893117</c:v>
                </c:pt>
                <c:pt idx="12">
                  <c:v>-57.599351169000101</c:v>
                </c:pt>
                <c:pt idx="13">
                  <c:v>-59.688266953944407</c:v>
                </c:pt>
                <c:pt idx="14">
                  <c:v>-61.728544281696117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5-4913-9EFC-E1C477AE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143184"/>
        <c:axId val="1409142704"/>
      </c:scatterChart>
      <c:valAx>
        <c:axId val="140914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ln(G), G in Pa/°C</a:t>
                </a:r>
              </a:p>
            </c:rich>
          </c:tx>
          <c:layout>
            <c:manualLayout>
              <c:xMode val="edge"/>
              <c:yMode val="edge"/>
              <c:x val="0.44142935258092741"/>
              <c:y val="6.386555847185768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9142704"/>
        <c:crosses val="autoZero"/>
        <c:crossBetween val="midCat"/>
      </c:valAx>
      <c:valAx>
        <c:axId val="140914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t_SAC,approx  [°C]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429833770778652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914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0892388451444"/>
          <c:y val="0.2361111111111111"/>
          <c:w val="0.78884951881014875"/>
          <c:h val="0.64256926217556143"/>
        </c:manualLayout>
      </c:layout>
      <c:scatterChart>
        <c:scatterStyle val="lineMarker"/>
        <c:varyColors val="0"/>
        <c:ser>
          <c:idx val="0"/>
          <c:order val="0"/>
          <c:tx>
            <c:strRef>
              <c:f>t_SAC!$L$3</c:f>
              <c:strCache>
                <c:ptCount val="1"/>
                <c:pt idx="0">
                  <c:v>t_4 [°C]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t_SAC!$G$4:$G$18</c:f>
              <c:numCache>
                <c:formatCode>0.000</c:formatCode>
                <c:ptCount val="15"/>
                <c:pt idx="0">
                  <c:v>5.7248963004907907</c:v>
                </c:pt>
                <c:pt idx="1">
                  <c:v>4.5019355918788637</c:v>
                </c:pt>
                <c:pt idx="2">
                  <c:v>3.5402255359085171</c:v>
                </c:pt>
                <c:pt idx="3">
                  <c:v>2.7839573866200227</c:v>
                </c:pt>
                <c:pt idx="4">
                  <c:v>2.1892443438712217</c:v>
                </c:pt>
                <c:pt idx="5">
                  <c:v>1.7215747698606192</c:v>
                </c:pt>
                <c:pt idx="6">
                  <c:v>1.3538094532562532</c:v>
                </c:pt>
                <c:pt idx="7">
                  <c:v>1.064606700686245</c:v>
                </c:pt>
                <c:pt idx="8">
                  <c:v>0.83718386248520371</c:v>
                </c:pt>
                <c:pt idx="9">
                  <c:v>0.65834342311941108</c:v>
                </c:pt>
                <c:pt idx="10">
                  <c:v>0.51770713959771752</c:v>
                </c:pt>
                <c:pt idx="11">
                  <c:v>0.4071137843536059</c:v>
                </c:pt>
                <c:pt idx="12">
                  <c:v>0.32014554317234889</c:v>
                </c:pt>
                <c:pt idx="13">
                  <c:v>0.25175558468463954</c:v>
                </c:pt>
                <c:pt idx="14">
                  <c:v>0.19797518900890615</c:v>
                </c:pt>
              </c:numCache>
            </c:numRef>
          </c:xVal>
          <c:yVal>
            <c:numRef>
              <c:f>t_SAC!$L$4:$L$18</c:f>
              <c:numCache>
                <c:formatCode>0.00</c:formatCode>
                <c:ptCount val="15"/>
                <c:pt idx="0">
                  <c:v>-27.969787395041863</c:v>
                </c:pt>
                <c:pt idx="1">
                  <c:v>-30.815957844282622</c:v>
                </c:pt>
                <c:pt idx="2">
                  <c:v>-33.583857596267023</c:v>
                </c:pt>
                <c:pt idx="3">
                  <c:v>-36.276777706343097</c:v>
                </c:pt>
                <c:pt idx="4">
                  <c:v>-38.897823077557376</c:v>
                </c:pt>
                <c:pt idx="5">
                  <c:v>-41.449925657060191</c:v>
                </c:pt>
                <c:pt idx="6">
                  <c:v>-43.935856511598502</c:v>
                </c:pt>
                <c:pt idx="7">
                  <c:v>-46.358236892690599</c:v>
                </c:pt>
                <c:pt idx="8">
                  <c:v>-48.719548389687446</c:v>
                </c:pt>
                <c:pt idx="9">
                  <c:v>-51.022142258083875</c:v>
                </c:pt>
                <c:pt idx="10">
                  <c:v>-53.268248000935955</c:v>
                </c:pt>
                <c:pt idx="11">
                  <c:v>-55.459981272893117</c:v>
                </c:pt>
                <c:pt idx="12">
                  <c:v>-57.599351169000101</c:v>
                </c:pt>
                <c:pt idx="13">
                  <c:v>-59.688266953944407</c:v>
                </c:pt>
                <c:pt idx="14">
                  <c:v>-61.728544281696117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9B-4791-ABF5-AA960B6F9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769551"/>
        <c:axId val="737770031"/>
      </c:scatterChart>
      <c:valAx>
        <c:axId val="737769551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G [Pa/°C]</a:t>
                </a:r>
              </a:p>
            </c:rich>
          </c:tx>
          <c:layout>
            <c:manualLayout>
              <c:xMode val="edge"/>
              <c:yMode val="edge"/>
              <c:x val="0.44698490813648295"/>
              <c:y val="6.38655584718576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37770031"/>
        <c:crosses val="autoZero"/>
        <c:crossBetween val="midCat"/>
      </c:valAx>
      <c:valAx>
        <c:axId val="73777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00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t_4 [°C]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3776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0892388451444"/>
          <c:y val="0.2361111111111111"/>
          <c:w val="0.78884951881014875"/>
          <c:h val="0.64256926217556143"/>
        </c:manualLayout>
      </c:layout>
      <c:scatterChart>
        <c:scatterStyle val="lineMarker"/>
        <c:varyColors val="0"/>
        <c:ser>
          <c:idx val="0"/>
          <c:order val="0"/>
          <c:tx>
            <c:strRef>
              <c:f>t_SAC!$L$3</c:f>
              <c:strCache>
                <c:ptCount val="1"/>
                <c:pt idx="0">
                  <c:v>t_4 [°C]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t_SAC!$G$22:$G$53</c:f>
              <c:numCache>
                <c:formatCode>0.000</c:formatCode>
                <c:ptCount val="32"/>
                <c:pt idx="0">
                  <c:v>2.5000000000000001E-2</c:v>
                </c:pt>
                <c:pt idx="1">
                  <c:v>0.05</c:v>
                </c:pt>
                <c:pt idx="2">
                  <c:v>7.4999999999999997E-2</c:v>
                </c:pt>
                <c:pt idx="3">
                  <c:v>0.1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0.6</c:v>
                </c:pt>
                <c:pt idx="9">
                  <c:v>0.7</c:v>
                </c:pt>
                <c:pt idx="10">
                  <c:v>0.8</c:v>
                </c:pt>
                <c:pt idx="11">
                  <c:v>0.9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</c:numCache>
            </c:numRef>
          </c:xVal>
          <c:yVal>
            <c:numRef>
              <c:f>t_SAC!$L$22:$L$53</c:f>
              <c:numCache>
                <c:formatCode>0.00</c:formatCode>
                <c:ptCount val="32"/>
                <c:pt idx="0">
                  <c:v>-77.515590076760247</c:v>
                </c:pt>
                <c:pt idx="1">
                  <c:v>-72.556091492594959</c:v>
                </c:pt>
                <c:pt idx="2">
                  <c:v>-69.508508389327744</c:v>
                </c:pt>
                <c:pt idx="3">
                  <c:v>-67.276291055521313</c:v>
                </c:pt>
                <c:pt idx="4">
                  <c:v>-61.643116578083522</c:v>
                </c:pt>
                <c:pt idx="5">
                  <c:v>-58.169194111709118</c:v>
                </c:pt>
                <c:pt idx="6">
                  <c:v>-55.61866807027323</c:v>
                </c:pt>
                <c:pt idx="7">
                  <c:v>-53.588963099352071</c:v>
                </c:pt>
                <c:pt idx="8">
                  <c:v>-51.896039966742848</c:v>
                </c:pt>
                <c:pt idx="9">
                  <c:v>-50.439739934083121</c:v>
                </c:pt>
                <c:pt idx="10">
                  <c:v>-49.159285963461741</c:v>
                </c:pt>
                <c:pt idx="11">
                  <c:v>-48.014922714811007</c:v>
                </c:pt>
                <c:pt idx="12">
                  <c:v>-46.979171551412009</c:v>
                </c:pt>
                <c:pt idx="13">
                  <c:v>-39.865882347618907</c:v>
                </c:pt>
                <c:pt idx="14">
                  <c:v>-35.447119048545488</c:v>
                </c:pt>
                <c:pt idx="15">
                  <c:v>-32.187073110402878</c:v>
                </c:pt>
                <c:pt idx="16">
                  <c:v>-29.583051758691681</c:v>
                </c:pt>
                <c:pt idx="17">
                  <c:v>-27.404486286707879</c:v>
                </c:pt>
                <c:pt idx="18">
                  <c:v>-25.525570582800015</c:v>
                </c:pt>
                <c:pt idx="19">
                  <c:v>-23.869800472259385</c:v>
                </c:pt>
                <c:pt idx="20">
                  <c:v>-22.387040688394592</c:v>
                </c:pt>
                <c:pt idx="21">
                  <c:v>-21.042581648354741</c:v>
                </c:pt>
                <c:pt idx="22">
                  <c:v>-19.811359382458676</c:v>
                </c:pt>
                <c:pt idx="23">
                  <c:v>-18.674660745644559</c:v>
                </c:pt>
                <c:pt idx="24">
                  <c:v>-17.618130089087316</c:v>
                </c:pt>
                <c:pt idx="25">
                  <c:v>-16.630504151355552</c:v>
                </c:pt>
                <c:pt idx="26">
                  <c:v>-15.702776856471786</c:v>
                </c:pt>
                <c:pt idx="27">
                  <c:v>-14.827629413959585</c:v>
                </c:pt>
                <c:pt idx="28">
                  <c:v>-13.999030366009663</c:v>
                </c:pt>
                <c:pt idx="29">
                  <c:v>-13.211948024945855</c:v>
                </c:pt>
                <c:pt idx="30">
                  <c:v>-12.462139313570816</c:v>
                </c:pt>
                <c:pt idx="31">
                  <c:v>-11.745991809277115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C1-4EB9-BB42-083900E97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769551"/>
        <c:axId val="737770031"/>
      </c:scatterChart>
      <c:valAx>
        <c:axId val="737769551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ysClr val="windowText" lastClr="000000"/>
                    </a:solidFill>
                  </a:rPr>
                  <a:t>G [Pa/°C]</a:t>
                </a:r>
              </a:p>
            </c:rich>
          </c:tx>
          <c:layout>
            <c:manualLayout>
              <c:xMode val="edge"/>
              <c:yMode val="edge"/>
              <c:x val="0.44698490813648295"/>
              <c:y val="6.38655584718576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37770031"/>
        <c:crosses val="autoZero"/>
        <c:crossBetween val="midCat"/>
      </c:valAx>
      <c:valAx>
        <c:axId val="73777003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000" b="0" i="0" u="none" strike="noStrike" kern="1200" spc="0" baseline="0">
                    <a:solidFill>
                      <a:sysClr val="windowText" lastClr="000000"/>
                    </a:solidFill>
                  </a:rPr>
                  <a:t>t_4 [°C]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3776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0892388451444"/>
          <c:y val="0.25091790609507147"/>
          <c:w val="0.78884951881014875"/>
          <c:h val="0.6370217264508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t_SAC!$M$21</c:f>
              <c:strCache>
                <c:ptCount val="1"/>
                <c:pt idx="0">
                  <c:v>t_SLZ [°C]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4751465441819772"/>
                  <c:y val="3.280277135954171E-2"/>
                </c:manualLayout>
              </c:layout>
              <c:numFmt formatCode="0.000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t_SAC!$H$22:$H$53</c:f>
              <c:numCache>
                <c:formatCode>0.00</c:formatCode>
                <c:ptCount val="32"/>
                <c:pt idx="0">
                  <c:v>-3.6888794541139363</c:v>
                </c:pt>
                <c:pt idx="1">
                  <c:v>-2.9957322735539909</c:v>
                </c:pt>
                <c:pt idx="2">
                  <c:v>-2.5902671654458267</c:v>
                </c:pt>
                <c:pt idx="3">
                  <c:v>-2.3025850929940455</c:v>
                </c:pt>
                <c:pt idx="4">
                  <c:v>-1.6094379124341003</c:v>
                </c:pt>
                <c:pt idx="5">
                  <c:v>-1.2039728043259361</c:v>
                </c:pt>
                <c:pt idx="6">
                  <c:v>-0.916290731874155</c:v>
                </c:pt>
                <c:pt idx="7">
                  <c:v>-0.69314718055994529</c:v>
                </c:pt>
                <c:pt idx="8">
                  <c:v>-0.51082562376599072</c:v>
                </c:pt>
                <c:pt idx="9">
                  <c:v>-0.35667494393873245</c:v>
                </c:pt>
                <c:pt idx="10">
                  <c:v>-0.22314355131420971</c:v>
                </c:pt>
                <c:pt idx="11">
                  <c:v>-0.10536051565782628</c:v>
                </c:pt>
                <c:pt idx="12">
                  <c:v>0</c:v>
                </c:pt>
                <c:pt idx="13">
                  <c:v>0.69314718055994529</c:v>
                </c:pt>
                <c:pt idx="14">
                  <c:v>1.0986122886681098</c:v>
                </c:pt>
                <c:pt idx="15">
                  <c:v>1.3862943611198906</c:v>
                </c:pt>
                <c:pt idx="16">
                  <c:v>1.6094379124341003</c:v>
                </c:pt>
                <c:pt idx="17">
                  <c:v>1.791759469228055</c:v>
                </c:pt>
                <c:pt idx="18">
                  <c:v>1.9459101490553132</c:v>
                </c:pt>
                <c:pt idx="19">
                  <c:v>2.0794415416798357</c:v>
                </c:pt>
                <c:pt idx="20">
                  <c:v>2.1972245773362196</c:v>
                </c:pt>
                <c:pt idx="21">
                  <c:v>2.3025850929940459</c:v>
                </c:pt>
                <c:pt idx="22">
                  <c:v>2.3978952727983707</c:v>
                </c:pt>
                <c:pt idx="23">
                  <c:v>2.4849066497880004</c:v>
                </c:pt>
                <c:pt idx="24">
                  <c:v>2.5649493574615367</c:v>
                </c:pt>
                <c:pt idx="25">
                  <c:v>2.6390573296152584</c:v>
                </c:pt>
                <c:pt idx="26">
                  <c:v>2.7080502011022101</c:v>
                </c:pt>
                <c:pt idx="27">
                  <c:v>2.7725887222397811</c:v>
                </c:pt>
                <c:pt idx="28">
                  <c:v>2.8332133440562162</c:v>
                </c:pt>
                <c:pt idx="29">
                  <c:v>2.8903717578961645</c:v>
                </c:pt>
                <c:pt idx="30">
                  <c:v>2.9444389791664403</c:v>
                </c:pt>
                <c:pt idx="31">
                  <c:v>2.9957322735539909</c:v>
                </c:pt>
              </c:numCache>
            </c:numRef>
          </c:xVal>
          <c:yVal>
            <c:numRef>
              <c:f>t_SAC!$M$22:$M$53</c:f>
              <c:numCache>
                <c:formatCode>0.00</c:formatCode>
                <c:ptCount val="32"/>
                <c:pt idx="0">
                  <c:v>-77.103000923758813</c:v>
                </c:pt>
                <c:pt idx="1">
                  <c:v>-72.527278113610748</c:v>
                </c:pt>
                <c:pt idx="2">
                  <c:v>-69.617463784938082</c:v>
                </c:pt>
                <c:pt idx="3">
                  <c:v>-67.448530606950612</c:v>
                </c:pt>
                <c:pt idx="4">
                  <c:v>-61.866758403778398</c:v>
                </c:pt>
                <c:pt idx="5">
                  <c:v>-58.368442906313305</c:v>
                </c:pt>
                <c:pt idx="6">
                  <c:v>-55.781961504094106</c:v>
                </c:pt>
                <c:pt idx="7">
                  <c:v>-53.716059378425797</c:v>
                </c:pt>
                <c:pt idx="8">
                  <c:v>-51.989395422232803</c:v>
                </c:pt>
                <c:pt idx="9">
                  <c:v>-50.502369770727867</c:v>
                </c:pt>
                <c:pt idx="10">
                  <c:v>-49.194139907897735</c:v>
                </c:pt>
                <c:pt idx="11">
                  <c:v>-48.024703782684441</c:v>
                </c:pt>
                <c:pt idx="12">
                  <c:v>-46.966299999999997</c:v>
                </c:pt>
                <c:pt idx="13">
                  <c:v>-39.713515925062119</c:v>
                </c:pt>
                <c:pt idx="14">
                  <c:v>-35.237721144354239</c:v>
                </c:pt>
                <c:pt idx="15">
                  <c:v>-31.957707153612162</c:v>
                </c:pt>
                <c:pt idx="16">
                  <c:v>-29.353859359532166</c:v>
                </c:pt>
                <c:pt idx="17">
                  <c:v>-27.18766178850808</c:v>
                </c:pt>
                <c:pt idx="18">
                  <c:v>-25.329015760759223</c:v>
                </c:pt>
                <c:pt idx="19">
                  <c:v>-23.698873685650128</c:v>
                </c:pt>
                <c:pt idx="20">
                  <c:v>-22.245490865716928</c:v>
                </c:pt>
                <c:pt idx="21">
                  <c:v>-20.933088109340702</c:v>
                </c:pt>
                <c:pt idx="22">
                  <c:v>-19.735863156534744</c:v>
                </c:pt>
                <c:pt idx="23">
                  <c:v>-18.634577736149836</c:v>
                </c:pt>
                <c:pt idx="24">
                  <c:v>-17.614493529220095</c:v>
                </c:pt>
                <c:pt idx="25">
                  <c:v>-16.664062828151629</c:v>
                </c:pt>
                <c:pt idx="26">
                  <c:v>-15.774064629786253</c:v>
                </c:pt>
                <c:pt idx="27">
                  <c:v>-14.937015521176015</c:v>
                </c:pt>
                <c:pt idx="28">
                  <c:v>-14.146756520656751</c:v>
                </c:pt>
                <c:pt idx="29">
                  <c:v>-13.398156228962485</c:v>
                </c:pt>
                <c:pt idx="30">
                  <c:v>-12.686893008127385</c:v>
                </c:pt>
                <c:pt idx="31">
                  <c:v>-12.009292162637166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25-47D5-A426-04BF44276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143184"/>
        <c:axId val="1409142704"/>
      </c:scatterChart>
      <c:valAx>
        <c:axId val="1409143184"/>
        <c:scaling>
          <c:orientation val="minMax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ysClr val="windowText" lastClr="000000"/>
                    </a:solidFill>
                  </a:rPr>
                  <a:t>ln(G), G in Pa/°C</a:t>
                </a:r>
              </a:p>
            </c:rich>
          </c:tx>
          <c:layout>
            <c:manualLayout>
              <c:xMode val="edge"/>
              <c:yMode val="edge"/>
              <c:x val="0.44698490813648295"/>
              <c:y val="6.386556899265007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9142704"/>
        <c:crosses val="autoZero"/>
        <c:crossBetween val="midCat"/>
      </c:valAx>
      <c:valAx>
        <c:axId val="140914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spc="0" baseline="0">
                    <a:solidFill>
                      <a:sysClr val="windowText" lastClr="000000"/>
                    </a:solidFill>
                  </a:rPr>
                  <a:t>t_SAC,approx  [°C]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429833770778652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9143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SAD!$A$226:$A$226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EC-4352-8BD6-C5E9DD1199D7}"/>
            </c:ext>
          </c:extLst>
        </c:ser>
        <c:ser>
          <c:idx val="1"/>
          <c:order val="1"/>
          <c:tx>
            <c:strRef>
              <c:f>SAD!$A$227:$A$227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EC-4352-8BD6-C5E9DD1199D7}"/>
            </c:ext>
          </c:extLst>
        </c:ser>
        <c:ser>
          <c:idx val="2"/>
          <c:order val="2"/>
          <c:tx>
            <c:strRef>
              <c:f>SAD!$A$234:$A$234</c:f>
              <c:strCache>
                <c:ptCount val="1"/>
                <c:pt idx="0">
                  <c:v>t_ICAO, H_T,equator</c:v>
                </c:pt>
              </c:strCache>
            </c:strRef>
          </c:tx>
          <c:spPr>
            <a:ln w="19046" cap="rnd">
              <a:solidFill>
                <a:srgbClr val="FF0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SAD!$D$234:$O$234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-64.24799999999999</c:v>
                </c:pt>
                <c:pt idx="6">
                  <c:v>-74.153999999999996</c:v>
                </c:pt>
                <c:pt idx="7">
                  <c:v>-84.059999999999988</c:v>
                </c:pt>
                <c:pt idx="8">
                  <c:v>-84.059999999999988</c:v>
                </c:pt>
                <c:pt idx="9">
                  <c:v>-84.059999999999988</c:v>
                </c:pt>
                <c:pt idx="10">
                  <c:v>-84.059999999999988</c:v>
                </c:pt>
                <c:pt idx="11">
                  <c:v>-84.059999999999988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EC-4352-8BD6-C5E9DD1199D7}"/>
            </c:ext>
          </c:extLst>
        </c:ser>
        <c:ser>
          <c:idx val="3"/>
          <c:order val="3"/>
          <c:tx>
            <c:strRef>
              <c:f>SAD!$A$233:$A$233</c:f>
              <c:strCache>
                <c:ptCount val="1"/>
                <c:pt idx="0">
                  <c:v>t_ICAO,H_T,lat,strato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SAD!$D$233:$O$233</c:f>
              <c:numCache>
                <c:formatCode>0.0</c:formatCode>
                <c:ptCount val="12"/>
                <c:pt idx="0">
                  <c:v>-53.648335677208834</c:v>
                </c:pt>
                <c:pt idx="1">
                  <c:v>-53.648335677208834</c:v>
                </c:pt>
                <c:pt idx="2">
                  <c:v>-53.648335677208834</c:v>
                </c:pt>
                <c:pt idx="3">
                  <c:v>-53.648335677208834</c:v>
                </c:pt>
                <c:pt idx="4">
                  <c:v>-53.648335677208834</c:v>
                </c:pt>
                <c:pt idx="5">
                  <c:v>-53.648335677208834</c:v>
                </c:pt>
                <c:pt idx="6">
                  <c:v>-53.648335677208834</c:v>
                </c:pt>
                <c:pt idx="7">
                  <c:v>-53.648335677208834</c:v>
                </c:pt>
                <c:pt idx="8">
                  <c:v>-53.648335677208834</c:v>
                </c:pt>
                <c:pt idx="9">
                  <c:v>-53.648335677208834</c:v>
                </c:pt>
                <c:pt idx="10">
                  <c:v>-53.648335677208834</c:v>
                </c:pt>
                <c:pt idx="11">
                  <c:v>-53.648335677208834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EC-4352-8BD6-C5E9DD1199D7}"/>
            </c:ext>
          </c:extLst>
        </c:ser>
        <c:ser>
          <c:idx val="4"/>
          <c:order val="4"/>
          <c:tx>
            <c:strRef>
              <c:f>SAD!$A$232:$A$232</c:f>
              <c:strCache>
                <c:ptCount val="1"/>
                <c:pt idx="0">
                  <c:v>t_ICAO,H_T,lat,tropo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SAD!$D$232:$O$232</c:f>
              <c:numCache>
                <c:formatCode>0.0</c:formatCode>
                <c:ptCount val="12"/>
                <c:pt idx="0">
                  <c:v>-19.623999999999995</c:v>
                </c:pt>
                <c:pt idx="1">
                  <c:v>-29.529999999999994</c:v>
                </c:pt>
                <c:pt idx="2">
                  <c:v>-39.435999999999993</c:v>
                </c:pt>
                <c:pt idx="3">
                  <c:v>-49.341999999999999</c:v>
                </c:pt>
                <c:pt idx="4">
                  <c:v>-51.499526799999998</c:v>
                </c:pt>
                <c:pt idx="5">
                  <c:v>-59.24799999999999</c:v>
                </c:pt>
                <c:pt idx="6">
                  <c:v>-69.153999999999996</c:v>
                </c:pt>
                <c:pt idx="7">
                  <c:v>-79.059999999999988</c:v>
                </c:pt>
                <c:pt idx="8">
                  <c:v>-88.965999999999994</c:v>
                </c:pt>
                <c:pt idx="9">
                  <c:v>-98.871999999999986</c:v>
                </c:pt>
                <c:pt idx="10">
                  <c:v>-108.77799999999999</c:v>
                </c:pt>
                <c:pt idx="11">
                  <c:v>-118.684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EC-4352-8BD6-C5E9DD1199D7}"/>
            </c:ext>
          </c:extLst>
        </c:ser>
        <c:ser>
          <c:idx val="5"/>
          <c:order val="5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EC-4352-8BD6-C5E9DD1199D7}"/>
            </c:ext>
          </c:extLst>
        </c:ser>
        <c:ser>
          <c:idx val="6"/>
          <c:order val="6"/>
          <c:tx>
            <c:strRef>
              <c:f>SAD!$A$231:$A$231</c:f>
              <c:strCache>
                <c:ptCount val="1"/>
                <c:pt idx="0">
                  <c:v>t_ICAO,H_T,pole</c:v>
                </c:pt>
              </c:strCache>
            </c:strRef>
          </c:tx>
          <c:spPr>
            <a:ln w="19046" cap="rnd">
              <a:solidFill>
                <a:schemeClr val="bg1">
                  <a:lumMod val="50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SAD!$D$231:$O$231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-44.435999999999993</c:v>
                </c:pt>
                <c:pt idx="4">
                  <c:v>-44.435999999999993</c:v>
                </c:pt>
                <c:pt idx="5">
                  <c:v>-44.435999999999993</c:v>
                </c:pt>
                <c:pt idx="6">
                  <c:v>-44.435999999999993</c:v>
                </c:pt>
                <c:pt idx="7">
                  <c:v>-44.435999999999993</c:v>
                </c:pt>
                <c:pt idx="8">
                  <c:v>-44.435999999999993</c:v>
                </c:pt>
                <c:pt idx="9">
                  <c:v>-44.435999999999993</c:v>
                </c:pt>
                <c:pt idx="10">
                  <c:v>-44.435999999999993</c:v>
                </c:pt>
                <c:pt idx="11">
                  <c:v>-44.435999999999993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EC-4352-8BD6-C5E9DD1199D7}"/>
            </c:ext>
          </c:extLst>
        </c:ser>
        <c:ser>
          <c:idx val="7"/>
          <c:order val="7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400173" sp="200173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EC-4352-8BD6-C5E9DD1199D7}"/>
            </c:ext>
          </c:extLst>
        </c:ser>
        <c:ser>
          <c:idx val="8"/>
          <c:order val="8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  <a:ds d="200000" sp="0"/>
                <a:ds d="200000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DEC-4352-8BD6-C5E9DD1199D7}"/>
            </c:ext>
          </c:extLst>
        </c:ser>
        <c:ser>
          <c:idx val="9"/>
          <c:order val="9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DEC-4352-8BD6-C5E9DD11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9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7.xml"/><Relationship Id="rId7" Type="http://schemas.openxmlformats.org/officeDocument/2006/relationships/image" Target="../media/image7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chart" Target="../charts/chart11.xml"/><Relationship Id="rId7" Type="http://schemas.openxmlformats.org/officeDocument/2006/relationships/chart" Target="../charts/chart14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9.png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gif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9528</xdr:colOff>
      <xdr:row>3</xdr:row>
      <xdr:rowOff>28575</xdr:rowOff>
    </xdr:from>
    <xdr:ext cx="3357667" cy="561907"/>
    <xdr:pic>
      <xdr:nvPicPr>
        <xdr:cNvPr id="2" name="Grafik 1">
          <a:extLst>
            <a:ext uri="{FF2B5EF4-FFF2-40B4-BE49-F238E27FC236}">
              <a16:creationId xmlns:a16="http://schemas.microsoft.com/office/drawing/2014/main" id="{645195B4-44F5-63C1-CEC5-E50F268E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3" y="676275"/>
          <a:ext cx="3357667" cy="5619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533396</xdr:colOff>
      <xdr:row>3</xdr:row>
      <xdr:rowOff>60798</xdr:rowOff>
    </xdr:from>
    <xdr:ext cx="2105021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solidFill>
              <a:sysClr val="window" lastClr="FFFFFF"/>
            </a:solidFill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solidFill>
              <a:sysClr val="window" lastClr="FFFFFF"/>
            </a:solidFill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28575</xdr:colOff>
      <xdr:row>31</xdr:row>
      <xdr:rowOff>142875</xdr:rowOff>
    </xdr:from>
    <xdr:ext cx="1586173" cy="760012"/>
    <xdr:pic>
      <xdr:nvPicPr>
        <xdr:cNvPr id="7" name="Grafik 3">
          <a:extLst>
            <a:ext uri="{FF2B5EF4-FFF2-40B4-BE49-F238E27FC236}">
              <a16:creationId xmlns:a16="http://schemas.microsoft.com/office/drawing/2014/main" id="{3A4CA161-A1D9-5437-F23F-6E8EB6E4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6124575"/>
          <a:ext cx="1586173" cy="76001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542925</xdr:colOff>
      <xdr:row>6</xdr:row>
      <xdr:rowOff>60798</xdr:rowOff>
    </xdr:from>
    <xdr:ext cx="2076450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6934200" y="1279998"/>
              <a:ext cx="2076450" cy="501173"/>
            </a:xfrm>
            <a:prstGeom prst="rect">
              <a:avLst/>
            </a:prstGeom>
            <a:solidFill>
              <a:sysClr val="window" lastClr="FFFFFF"/>
            </a:solidFill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6934200" y="1279998"/>
              <a:ext cx="2076450" cy="501173"/>
            </a:xfrm>
            <a:prstGeom prst="rect">
              <a:avLst/>
            </a:prstGeom>
            <a:solidFill>
              <a:sysClr val="window" lastClr="FFFFFF"/>
            </a:solidFill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19046</xdr:colOff>
      <xdr:row>6</xdr:row>
      <xdr:rowOff>76196</xdr:rowOff>
    </xdr:from>
    <xdr:ext cx="3348569" cy="523814"/>
    <xdr:pic>
      <xdr:nvPicPr>
        <xdr:cNvPr id="4" name="Grafik 5">
          <a:extLst>
            <a:ext uri="{FF2B5EF4-FFF2-40B4-BE49-F238E27FC236}">
              <a16:creationId xmlns:a16="http://schemas.microsoft.com/office/drawing/2014/main" id="{F57F6FB8-C9FF-9D4D-7FAA-1DD7D7EF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9921" y="1295396"/>
          <a:ext cx="3348569" cy="5238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228600</xdr:colOff>
      <xdr:row>42</xdr:row>
      <xdr:rowOff>180978</xdr:rowOff>
    </xdr:from>
    <xdr:ext cx="6819896" cy="3910010"/>
    <xdr:graphicFrame macro="">
      <xdr:nvGraphicFramePr>
        <xdr:cNvPr id="8" name="Diagramm 6">
          <a:extLst>
            <a:ext uri="{FF2B5EF4-FFF2-40B4-BE49-F238E27FC236}">
              <a16:creationId xmlns:a16="http://schemas.microsoft.com/office/drawing/2014/main" id="{7C4094A6-730B-2556-BCFD-004D54F6BE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228600</xdr:colOff>
      <xdr:row>64</xdr:row>
      <xdr:rowOff>142878</xdr:rowOff>
    </xdr:from>
    <xdr:ext cx="6819896" cy="3910010"/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29760E0-B48A-DC7C-3027-36C9D056C7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229125</xdr:colOff>
      <xdr:row>86</xdr:row>
      <xdr:rowOff>112182</xdr:rowOff>
    </xdr:from>
    <xdr:ext cx="6828900" cy="3928006"/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93E8BA0-92B4-EE1F-13D6-ED888B66D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14</xdr:col>
      <xdr:colOff>733421</xdr:colOff>
      <xdr:row>6</xdr:row>
      <xdr:rowOff>123828</xdr:rowOff>
    </xdr:from>
    <xdr:ext cx="5372849" cy="4191582"/>
    <xdr:pic>
      <xdr:nvPicPr>
        <xdr:cNvPr id="6" name="Grafik 13">
          <a:extLst>
            <a:ext uri="{FF2B5EF4-FFF2-40B4-BE49-F238E27FC236}">
              <a16:creationId xmlns:a16="http://schemas.microsoft.com/office/drawing/2014/main" id="{4A4E9E70-DE90-F072-3F03-930F311C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96696" y="1343028"/>
          <a:ext cx="5372849" cy="419158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6</xdr:col>
      <xdr:colOff>57149</xdr:colOff>
      <xdr:row>121</xdr:row>
      <xdr:rowOff>190498</xdr:rowOff>
    </xdr:from>
    <xdr:to>
      <xdr:col>15</xdr:col>
      <xdr:colOff>581025</xdr:colOff>
      <xdr:row>142</xdr:row>
      <xdr:rowOff>104775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FDAB33C4-2E4B-4D99-F053-707512AD6B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187326</xdr:colOff>
      <xdr:row>3</xdr:row>
      <xdr:rowOff>79372</xdr:rowOff>
    </xdr:from>
    <xdr:to>
      <xdr:col>25</xdr:col>
      <xdr:colOff>187326</xdr:colOff>
      <xdr:row>17</xdr:row>
      <xdr:rowOff>142873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841D9EAE-9FB3-976B-1EE2-3666AE5D31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63500</xdr:colOff>
      <xdr:row>3</xdr:row>
      <xdr:rowOff>69055</xdr:rowOff>
    </xdr:from>
    <xdr:to>
      <xdr:col>19</xdr:col>
      <xdr:colOff>63500</xdr:colOff>
      <xdr:row>17</xdr:row>
      <xdr:rowOff>145255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C6682E-3090-B028-7724-7EF6DC011F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79375</xdr:colOff>
      <xdr:row>21</xdr:row>
      <xdr:rowOff>71437</xdr:rowOff>
    </xdr:from>
    <xdr:to>
      <xdr:col>19</xdr:col>
      <xdr:colOff>79375</xdr:colOff>
      <xdr:row>35</xdr:row>
      <xdr:rowOff>147637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1155A78-FC2C-4BD6-9EE2-679A618F8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206374</xdr:colOff>
      <xdr:row>21</xdr:row>
      <xdr:rowOff>87314</xdr:rowOff>
    </xdr:from>
    <xdr:to>
      <xdr:col>25</xdr:col>
      <xdr:colOff>206374</xdr:colOff>
      <xdr:row>35</xdr:row>
      <xdr:rowOff>150815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5D607547-F264-4C18-AEE1-BD2BFBF0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190499</xdr:colOff>
      <xdr:row>32</xdr:row>
      <xdr:rowOff>87312</xdr:rowOff>
    </xdr:from>
    <xdr:to>
      <xdr:col>2</xdr:col>
      <xdr:colOff>649329</xdr:colOff>
      <xdr:row>36</xdr:row>
      <xdr:rowOff>31750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F0C86C4D-259E-7B6E-C304-0E29CACE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6294437"/>
          <a:ext cx="2093955" cy="706438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198437</xdr:colOff>
      <xdr:row>49</xdr:row>
      <xdr:rowOff>142875</xdr:rowOff>
    </xdr:from>
    <xdr:to>
      <xdr:col>5</xdr:col>
      <xdr:colOff>238125</xdr:colOff>
      <xdr:row>65</xdr:row>
      <xdr:rowOff>63049</xdr:rowOff>
    </xdr:to>
    <xdr:pic>
      <xdr:nvPicPr>
        <xdr:cNvPr id="13" name="Bild 1">
          <a:extLst>
            <a:ext uri="{FF2B5EF4-FFF2-40B4-BE49-F238E27FC236}">
              <a16:creationId xmlns:a16="http://schemas.microsoft.com/office/drawing/2014/main" id="{9B3D1980-9567-97C2-0FC9-F37C03F4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" y="9747250"/>
          <a:ext cx="3960813" cy="29681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206376</xdr:colOff>
      <xdr:row>71</xdr:row>
      <xdr:rowOff>126996</xdr:rowOff>
    </xdr:from>
    <xdr:to>
      <xdr:col>3</xdr:col>
      <xdr:colOff>47626</xdr:colOff>
      <xdr:row>74</xdr:row>
      <xdr:rowOff>90484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CF499349-98F5-4209-8904-DD0F3AE67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6" y="13962059"/>
          <a:ext cx="2238375" cy="53498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0</xdr:col>
      <xdr:colOff>214316</xdr:colOff>
      <xdr:row>84</xdr:row>
      <xdr:rowOff>87306</xdr:rowOff>
    </xdr:from>
    <xdr:to>
      <xdr:col>1</xdr:col>
      <xdr:colOff>223841</xdr:colOff>
      <xdr:row>85</xdr:row>
      <xdr:rowOff>77781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EFDB4CE-DE4A-4198-9AB3-DB6CA8DBA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6" y="15065369"/>
          <a:ext cx="771525" cy="180975"/>
        </a:xfrm>
        <a:prstGeom prst="rect">
          <a:avLst/>
        </a:prstGeom>
        <a:solidFill>
          <a:sysClr val="window" lastClr="FFFFFF"/>
        </a:solidFill>
        <a:ln w="6350">
          <a:solidFill>
            <a:schemeClr val="tx1"/>
          </a:solidFill>
        </a:ln>
      </xdr:spPr>
    </xdr:pic>
    <xdr:clientData/>
  </xdr:twoCellAnchor>
  <xdr:twoCellAnchor>
    <xdr:from>
      <xdr:col>0</xdr:col>
      <xdr:colOff>158748</xdr:colOff>
      <xdr:row>23</xdr:row>
      <xdr:rowOff>63499</xdr:rowOff>
    </xdr:from>
    <xdr:to>
      <xdr:col>4</xdr:col>
      <xdr:colOff>754062</xdr:colOff>
      <xdr:row>26</xdr:row>
      <xdr:rowOff>102869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feld 7">
              <a:extLst>
                <a:ext uri="{FF2B5EF4-FFF2-40B4-BE49-F238E27FC236}">
                  <a16:creationId xmlns:a16="http://schemas.microsoft.com/office/drawing/2014/main" id="{C8DEC882-2FDA-518A-0D2D-5AC60A9841A7}"/>
                </a:ext>
              </a:extLst>
            </xdr:cNvPr>
            <xdr:cNvSpPr txBox="1"/>
          </xdr:nvSpPr>
          <xdr:spPr>
            <a:xfrm>
              <a:off x="158748" y="4556124"/>
              <a:ext cx="3754439" cy="610870"/>
            </a:xfrm>
            <a:prstGeom prst="rect">
              <a:avLst/>
            </a:prstGeom>
            <a:solidFill>
              <a:sysClr val="window" lastClr="FFFFFF"/>
            </a:solidFill>
            <a:ln w="12700" cap="flat" cmpd="sng" algn="ctr">
              <a:solidFill>
                <a:sysClr val="windowText" lastClr="000000"/>
              </a:solidFill>
              <a:prstDash val="solid"/>
              <a:miter lim="800000"/>
            </a:ln>
            <a:effectLst/>
          </xdr:spPr>
          <xdr:txBody>
            <a:bodyPr wrap="square" lIns="0" tIns="0" rIns="0" bIns="0" rtlCol="0" anchor="ctr">
              <a:noAutofit/>
            </a:bodyPr>
            <a:lstStyle/>
            <a:p>
              <a:pPr algn="ctr" hangingPunct="0">
                <a:buNone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𝑆𝐴𝐶</m:t>
                        </m:r>
                      </m:sub>
                    </m:sSub>
                    <m:r>
                      <a:rPr lang="de-DE" sz="1100" i="1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nor/>
                      </m:rPr>
                      <a:rPr lang="de-DE" sz="11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</a:rPr>
                      <m:t>0.523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</a:rPr>
                      <m:t> </m:t>
                    </m:r>
                    <m:sSup>
                      <m:sSupPr>
                        <m:ctrlP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m:rPr>
                            <m:sty m:val="p"/>
                          </m:rPr>
                          <a:rPr lang="de-DE" sz="1100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ln</m:t>
                        </m:r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𝐺</m:t>
                        </m:r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)</m:t>
                        </m:r>
                      </m:e>
                      <m:sup>
                        <m:r>
                          <a:rPr lang="de-DE" sz="1100" i="1">
                            <a:solidFill>
                              <a:srgbClr val="000000"/>
                            </a:solidFill>
                            <a:effectLst/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  <m:r>
                      <a:rPr lang="de-DE" sz="1100" i="1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+10.1 </m:t>
                    </m:r>
                    <m:r>
                      <m:rPr>
                        <m:sty m:val="p"/>
                      </m:rPr>
                      <a:rPr lang="de-DE" sz="1100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ln</m:t>
                    </m:r>
                    <m:r>
                      <a:rPr lang="de-DE" sz="1100" i="1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⁡(</m:t>
                    </m:r>
                    <m:r>
                      <a:rPr lang="de-DE" sz="1100" i="1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𝐺</m:t>
                    </m:r>
                    <m:r>
                      <a:rPr lang="de-DE" sz="1100" i="1">
                        <a:solidFill>
                          <a:srgbClr val="000000"/>
                        </a:solidFill>
                        <a:effectLst/>
                        <a:latin typeface="Cambria Math" panose="02040503050406030204" pitchFamily="18" charset="0"/>
                      </a:rPr>
                      <m:t>)</m:t>
                    </m:r>
                    <m:r>
                      <m:rPr>
                        <m:nor/>
                      </m:rPr>
                      <a:rPr lang="de-DE" sz="1100" i="1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</a:rPr>
                      <m:t> </m:t>
                    </m:r>
                    <m:r>
                      <m:rPr>
                        <m:nor/>
                      </m:rPr>
                      <a:rPr lang="de-DE" sz="11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</a:rPr>
                      <m:t>−46.97</m:t>
                    </m:r>
                  </m:oMath>
                </m:oMathPara>
              </a14:m>
              <a:endParaRPr lang="de-DE" sz="10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0" name="Textfeld 7">
              <a:extLst>
                <a:ext uri="{FF2B5EF4-FFF2-40B4-BE49-F238E27FC236}">
                  <a16:creationId xmlns:a16="http://schemas.microsoft.com/office/drawing/2014/main" id="{C8DEC882-2FDA-518A-0D2D-5AC60A9841A7}"/>
                </a:ext>
              </a:extLst>
            </xdr:cNvPr>
            <xdr:cNvSpPr txBox="1"/>
          </xdr:nvSpPr>
          <xdr:spPr>
            <a:xfrm>
              <a:off x="158748" y="4556124"/>
              <a:ext cx="3754439" cy="610870"/>
            </a:xfrm>
            <a:prstGeom prst="rect">
              <a:avLst/>
            </a:prstGeom>
            <a:solidFill>
              <a:sysClr val="window" lastClr="FFFFFF"/>
            </a:solidFill>
            <a:ln w="12700" cap="flat" cmpd="sng" algn="ctr">
              <a:solidFill>
                <a:sysClr val="windowText" lastClr="000000"/>
              </a:solidFill>
              <a:prstDash val="solid"/>
              <a:miter lim="800000"/>
            </a:ln>
            <a:effectLst/>
          </xdr:spPr>
          <xdr:txBody>
            <a:bodyPr wrap="square" lIns="0" tIns="0" rIns="0" bIns="0" rtlCol="0" anchor="ctr">
              <a:noAutofit/>
            </a:bodyPr>
            <a:lstStyle/>
            <a:p>
              <a:pPr algn="ctr" hangingPunct="0">
                <a:buNone/>
              </a:pPr>
              <a:r>
                <a:rPr lang="de-DE" sz="1100" i="0">
                  <a:solidFill>
                    <a:srgbClr val="000000"/>
                  </a:solidFill>
                  <a:effectLst/>
                  <a:latin typeface="Cambria Math" panose="02040503050406030204" pitchFamily="18" charset="0"/>
                </a:rPr>
                <a:t>𝑡_𝑆𝐴𝐶="0.523 " 〖ln(𝐺)〗^2+10.1 ln⁡(𝐺)" −46.97</a:t>
              </a:r>
              <a:r>
                <a:rPr lang="de-DE" sz="1100" i="0">
                  <a:solidFill>
                    <a:srgbClr val="000000"/>
                  </a:solidFill>
                  <a:effectLst/>
                  <a:latin typeface="Calibri" panose="020F0502020204030204" pitchFamily="34" charset="0"/>
                </a:rPr>
                <a:t>"</a:t>
              </a:r>
              <a:endParaRPr lang="de-DE" sz="10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385757</xdr:colOff>
      <xdr:row>235</xdr:row>
      <xdr:rowOff>42867</xdr:rowOff>
    </xdr:from>
    <xdr:ext cx="7453310" cy="5910260"/>
    <xdr:graphicFrame macro="">
      <xdr:nvGraphicFramePr>
        <xdr:cNvPr id="5" name="Diagramm 6">
          <a:extLst>
            <a:ext uri="{FF2B5EF4-FFF2-40B4-BE49-F238E27FC236}">
              <a16:creationId xmlns:a16="http://schemas.microsoft.com/office/drawing/2014/main" id="{DD3E3177-70BB-E594-04A8-EBE6E0FA6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657225</xdr:colOff>
      <xdr:row>145</xdr:row>
      <xdr:rowOff>109535</xdr:rowOff>
    </xdr:from>
    <xdr:ext cx="5934071" cy="3500442"/>
    <xdr:graphicFrame macro="">
      <xdr:nvGraphicFramePr>
        <xdr:cNvPr id="2" name="Diagramm 7">
          <a:extLst>
            <a:ext uri="{FF2B5EF4-FFF2-40B4-BE49-F238E27FC236}">
              <a16:creationId xmlns:a16="http://schemas.microsoft.com/office/drawing/2014/main" id="{AF539E70-0597-9C41-3C62-5F2A697A8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228596</xdr:colOff>
      <xdr:row>179</xdr:row>
      <xdr:rowOff>3</xdr:rowOff>
    </xdr:from>
    <xdr:ext cx="5524503" cy="2743200"/>
    <xdr:graphicFrame macro="">
      <xdr:nvGraphicFramePr>
        <xdr:cNvPr id="3" name="Diagramm 9">
          <a:extLst>
            <a:ext uri="{FF2B5EF4-FFF2-40B4-BE49-F238E27FC236}">
              <a16:creationId xmlns:a16="http://schemas.microsoft.com/office/drawing/2014/main" id="{D8C11B6E-5280-F621-0FF5-12F1A4AEDA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6</xdr:col>
      <xdr:colOff>304796</xdr:colOff>
      <xdr:row>206</xdr:row>
      <xdr:rowOff>128592</xdr:rowOff>
    </xdr:from>
    <xdr:ext cx="6076946" cy="2471742"/>
    <xdr:graphicFrame macro="">
      <xdr:nvGraphicFramePr>
        <xdr:cNvPr id="4" name="Diagramm 10">
          <a:extLst>
            <a:ext uri="{FF2B5EF4-FFF2-40B4-BE49-F238E27FC236}">
              <a16:creationId xmlns:a16="http://schemas.microsoft.com/office/drawing/2014/main" id="{C62ECFE1-3136-A90C-DADB-ACDE3787F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381003</xdr:colOff>
      <xdr:row>268</xdr:row>
      <xdr:rowOff>161921</xdr:rowOff>
    </xdr:from>
    <xdr:ext cx="7453310" cy="6938960"/>
    <xdr:graphicFrame macro="">
      <xdr:nvGraphicFramePr>
        <xdr:cNvPr id="6" name="Diagramm 11">
          <a:extLst>
            <a:ext uri="{FF2B5EF4-FFF2-40B4-BE49-F238E27FC236}">
              <a16:creationId xmlns:a16="http://schemas.microsoft.com/office/drawing/2014/main" id="{6BDA01AA-5459-8A9D-DBE8-FAE48D0DDD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18</xdr:col>
      <xdr:colOff>171450</xdr:colOff>
      <xdr:row>145</xdr:row>
      <xdr:rowOff>76200</xdr:rowOff>
    </xdr:from>
    <xdr:to>
      <xdr:col>25</xdr:col>
      <xdr:colOff>181721</xdr:colOff>
      <xdr:row>167</xdr:row>
      <xdr:rowOff>105364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1890F0A-89D7-F680-84B0-6AA5FE4F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8003500"/>
          <a:ext cx="5344271" cy="422016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306</xdr:row>
      <xdr:rowOff>171448</xdr:rowOff>
    </xdr:from>
    <xdr:to>
      <xdr:col>15</xdr:col>
      <xdr:colOff>123825</xdr:colOff>
      <xdr:row>328</xdr:row>
      <xdr:rowOff>152399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71EF9639-E4E2-81E1-1C8F-2A600AE132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16</xdr:col>
      <xdr:colOff>0</xdr:colOff>
      <xdr:row>268</xdr:row>
      <xdr:rowOff>175232</xdr:rowOff>
    </xdr:from>
    <xdr:to>
      <xdr:col>23</xdr:col>
      <xdr:colOff>466725</xdr:colOff>
      <xdr:row>327</xdr:row>
      <xdr:rowOff>84713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C2BA8E8-6B13-816C-C91E-81777D12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25425" y="52610357"/>
          <a:ext cx="5800725" cy="11387106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224</xdr:row>
      <xdr:rowOff>0</xdr:rowOff>
    </xdr:from>
    <xdr:ext cx="7453310" cy="3590925"/>
    <xdr:graphicFrame macro="">
      <xdr:nvGraphicFramePr>
        <xdr:cNvPr id="13" name="Diagramm 6">
          <a:extLst>
            <a:ext uri="{FF2B5EF4-FFF2-40B4-BE49-F238E27FC236}">
              <a16:creationId xmlns:a16="http://schemas.microsoft.com/office/drawing/2014/main" id="{3269969A-E164-4ED2-AF48-03CA270BA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4</xdr:row>
      <xdr:rowOff>152399</xdr:rowOff>
    </xdr:from>
    <xdr:to>
      <xdr:col>10</xdr:col>
      <xdr:colOff>9524</xdr:colOff>
      <xdr:row>30</xdr:row>
      <xdr:rowOff>140354</xdr:rowOff>
    </xdr:to>
    <xdr:pic>
      <xdr:nvPicPr>
        <xdr:cNvPr id="2" name="Grafik 1" descr="Fig. 8.">
          <a:extLst>
            <a:ext uri="{FF2B5EF4-FFF2-40B4-BE49-F238E27FC236}">
              <a16:creationId xmlns:a16="http://schemas.microsoft.com/office/drawing/2014/main" id="{1943E88A-998D-93C8-34A2-0F049C21D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371599"/>
          <a:ext cx="7610475" cy="4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39</xdr:row>
      <xdr:rowOff>9525</xdr:rowOff>
    </xdr:from>
    <xdr:to>
      <xdr:col>11</xdr:col>
      <xdr:colOff>494193</xdr:colOff>
      <xdr:row>90</xdr:row>
      <xdr:rowOff>46406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E056DD9-4E7C-4D52-8CB9-4FDD5533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7134225"/>
          <a:ext cx="8857143" cy="9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609600</xdr:colOff>
      <xdr:row>133</xdr:row>
      <xdr:rowOff>161925</xdr:rowOff>
    </xdr:to>
    <xdr:pic>
      <xdr:nvPicPr>
        <xdr:cNvPr id="4" name="Grafik 3" descr="Fig. 2.">
          <a:extLst>
            <a:ext uri="{FF2B5EF4-FFF2-40B4-BE49-F238E27FC236}">
              <a16:creationId xmlns:a16="http://schemas.microsoft.com/office/drawing/2014/main" id="{5BF93327-8F8E-A117-30DA-0DBF73C1A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83200"/>
          <a:ext cx="975360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139</xdr:row>
      <xdr:rowOff>19050</xdr:rowOff>
    </xdr:from>
    <xdr:to>
      <xdr:col>10</xdr:col>
      <xdr:colOff>294288</xdr:colOff>
      <xdr:row>190</xdr:row>
      <xdr:rowOff>55931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33C638-441F-8CEB-6523-F45EB0C8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26574750"/>
          <a:ext cx="7895238" cy="9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Vapour_pressure_of_water" TargetMode="External"/><Relationship Id="rId2" Type="http://schemas.openxmlformats.org/officeDocument/2006/relationships/hyperlink" Target="https://de.wikipedia.org/wiki/S&#228;ttigungsdampfdruck" TargetMode="External"/><Relationship Id="rId1" Type="http://schemas.openxmlformats.org/officeDocument/2006/relationships/hyperlink" Target="https://purl.org/aero/SAC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doi.org/10.2174/1874282300802010001" TargetMode="External"/><Relationship Id="rId4" Type="http://schemas.openxmlformats.org/officeDocument/2006/relationships/hyperlink" Target="https://doi.org/10.2174/1874282300802010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commons.wikimedia.org/wiki/File:Diagram_of_the_real_branches_of_the_Lambert_W_function.png" TargetMode="External"/><Relationship Id="rId1" Type="http://schemas.openxmlformats.org/officeDocument/2006/relationships/hyperlink" Target="https://www.had2know.org/academics/lambert-w-function-calculator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erma.cc/42TC-K7EF" TargetMode="External"/><Relationship Id="rId2" Type="http://schemas.openxmlformats.org/officeDocument/2006/relationships/hyperlink" Target="http://www-das.uwyo.edu/~geerts/cwx/notes/chap01/tropo.html" TargetMode="External"/><Relationship Id="rId1" Type="http://schemas.openxmlformats.org/officeDocument/2006/relationships/hyperlink" Target="https://doi.org/10.1175/1520-0493(1999)127%3C2248:THAWAT%3E2.0.CO;2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doi.org/10.1175/JAS-D-13-0363.1" TargetMode="External"/><Relationship Id="rId1" Type="http://schemas.openxmlformats.org/officeDocument/2006/relationships/hyperlink" Target="https://doi.org/10.1175/1520-0493(1999)127%3C2248:THAWAT%3E2.0.CO;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BG208"/>
  <sheetViews>
    <sheetView tabSelected="1" workbookViewId="0">
      <selection activeCell="A3" sqref="A3"/>
    </sheetView>
  </sheetViews>
  <sheetFormatPr baseColWidth="10" defaultRowHeight="15"/>
  <cols>
    <col min="1" max="1" width="11.42578125" customWidth="1"/>
    <col min="2" max="2" width="13.5703125" bestFit="1" customWidth="1"/>
    <col min="3" max="4" width="11.42578125" customWidth="1"/>
    <col min="5" max="5" width="13.7109375" customWidth="1"/>
    <col min="6" max="6" width="11.42578125" customWidth="1"/>
  </cols>
  <sheetData>
    <row r="1" spans="1:52" ht="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>
      <c r="A2" s="2" t="s">
        <v>196</v>
      </c>
      <c r="B2" s="3" t="s">
        <v>1</v>
      </c>
      <c r="C2" s="6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>
      <c r="A3" s="2"/>
      <c r="B3" s="2"/>
      <c r="C3" s="2"/>
      <c r="D3" s="2"/>
      <c r="E3" s="4" t="s">
        <v>2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>
      <c r="A4" s="2" t="s">
        <v>3</v>
      </c>
      <c r="B4" s="2">
        <v>611.20000000000005</v>
      </c>
      <c r="C4" s="2" t="s">
        <v>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>
      <c r="A5" s="2" t="s">
        <v>5</v>
      </c>
      <c r="B5" s="2">
        <v>17.62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>
      <c r="A6" s="2" t="s">
        <v>6</v>
      </c>
      <c r="B6" s="2">
        <v>243.12</v>
      </c>
      <c r="C6" s="2" t="s">
        <v>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>
      <c r="A7" s="2" t="s">
        <v>8</v>
      </c>
      <c r="B7" s="2">
        <v>611.20000000000005</v>
      </c>
      <c r="C7" s="2" t="s">
        <v>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>
      <c r="A8" s="2" t="s">
        <v>9</v>
      </c>
      <c r="B8" s="2">
        <v>22.46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>
      <c r="A9" s="2" t="s">
        <v>10</v>
      </c>
      <c r="B9" s="2">
        <v>272.62</v>
      </c>
      <c r="C9" s="2" t="s">
        <v>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>
      <c r="A10" s="2"/>
      <c r="B10" s="2"/>
      <c r="C10" s="2"/>
      <c r="D10" s="2"/>
      <c r="E10" s="3" t="s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>
      <c r="A11" s="2"/>
      <c r="B11" s="2"/>
      <c r="C11" s="2"/>
      <c r="D11" s="2"/>
      <c r="E11" s="3" t="s">
        <v>12</v>
      </c>
      <c r="F11" s="2"/>
      <c r="G11" s="2"/>
      <c r="H11" s="2"/>
      <c r="I11" s="2"/>
      <c r="J11" s="2" t="s">
        <v>13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>
      <c r="A12" s="5" t="s">
        <v>14</v>
      </c>
      <c r="B12" s="131">
        <v>-43.936142533951404</v>
      </c>
      <c r="C12" s="132" t="s">
        <v>7</v>
      </c>
      <c r="D12" s="2"/>
      <c r="E12" s="2" t="s">
        <v>15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>
      <c r="A13" s="2" t="s">
        <v>16</v>
      </c>
      <c r="B13" s="7">
        <f>a_w*b_w*c_w*EXP(b_w*t/(c_w+t))/(c_w+t)^2</f>
        <v>1.3538102189480852</v>
      </c>
      <c r="C13" s="2" t="s">
        <v>17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>
      <c r="A14" s="8" t="s">
        <v>18</v>
      </c>
      <c r="B14" s="8">
        <f>E_w_strich-G</f>
        <v>7.656918319387529E-7</v>
      </c>
      <c r="C14" s="8" t="s">
        <v>17</v>
      </c>
      <c r="D14" s="2"/>
      <c r="E14" s="9" t="s">
        <v>19</v>
      </c>
      <c r="F14" s="8"/>
      <c r="G14" s="8"/>
      <c r="H14" s="8"/>
      <c r="I14" s="2"/>
      <c r="J14" s="67" t="s">
        <v>20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>
      <c r="A15" s="2" t="s">
        <v>21</v>
      </c>
      <c r="B15" s="10">
        <f>a_w*EXP(b_w*t/(c_w+t))</f>
        <v>12.538323604177787</v>
      </c>
      <c r="C15" s="2" t="s">
        <v>4</v>
      </c>
      <c r="D15" s="2"/>
      <c r="E15" s="2"/>
      <c r="F15" s="2"/>
      <c r="G15" s="2"/>
      <c r="H15" s="2"/>
      <c r="I15" s="2"/>
      <c r="J15" s="67" t="s">
        <v>22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>
      <c r="A16" s="2" t="s">
        <v>23</v>
      </c>
      <c r="B16" s="10">
        <f>a_i*EXP(b_i*t/(c_i+t))</f>
        <v>8.1683877692841858</v>
      </c>
      <c r="C16" s="2" t="s">
        <v>4</v>
      </c>
      <c r="D16" s="2"/>
      <c r="E16" s="2"/>
      <c r="F16" s="2"/>
      <c r="G16" s="2"/>
      <c r="H16" s="2"/>
      <c r="I16" s="2"/>
      <c r="J16" s="67" t="s">
        <v>24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>
      <c r="A18" s="2" t="s">
        <v>25</v>
      </c>
      <c r="B18" s="11">
        <v>1.9811999999999998E-3</v>
      </c>
      <c r="C18" s="2" t="s">
        <v>26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>
      <c r="A19" s="2" t="s">
        <v>27</v>
      </c>
      <c r="B19" s="12">
        <v>15</v>
      </c>
      <c r="C19" s="2" t="s">
        <v>7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>
      <c r="A20" s="2" t="s">
        <v>28</v>
      </c>
      <c r="B20" s="11">
        <v>6.8755999999999999E-6</v>
      </c>
      <c r="C20" s="2" t="s">
        <v>29</v>
      </c>
      <c r="D20" s="2"/>
      <c r="E20" s="2" t="s">
        <v>30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>
      <c r="A21" s="2" t="s">
        <v>31</v>
      </c>
      <c r="B21" s="11">
        <v>4.8063399999999998E-5</v>
      </c>
      <c r="C21" s="2" t="s">
        <v>29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>
      <c r="A22" s="2" t="s">
        <v>32</v>
      </c>
      <c r="B22" s="2">
        <v>5.2558800000000003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>
      <c r="A23" s="2" t="s">
        <v>33</v>
      </c>
      <c r="B23" s="2">
        <v>36089</v>
      </c>
      <c r="C23" s="2" t="s">
        <v>34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>
      <c r="A24" s="2" t="s">
        <v>35</v>
      </c>
      <c r="B24" s="2">
        <v>101315</v>
      </c>
      <c r="C24" s="2" t="s">
        <v>4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>
      <c r="A25" s="2" t="s">
        <v>36</v>
      </c>
      <c r="B25" s="2">
        <v>22632</v>
      </c>
      <c r="C25" s="2" t="s">
        <v>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>
      <c r="A27" s="5" t="s">
        <v>37</v>
      </c>
      <c r="B27" s="13">
        <v>40000</v>
      </c>
      <c r="C27" s="6" t="s">
        <v>34</v>
      </c>
      <c r="D27" s="2"/>
      <c r="E27" s="4" t="s">
        <v>38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>
      <c r="A29" s="5" t="s">
        <v>39</v>
      </c>
      <c r="B29" s="14">
        <f>IF(H&lt;H_T,p_0*(1-k_a*H)^k_exp,p_T*EXP(-k_b*(H-H_T)))</f>
        <v>18753.658935390147</v>
      </c>
      <c r="C29" s="6" t="s">
        <v>4</v>
      </c>
      <c r="D29" s="2"/>
      <c r="E29" s="2" t="s">
        <v>40</v>
      </c>
      <c r="F29" s="2"/>
      <c r="G29" s="2"/>
      <c r="H29" s="2"/>
      <c r="I29" s="2"/>
      <c r="J29" s="2" t="s">
        <v>41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>
      <c r="A30" s="2"/>
      <c r="B30" s="2"/>
      <c r="C30" s="2"/>
      <c r="D30" s="16" t="s">
        <v>236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>
      <c r="A31" s="2" t="s">
        <v>42</v>
      </c>
      <c r="B31" s="68">
        <v>1.25</v>
      </c>
      <c r="C31" s="2"/>
      <c r="D31" s="103">
        <v>1.25</v>
      </c>
      <c r="E31" s="4" t="s">
        <v>235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>
      <c r="A32" s="2" t="s">
        <v>43</v>
      </c>
      <c r="B32" s="68">
        <v>1004</v>
      </c>
      <c r="C32" s="2" t="s">
        <v>44</v>
      </c>
      <c r="D32" s="103">
        <v>1004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>
      <c r="A33" s="2" t="s">
        <v>45</v>
      </c>
      <c r="B33" s="68">
        <v>0.622</v>
      </c>
      <c r="C33" s="2"/>
      <c r="D33" s="103">
        <v>0.622</v>
      </c>
      <c r="E33" s="2"/>
      <c r="F33" s="2"/>
      <c r="G33" s="2"/>
      <c r="H33" s="2" t="s">
        <v>46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>
      <c r="A34" s="2" t="s">
        <v>47</v>
      </c>
      <c r="B34" s="102">
        <v>43000000</v>
      </c>
      <c r="C34" s="2" t="s">
        <v>48</v>
      </c>
      <c r="D34" s="104">
        <v>43000000</v>
      </c>
      <c r="E34" s="2"/>
      <c r="F34" s="2"/>
      <c r="G34" s="2"/>
      <c r="H34" s="3" t="s">
        <v>49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>
      <c r="A35" s="2" t="s">
        <v>50</v>
      </c>
      <c r="B35" s="68">
        <v>0.35</v>
      </c>
      <c r="C35" s="2"/>
      <c r="D35" s="103">
        <v>0.35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>
      <c r="A36" s="2"/>
      <c r="B36" s="2"/>
      <c r="C36" s="2"/>
      <c r="D36" s="2"/>
      <c r="E36" s="2"/>
      <c r="F36" s="2"/>
      <c r="G36" s="2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>
      <c r="A37" s="2" t="s">
        <v>51</v>
      </c>
      <c r="B37" s="7">
        <f>EI_H2O*p*c_p/(eps*Q*(1-eta))</f>
        <v>1.3538094532562532</v>
      </c>
      <c r="C37" s="2" t="s">
        <v>17</v>
      </c>
      <c r="D37" s="2"/>
      <c r="E37" s="2" t="s">
        <v>52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>
      <c r="A38" s="2" t="s">
        <v>231</v>
      </c>
      <c r="B38" s="10">
        <f>-46+9.43*LN(G-0.053)+0.72*(LN(G-0.053))^2</f>
        <v>-43.470238510538778</v>
      </c>
      <c r="C38" s="2" t="s">
        <v>7</v>
      </c>
      <c r="D38" s="2"/>
      <c r="E38" s="67" t="s">
        <v>232</v>
      </c>
      <c r="F38" s="2"/>
      <c r="G38" s="2"/>
      <c r="H38" s="2"/>
      <c r="I38" s="2" t="s">
        <v>268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>
      <c r="A39" s="2" t="s">
        <v>238</v>
      </c>
      <c r="B39" s="129">
        <f>a_SLZ*LN(G)^2+b_SLZ*LN(G)+c_SLZ</f>
        <v>-43.858534861970831</v>
      </c>
      <c r="C39" s="2"/>
      <c r="D39" s="2"/>
      <c r="E39" s="67" t="s">
        <v>269</v>
      </c>
      <c r="F39" s="2"/>
      <c r="G39" s="2"/>
      <c r="H39" s="2"/>
      <c r="I39" s="2" t="s">
        <v>277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>
      <c r="A40" s="2" t="s">
        <v>53</v>
      </c>
      <c r="B40" s="12">
        <f>E_w-G*t</f>
        <v>72.019488706255345</v>
      </c>
      <c r="C40" s="2" t="s">
        <v>4</v>
      </c>
      <c r="D40" s="2"/>
      <c r="E40" s="2" t="s">
        <v>54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>
      <c r="A41" s="2" t="s">
        <v>55</v>
      </c>
      <c r="B41" s="10">
        <f>G*t+G0</f>
        <v>12.538323604177783</v>
      </c>
      <c r="C41" s="2" t="s">
        <v>4</v>
      </c>
      <c r="D41" s="2"/>
      <c r="E41" s="2" t="s">
        <v>56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>
      <c r="A42" s="2" t="s">
        <v>57</v>
      </c>
      <c r="B42" s="16" t="str">
        <f>IF(E_w=f_of_t,"true","false")</f>
        <v>true</v>
      </c>
      <c r="C42" s="2"/>
      <c r="D42" s="2"/>
      <c r="E42" s="2" t="s">
        <v>270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>
      <c r="A44" s="17" t="s">
        <v>14</v>
      </c>
      <c r="B44" s="17" t="s">
        <v>21</v>
      </c>
      <c r="C44" s="17" t="s">
        <v>23</v>
      </c>
      <c r="D44" s="17" t="s">
        <v>58</v>
      </c>
      <c r="E44" s="17" t="s">
        <v>59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>
      <c r="A45" s="2">
        <v>-60</v>
      </c>
      <c r="B45" s="7">
        <f t="shared" ref="B45:B80" si="0">a_w*EXP(b_w*A45/(c_w+A45))</f>
        <v>1.9005832334432484</v>
      </c>
      <c r="C45" s="7">
        <f t="shared" ref="C45:C80" si="1">a_i*EXP(b_i*A45/(c_i+A45))</f>
        <v>1.0804269890819316</v>
      </c>
      <c r="D45" s="10">
        <f t="shared" ref="D45:D80" si="2">G*A45+G0</f>
        <v>-9.2090784891198467</v>
      </c>
      <c r="E45" s="18">
        <f t="shared" ref="E45:E80" si="3">C45/B45</f>
        <v>0.56847128295693938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>
      <c r="A46" s="2">
        <v>-59</v>
      </c>
      <c r="B46" s="7">
        <f t="shared" si="0"/>
        <v>2.1580720285136241</v>
      </c>
      <c r="C46" s="7">
        <f t="shared" si="1"/>
        <v>1.2363532460196305</v>
      </c>
      <c r="D46" s="10">
        <f t="shared" si="2"/>
        <v>-7.8552690358635999</v>
      </c>
      <c r="E46" s="18">
        <f t="shared" si="3"/>
        <v>0.57289711820748213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>
      <c r="A47" s="2">
        <v>-58</v>
      </c>
      <c r="B47" s="7">
        <f t="shared" si="0"/>
        <v>2.4470837568804815</v>
      </c>
      <c r="C47" s="7">
        <f t="shared" si="1"/>
        <v>1.4130064150112283</v>
      </c>
      <c r="D47" s="10">
        <f t="shared" si="2"/>
        <v>-6.5014595826073389</v>
      </c>
      <c r="E47" s="18">
        <f t="shared" si="3"/>
        <v>0.57742462269150729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>
      <c r="A48" s="2">
        <v>-57</v>
      </c>
      <c r="B48" s="7">
        <f t="shared" si="0"/>
        <v>2.7710553357390935</v>
      </c>
      <c r="C48" s="7">
        <f t="shared" si="1"/>
        <v>1.6129009425677314</v>
      </c>
      <c r="D48" s="10">
        <f t="shared" si="2"/>
        <v>-5.1476501293510921</v>
      </c>
      <c r="E48" s="18">
        <f t="shared" si="3"/>
        <v>0.58205295353206643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>
      <c r="A49" s="2">
        <v>-56</v>
      </c>
      <c r="B49" s="7">
        <f t="shared" si="0"/>
        <v>3.1337506106185335</v>
      </c>
      <c r="C49" s="7">
        <f t="shared" si="1"/>
        <v>1.8388263172150796</v>
      </c>
      <c r="D49" s="10">
        <f t="shared" si="2"/>
        <v>-3.7938406760948311</v>
      </c>
      <c r="E49" s="18">
        <f t="shared" si="3"/>
        <v>0.58678131915932386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>
      <c r="A50" s="2">
        <v>-55</v>
      </c>
      <c r="B50" s="7">
        <f t="shared" si="0"/>
        <v>3.5392866469854303</v>
      </c>
      <c r="C50" s="7">
        <f t="shared" si="1"/>
        <v>2.0938737503897915</v>
      </c>
      <c r="D50" s="10">
        <f t="shared" si="2"/>
        <v>-2.4400312228385843</v>
      </c>
      <c r="E50" s="18">
        <f t="shared" si="3"/>
        <v>0.59160897639450538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>
      <c r="A51" s="2">
        <v>-54</v>
      </c>
      <c r="B51" s="7">
        <f t="shared" si="0"/>
        <v>3.9921617145835251</v>
      </c>
      <c r="C51" s="7">
        <f t="shared" si="1"/>
        <v>2.381465097471049</v>
      </c>
      <c r="D51" s="10">
        <f t="shared" si="2"/>
        <v>-1.0862217695823233</v>
      </c>
      <c r="E51" s="18">
        <f t="shared" si="3"/>
        <v>0.59653522771170875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>
      <c r="A52" s="2">
        <v>-53</v>
      </c>
      <c r="B52" s="7">
        <f t="shared" si="0"/>
        <v>4.4972850420001285</v>
      </c>
      <c r="C52" s="7">
        <f t="shared" si="1"/>
        <v>2.7053841754374703</v>
      </c>
      <c r="D52" s="10">
        <f t="shared" si="2"/>
        <v>0.26758768367392349</v>
      </c>
      <c r="E52" s="18">
        <f t="shared" si="3"/>
        <v>0.60155941866523854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>
      <c r="A53" s="2">
        <v>-52</v>
      </c>
      <c r="B53" s="7">
        <f t="shared" si="0"/>
        <v>5.0600084205480069</v>
      </c>
      <c r="C53" s="7">
        <f t="shared" si="1"/>
        <v>3.0698106420697409</v>
      </c>
      <c r="D53" s="10">
        <f t="shared" si="2"/>
        <v>1.6213971369301703</v>
      </c>
      <c r="E53" s="18">
        <f t="shared" si="3"/>
        <v>0.60668093547110646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>
      <c r="A54" s="2">
        <v>-51</v>
      </c>
      <c r="B54" s="7">
        <f t="shared" si="0"/>
        <v>5.6861597380800797</v>
      </c>
      <c r="C54" s="7">
        <f t="shared" si="1"/>
        <v>3.4793566103390958</v>
      </c>
      <c r="D54" s="10">
        <f t="shared" si="2"/>
        <v>2.9752065901864313</v>
      </c>
      <c r="E54" s="18">
        <f t="shared" si="3"/>
        <v>0.61189920273219289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>
      <c r="A55" s="2">
        <v>-50</v>
      </c>
      <c r="B55" s="7">
        <f t="shared" si="0"/>
        <v>6.3820785248092848</v>
      </c>
      <c r="C55" s="7">
        <f t="shared" si="1"/>
        <v>3.9391061806264154</v>
      </c>
      <c r="D55" s="10">
        <f t="shared" si="2"/>
        <v>4.3290160434426781</v>
      </c>
      <c r="E55" s="18">
        <f t="shared" si="3"/>
        <v>0.6172136812973682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>
      <c r="A56" s="2">
        <v>-49</v>
      </c>
      <c r="B56" s="7">
        <f t="shared" si="0"/>
        <v>7.1546535945823591</v>
      </c>
      <c r="C56" s="7">
        <f t="shared" si="1"/>
        <v>4.4546580827070592</v>
      </c>
      <c r="D56" s="10">
        <f t="shared" si="2"/>
        <v>5.6828254966989391</v>
      </c>
      <c r="E56" s="18">
        <f t="shared" si="3"/>
        <v>0.62262386624562949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>
      <c r="A57" s="2">
        <v>-48</v>
      </c>
      <c r="B57" s="7">
        <f t="shared" si="0"/>
        <v>8.0113628663497938</v>
      </c>
      <c r="C57" s="7">
        <f t="shared" si="1"/>
        <v>5.0321716290111462</v>
      </c>
      <c r="D57" s="10">
        <f t="shared" si="2"/>
        <v>7.0366349499551859</v>
      </c>
      <c r="E57" s="18">
        <f t="shared" si="3"/>
        <v>0.62812928498693099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>
      <c r="A58" s="2">
        <v>-47</v>
      </c>
      <c r="B58" s="7">
        <f t="shared" si="0"/>
        <v>8.9603154517796142</v>
      </c>
      <c r="C58" s="7">
        <f t="shared" si="1"/>
        <v>5.6784161905267929</v>
      </c>
      <c r="D58" s="10">
        <f t="shared" si="2"/>
        <v>8.3904444032114398</v>
      </c>
      <c r="E58" s="18">
        <f t="shared" si="3"/>
        <v>0.63372949547205937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>
      <c r="A59" s="2">
        <v>-46</v>
      </c>
      <c r="B59" s="7">
        <f t="shared" si="0"/>
        <v>10.010296096076241</v>
      </c>
      <c r="C59" s="7">
        <f t="shared" si="1"/>
        <v>6.4008244168518109</v>
      </c>
      <c r="D59" s="10">
        <f t="shared" si="2"/>
        <v>9.7442538564676937</v>
      </c>
      <c r="E59" s="18">
        <f t="shared" si="3"/>
        <v>0.63942408450442911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>
      <c r="A60" s="2">
        <v>-45</v>
      </c>
      <c r="B60" s="7">
        <f t="shared" si="0"/>
        <v>11.170812060082898</v>
      </c>
      <c r="C60" s="7">
        <f t="shared" si="1"/>
        <v>7.2075494323155214</v>
      </c>
      <c r="D60" s="10">
        <f t="shared" si="2"/>
        <v>11.098063309723948</v>
      </c>
      <c r="E60" s="18">
        <f t="shared" si="3"/>
        <v>0.6452126661472124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>
      <c r="A61" s="2">
        <v>-44</v>
      </c>
      <c r="B61" s="7">
        <f t="shared" si="0"/>
        <v>12.45214253266311</v>
      </c>
      <c r="C61" s="7">
        <f t="shared" si="1"/>
        <v>8.1075262507828576</v>
      </c>
      <c r="D61" s="10">
        <f t="shared" si="2"/>
        <v>12.451872762980202</v>
      </c>
      <c r="E61" s="18">
        <f t="shared" si="3"/>
        <v>0.65109488021969497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>
      <c r="A62" s="2">
        <v>-43</v>
      </c>
      <c r="B62" s="7">
        <f t="shared" si="0"/>
        <v>13.865390663169581</v>
      </c>
      <c r="C62" s="7">
        <f t="shared" si="1"/>
        <v>9.1105376627137336</v>
      </c>
      <c r="D62" s="10">
        <f t="shared" si="2"/>
        <v>13.805682216236455</v>
      </c>
      <c r="E62" s="18">
        <f t="shared" si="3"/>
        <v>0.65707039087718688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>
      <c r="A63" s="2">
        <v>-42</v>
      </c>
      <c r="B63" s="7">
        <f t="shared" si="0"/>
        <v>15.422538304514172</v>
      </c>
      <c r="C63" s="7">
        <f t="shared" si="1"/>
        <v>10.227284859277372</v>
      </c>
      <c r="D63" s="10">
        <f t="shared" si="2"/>
        <v>15.159491669492709</v>
      </c>
      <c r="E63" s="18">
        <f t="shared" si="3"/>
        <v>0.66313888526921982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>
      <c r="A64" s="2">
        <v>-41</v>
      </c>
      <c r="B64" s="7">
        <f t="shared" si="0"/>
        <v>17.136503557946799</v>
      </c>
      <c r="C64" s="7">
        <f t="shared" si="1"/>
        <v>11.469463069808405</v>
      </c>
      <c r="D64" s="10">
        <f t="shared" si="2"/>
        <v>16.513301122748963</v>
      </c>
      <c r="E64" s="18">
        <f t="shared" si="3"/>
        <v>0.66930007227113797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>
      <c r="A65" s="2">
        <v>-40</v>
      </c>
      <c r="B65" s="7">
        <f t="shared" si="0"/>
        <v>19.021201211131025</v>
      </c>
      <c r="C65" s="7">
        <f t="shared" si="1"/>
        <v>12.849842500633567</v>
      </c>
      <c r="D65" s="10">
        <f t="shared" si="2"/>
        <v>17.867110576005217</v>
      </c>
      <c r="E65" s="18">
        <f t="shared" si="3"/>
        <v>0.67555368128454274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>
      <c r="A66" s="2">
        <v>-39</v>
      </c>
      <c r="B66" s="7">
        <f t="shared" si="0"/>
        <v>21.091606161467279</v>
      </c>
      <c r="C66" s="7">
        <f t="shared" si="1"/>
        <v>14.382354875287552</v>
      </c>
      <c r="D66" s="10">
        <f t="shared" si="2"/>
        <v>19.220920029261471</v>
      </c>
      <c r="E66" s="18">
        <f t="shared" si="3"/>
        <v>0.68189946110235045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>
      <c r="A67" s="2">
        <v>-38</v>
      </c>
      <c r="B67" s="7">
        <f t="shared" si="0"/>
        <v>23.363819916857381</v>
      </c>
      <c r="C67" s="7">
        <f t="shared" si="1"/>
        <v>16.082185888367583</v>
      </c>
      <c r="D67" s="10">
        <f t="shared" si="2"/>
        <v>20.574729482517725</v>
      </c>
      <c r="E67" s="18">
        <f t="shared" si="3"/>
        <v>0.68833717883452872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>
      <c r="A68" s="2">
        <v>-37</v>
      </c>
      <c r="B68" s="7">
        <f t="shared" si="0"/>
        <v>25.85514026622538</v>
      </c>
      <c r="C68" s="7">
        <f t="shared" si="1"/>
        <v>17.965873897740696</v>
      </c>
      <c r="D68" s="10">
        <f t="shared" si="2"/>
        <v>21.928538935773972</v>
      </c>
      <c r="E68" s="18">
        <f t="shared" si="3"/>
        <v>0.69486661889084977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>
      <c r="A69" s="2">
        <v>-36</v>
      </c>
      <c r="B69" s="7">
        <f t="shared" si="0"/>
        <v>28.584134212105994</v>
      </c>
      <c r="C69" s="7">
        <f t="shared" si="1"/>
        <v>20.051415192506301</v>
      </c>
      <c r="D69" s="10">
        <f t="shared" si="2"/>
        <v>23.282348389030226</v>
      </c>
      <c r="E69" s="18">
        <f t="shared" si="3"/>
        <v>0.70148758201723305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>
      <c r="A70" s="2">
        <v>-35</v>
      </c>
      <c r="B70" s="7">
        <f t="shared" si="0"/>
        <v>31.570714257482457</v>
      </c>
      <c r="C70" s="7">
        <f t="shared" si="1"/>
        <v>22.358376187022177</v>
      </c>
      <c r="D70" s="10">
        <f t="shared" si="2"/>
        <v>24.63615784228648</v>
      </c>
      <c r="E70" s="18">
        <f t="shared" si="3"/>
        <v>0.70819988438250492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>
      <c r="A71" s="2">
        <v>-34</v>
      </c>
      <c r="B71" s="7">
        <f t="shared" si="0"/>
        <v>34.836218138797832</v>
      </c>
      <c r="C71" s="7">
        <f t="shared" si="1"/>
        <v>24.908012904412381</v>
      </c>
      <c r="D71" s="10">
        <f t="shared" si="2"/>
        <v>25.989967295542733</v>
      </c>
      <c r="E71" s="18">
        <f t="shared" si="3"/>
        <v>0.71500335671258763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>
      <c r="A72" s="2">
        <v>-33</v>
      </c>
      <c r="B72" s="7">
        <f t="shared" si="0"/>
        <v>38.403492096677262</v>
      </c>
      <c r="C72" s="7">
        <f t="shared" si="1"/>
        <v>27.723398126283897</v>
      </c>
      <c r="D72" s="10">
        <f t="shared" si="2"/>
        <v>27.343776748798987</v>
      </c>
      <c r="E72" s="18">
        <f t="shared" si="3"/>
        <v>0.72189784346935926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>
      <c r="A73" s="2">
        <v>-32</v>
      </c>
      <c r="B73" s="7">
        <f t="shared" si="0"/>
        <v>42.296977775381023</v>
      </c>
      <c r="C73" s="7">
        <f t="shared" si="1"/>
        <v>30.829556598870408</v>
      </c>
      <c r="D73" s="10">
        <f t="shared" si="2"/>
        <v>28.697586202055241</v>
      </c>
      <c r="E73" s="18">
        <f t="shared" si="3"/>
        <v>0.72888320207158552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>
      <c r="A74" s="2">
        <v>-31</v>
      </c>
      <c r="B74" s="7">
        <f t="shared" si="0"/>
        <v>46.54280284136037</v>
      </c>
      <c r="C74" s="7">
        <f t="shared" si="1"/>
        <v>34.253608699488815</v>
      </c>
      <c r="D74" s="10">
        <f t="shared" si="2"/>
        <v>30.051395655311495</v>
      </c>
      <c r="E74" s="18">
        <f t="shared" si="3"/>
        <v>0.73595930215550465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>
      <c r="A75" s="2">
        <v>-30</v>
      </c>
      <c r="B75" s="7">
        <f t="shared" si="0"/>
        <v>51.168875410507653</v>
      </c>
      <c r="C75" s="7">
        <f t="shared" si="1"/>
        <v>38.024922981022137</v>
      </c>
      <c r="D75" s="10">
        <f t="shared" si="2"/>
        <v>31.405205108567749</v>
      </c>
      <c r="E75" s="18">
        <f t="shared" si="3"/>
        <v>0.74312602487280044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>
      <c r="A76" s="2">
        <v>-29</v>
      </c>
      <c r="B76" s="7">
        <f t="shared" si="0"/>
        <v>56.204982372779831</v>
      </c>
      <c r="C76" s="7">
        <f t="shared" si="1"/>
        <v>42.17527802612117</v>
      </c>
      <c r="D76" s="10">
        <f t="shared" si="2"/>
        <v>32.759014561824003</v>
      </c>
      <c r="E76" s="18">
        <f t="shared" si="3"/>
        <v>0.75038326222386165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>
      <c r="A77" s="2">
        <v>-28</v>
      </c>
      <c r="B77" s="7">
        <f t="shared" si="0"/>
        <v>61.682891701831217</v>
      </c>
      <c r="C77" s="7">
        <f t="shared" si="1"/>
        <v>46.739034056930642</v>
      </c>
      <c r="D77" s="10">
        <f t="shared" si="2"/>
        <v>34.112824015080257</v>
      </c>
      <c r="E77" s="18">
        <f t="shared" si="3"/>
        <v>0.75773091642431989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>
      <c r="A78" s="2">
        <v>-27</v>
      </c>
      <c r="B78" s="7">
        <f t="shared" si="0"/>
        <v>67.63645883611386</v>
      </c>
      <c r="C78" s="7">
        <f t="shared" si="1"/>
        <v>51.753314760384683</v>
      </c>
      <c r="D78" s="10">
        <f t="shared" si="2"/>
        <v>35.466633468336511</v>
      </c>
      <c r="E78" s="18">
        <f t="shared" si="3"/>
        <v>0.76516889930304099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>
      <c r="A79" s="2">
        <v>-26</v>
      </c>
      <c r="B79" s="7">
        <f t="shared" si="0"/>
        <v>74.101737216597968</v>
      </c>
      <c r="C79" s="7">
        <f t="shared" si="1"/>
        <v>57.258199803461935</v>
      </c>
      <c r="D79" s="10">
        <f t="shared" si="2"/>
        <v>36.820442921592758</v>
      </c>
      <c r="E79" s="18">
        <f t="shared" si="3"/>
        <v>0.77269713172981769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>
      <c r="A80" s="2">
        <v>-25</v>
      </c>
      <c r="B80" s="7">
        <f t="shared" si="0"/>
        <v>81.117093064826406</v>
      </c>
      <c r="C80" s="7">
        <f t="shared" si="1"/>
        <v>63.296928527231493</v>
      </c>
      <c r="D80" s="10">
        <f t="shared" si="2"/>
        <v>38.174252374849011</v>
      </c>
      <c r="E80" s="18">
        <f t="shared" si="3"/>
        <v>0.78031554307113105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21">
      <c r="A87" s="1" t="s">
        <v>206</v>
      </c>
      <c r="B87" s="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>
      <c r="A88" s="4" t="s">
        <v>230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>
      <c r="A91" s="2" t="s">
        <v>228</v>
      </c>
      <c r="B91" s="82" t="s">
        <v>227</v>
      </c>
      <c r="C91" s="82"/>
      <c r="D91" s="8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>
      <c r="A93" s="2" t="s">
        <v>229</v>
      </c>
      <c r="B93" s="82" t="s">
        <v>224</v>
      </c>
      <c r="C93" s="82"/>
      <c r="D93" s="8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>
      <c r="A95" s="2"/>
      <c r="B95" s="2" t="s">
        <v>225</v>
      </c>
      <c r="C95" s="99">
        <v>6.0585999999999999E-3</v>
      </c>
      <c r="D95" s="2" t="s">
        <v>155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>
      <c r="A96" s="2"/>
      <c r="B96" s="2" t="s">
        <v>226</v>
      </c>
      <c r="C96" s="58">
        <v>0.92261000000000004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9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9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>
      <c r="A108" s="2"/>
      <c r="B108" s="2" t="s">
        <v>60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>
      <c r="A109" s="2"/>
      <c r="B109" s="2" t="s">
        <v>46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>
      <c r="A110" s="2"/>
      <c r="B110" s="3" t="s">
        <v>49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21">
      <c r="A113" s="1" t="s">
        <v>219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>
      <c r="A115" s="2" t="s">
        <v>213</v>
      </c>
      <c r="B115" s="2" t="s">
        <v>212</v>
      </c>
      <c r="C115" s="16" t="s">
        <v>214</v>
      </c>
      <c r="D115" s="10">
        <f>p_0/100</f>
        <v>1013.15</v>
      </c>
      <c r="E115" s="2" t="s">
        <v>212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>
      <c r="A117" s="92" t="s">
        <v>37</v>
      </c>
      <c r="B117" s="59" t="s">
        <v>34</v>
      </c>
      <c r="C117" s="93"/>
      <c r="D117" s="59">
        <v>20000</v>
      </c>
      <c r="E117" s="59">
        <v>25000</v>
      </c>
      <c r="F117" s="59">
        <v>30000</v>
      </c>
      <c r="G117" s="59">
        <v>35000</v>
      </c>
      <c r="H117" s="59">
        <v>36089</v>
      </c>
      <c r="I117" s="59">
        <v>40000</v>
      </c>
      <c r="J117" s="59">
        <v>45000</v>
      </c>
      <c r="K117" s="59">
        <v>50000</v>
      </c>
      <c r="L117" s="59">
        <v>55000</v>
      </c>
      <c r="M117" s="59">
        <v>60000</v>
      </c>
      <c r="N117" s="59">
        <v>65000</v>
      </c>
      <c r="O117" s="59">
        <v>70000</v>
      </c>
      <c r="P117" s="2"/>
      <c r="Q117" s="59" t="s">
        <v>207</v>
      </c>
      <c r="R117" s="59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>
      <c r="A118" s="2" t="s">
        <v>33</v>
      </c>
      <c r="B118" s="2" t="s">
        <v>34</v>
      </c>
      <c r="C118" s="94">
        <v>20000</v>
      </c>
      <c r="D118" s="23">
        <f t="shared" ref="D118:O121" si="4" xml:space="preserve"> IF(D$117&lt;$C118,p_0*(1-k_a*D$117)^k_exp,p_0*(1-k_a*$C118)^k_exp*EXP(-k_b*(D$117-$C118)))/100</f>
        <v>465.58560984464981</v>
      </c>
      <c r="E118" s="23">
        <f t="shared" si="4"/>
        <v>366.12653190706061</v>
      </c>
      <c r="F118" s="23">
        <f t="shared" si="4"/>
        <v>287.91404745309768</v>
      </c>
      <c r="G118" s="23">
        <f t="shared" si="4"/>
        <v>226.40942815328913</v>
      </c>
      <c r="H118" s="23">
        <f t="shared" si="4"/>
        <v>214.86371569423667</v>
      </c>
      <c r="I118" s="23">
        <f t="shared" si="4"/>
        <v>178.04351545247212</v>
      </c>
      <c r="J118" s="23">
        <f t="shared" si="4"/>
        <v>140.00959965860054</v>
      </c>
      <c r="K118" s="23">
        <f t="shared" si="4"/>
        <v>110.10054450309049</v>
      </c>
      <c r="L118" s="23">
        <f t="shared" si="4"/>
        <v>86.580705390456217</v>
      </c>
      <c r="M118" s="23">
        <f t="shared" si="4"/>
        <v>68.08520865851446</v>
      </c>
      <c r="N118" s="23">
        <f t="shared" si="4"/>
        <v>53.540746950121701</v>
      </c>
      <c r="O118" s="23">
        <f t="shared" si="4"/>
        <v>42.103294393274631</v>
      </c>
      <c r="P118" s="2"/>
      <c r="Q118" s="2" t="s">
        <v>208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>
      <c r="A119" s="2"/>
      <c r="B119" s="2"/>
      <c r="C119" s="94">
        <v>36089</v>
      </c>
      <c r="D119" s="23">
        <f t="shared" si="4"/>
        <v>465.58560984464981</v>
      </c>
      <c r="E119" s="23">
        <f t="shared" si="4"/>
        <v>375.97092340716307</v>
      </c>
      <c r="F119" s="23">
        <f t="shared" si="4"/>
        <v>300.86505755783213</v>
      </c>
      <c r="G119" s="23">
        <f t="shared" si="4"/>
        <v>238.39835665961203</v>
      </c>
      <c r="H119" s="23">
        <f t="shared" si="4"/>
        <v>226.29983037755792</v>
      </c>
      <c r="I119" s="23">
        <f t="shared" si="4"/>
        <v>187.51987610628152</v>
      </c>
      <c r="J119" s="23">
        <f t="shared" si="4"/>
        <v>147.46160630983147</v>
      </c>
      <c r="K119" s="23">
        <f t="shared" si="4"/>
        <v>115.96064261023326</v>
      </c>
      <c r="L119" s="23">
        <f t="shared" si="4"/>
        <v>91.188960781595142</v>
      </c>
      <c r="M119" s="23">
        <f t="shared" si="4"/>
        <v>71.709041802890809</v>
      </c>
      <c r="N119" s="23">
        <f t="shared" si="4"/>
        <v>56.390451565784254</v>
      </c>
      <c r="O119" s="23">
        <f t="shared" si="4"/>
        <v>44.34424094710004</v>
      </c>
      <c r="P119" s="2"/>
      <c r="Q119" s="2" t="s">
        <v>209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>
      <c r="A120" s="2"/>
      <c r="B120" s="2"/>
      <c r="C120" s="94">
        <v>50000</v>
      </c>
      <c r="D120" s="23">
        <f t="shared" si="4"/>
        <v>465.58560984464981</v>
      </c>
      <c r="E120" s="23">
        <f t="shared" si="4"/>
        <v>375.97092340716307</v>
      </c>
      <c r="F120" s="23">
        <f t="shared" si="4"/>
        <v>300.86505755783213</v>
      </c>
      <c r="G120" s="23">
        <f t="shared" si="4"/>
        <v>238.39835665961203</v>
      </c>
      <c r="H120" s="23">
        <f t="shared" si="4"/>
        <v>226.29983037755792</v>
      </c>
      <c r="I120" s="23">
        <f t="shared" si="4"/>
        <v>186.87512990727714</v>
      </c>
      <c r="J120" s="23">
        <f t="shared" si="4"/>
        <v>144.76424314167357</v>
      </c>
      <c r="K120" s="23">
        <f t="shared" si="4"/>
        <v>110.68981911016655</v>
      </c>
      <c r="L120" s="23">
        <f t="shared" si="4"/>
        <v>87.044098295365018</v>
      </c>
      <c r="M120" s="23">
        <f t="shared" si="4"/>
        <v>68.449610894316407</v>
      </c>
      <c r="N120" s="23">
        <f t="shared" si="4"/>
        <v>53.827305048121886</v>
      </c>
      <c r="O120" s="23">
        <f t="shared" si="4"/>
        <v>42.328637531877433</v>
      </c>
      <c r="P120" s="2"/>
      <c r="Q120" s="2" t="s">
        <v>210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>
      <c r="A121" s="2"/>
      <c r="B121" s="2"/>
      <c r="C121" s="94">
        <v>70000</v>
      </c>
      <c r="D121" s="23">
        <f t="shared" si="4"/>
        <v>465.58560984464981</v>
      </c>
      <c r="E121" s="23">
        <f t="shared" si="4"/>
        <v>375.97092340716307</v>
      </c>
      <c r="F121" s="23">
        <f t="shared" si="4"/>
        <v>300.86505755783213</v>
      </c>
      <c r="G121" s="23">
        <f t="shared" si="4"/>
        <v>238.39835665961203</v>
      </c>
      <c r="H121" s="23">
        <f t="shared" si="4"/>
        <v>226.29983037755792</v>
      </c>
      <c r="I121" s="23">
        <f t="shared" si="4"/>
        <v>186.87512990727714</v>
      </c>
      <c r="J121" s="23">
        <f t="shared" si="4"/>
        <v>144.76424314167357</v>
      </c>
      <c r="K121" s="23">
        <f t="shared" si="4"/>
        <v>110.68981911016655</v>
      </c>
      <c r="L121" s="23">
        <f t="shared" si="4"/>
        <v>83.422049984400147</v>
      </c>
      <c r="M121" s="23">
        <f t="shared" si="4"/>
        <v>61.868126276407672</v>
      </c>
      <c r="N121" s="23">
        <f t="shared" si="4"/>
        <v>45.063286671360494</v>
      </c>
      <c r="O121" s="23">
        <f t="shared" si="4"/>
        <v>32.161993729646518</v>
      </c>
      <c r="P121" s="2"/>
      <c r="Q121" s="2" t="s">
        <v>211</v>
      </c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>
      <c r="A125" s="4" t="s">
        <v>215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>
      <c r="A126" s="2" t="s">
        <v>216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>
      <c r="A128" s="4" t="s">
        <v>217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>
      <c r="A129" s="2" t="s">
        <v>220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>
      <c r="A130" s="2" t="s">
        <v>218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  <row r="208" spans="1:59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</row>
  </sheetData>
  <hyperlinks>
    <hyperlink ref="B2" r:id="rId1" xr:uid="{00000000-0004-0000-0000-000000000000}"/>
    <hyperlink ref="E10" r:id="rId2" location="Berechnung_des_Sättigungsdampfdrucks_von_Wasser_über_die_Magnus-Formel" xr:uid="{00000000-0004-0000-0000-000001000000}"/>
    <hyperlink ref="E11" r:id="rId3" xr:uid="{00000000-0004-0000-0000-000002000000}"/>
    <hyperlink ref="H34" r:id="rId4" xr:uid="{00000000-0004-0000-0000-000003000000}"/>
    <hyperlink ref="B110" r:id="rId5" xr:uid="{00000000-0004-0000-0000-000004000000}"/>
  </hyperlinks>
  <pageMargins left="0.70000000000000007" right="0.70000000000000007" top="0.78740157500000008" bottom="0.78740157500000008" header="0.30000000000000004" footer="0.30000000000000004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276F0-70EB-44D4-8B8C-355B532AA5BE}">
  <sheetPr codeName="Tabelle4"/>
  <dimension ref="A1:AZ200"/>
  <sheetViews>
    <sheetView zoomScale="120" zoomScaleNormal="120" workbookViewId="0">
      <selection activeCell="A2" sqref="A2"/>
    </sheetView>
  </sheetViews>
  <sheetFormatPr baseColWidth="10" defaultRowHeight="15"/>
  <cols>
    <col min="2" max="2" width="13.140625" bestFit="1" customWidth="1"/>
  </cols>
  <sheetData>
    <row r="1" spans="1:52" ht="21">
      <c r="A1" s="105" t="s">
        <v>303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</row>
    <row r="2" spans="1:52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>
      <c r="A3" s="64" t="s">
        <v>273</v>
      </c>
      <c r="B3" s="63"/>
      <c r="C3" s="63"/>
      <c r="D3" s="63"/>
      <c r="E3" s="106" t="s">
        <v>239</v>
      </c>
      <c r="F3" s="106" t="s">
        <v>240</v>
      </c>
      <c r="G3" s="60" t="s">
        <v>241</v>
      </c>
      <c r="H3" s="106" t="s">
        <v>247</v>
      </c>
      <c r="I3" s="106" t="s">
        <v>243</v>
      </c>
      <c r="J3" s="106" t="s">
        <v>244</v>
      </c>
      <c r="K3" s="106" t="s">
        <v>245</v>
      </c>
      <c r="L3" s="106" t="s">
        <v>246</v>
      </c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</row>
    <row r="4" spans="1:52">
      <c r="A4" s="2" t="s">
        <v>3</v>
      </c>
      <c r="B4" s="63">
        <f>a_w</f>
        <v>611.20000000000005</v>
      </c>
      <c r="C4" s="2" t="s">
        <v>4</v>
      </c>
      <c r="D4" s="63"/>
      <c r="E4" s="63">
        <v>10000</v>
      </c>
      <c r="F4" s="109">
        <f t="shared" ref="F4:F18" si="0">IF(H&lt;H_T,p_0*(1-k_a*E4)^k_exp,p_T*EXP(-k_b*(E4-H_T)))</f>
        <v>79304.183023428166</v>
      </c>
      <c r="G4" s="107">
        <f t="shared" ref="G4:G18" si="1">EI_H2O*F4*c_p/(eps*Q*(1-eta))</f>
        <v>5.7248963004907907</v>
      </c>
      <c r="H4" s="107">
        <f>LN(G4)</f>
        <v>1.7448244358248626</v>
      </c>
      <c r="I4" s="108">
        <f t="shared" ref="I4:I18" si="2">b_w*c_w/(b_w-LN($G4*(c_w+t_init)^2/(a_w*b_w*c_w)))-c_w</f>
        <v>-29.205045111515034</v>
      </c>
      <c r="J4" s="108">
        <f t="shared" ref="J4:L18" si="3">b_w*c_w/(b_w-LN($G4*(c_w+I4)^2/(a_w*b_w*c_w)))-c_w</f>
        <v>-28.093024355749833</v>
      </c>
      <c r="K4" s="108">
        <f t="shared" si="3"/>
        <v>-27.981039117652159</v>
      </c>
      <c r="L4" s="108">
        <f t="shared" si="3"/>
        <v>-27.969787395041863</v>
      </c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</row>
    <row r="5" spans="1:52">
      <c r="A5" s="2" t="s">
        <v>5</v>
      </c>
      <c r="B5" s="63">
        <f>b_w</f>
        <v>17.62</v>
      </c>
      <c r="C5" s="2"/>
      <c r="D5" s="63"/>
      <c r="E5" s="63">
        <v>15000</v>
      </c>
      <c r="F5" s="109">
        <f t="shared" si="0"/>
        <v>62363.107626497898</v>
      </c>
      <c r="G5" s="107">
        <f t="shared" si="1"/>
        <v>4.5019355918788637</v>
      </c>
      <c r="H5" s="107">
        <f t="shared" ref="H5:H18" si="4">LN(G5)</f>
        <v>1.5045074358248627</v>
      </c>
      <c r="I5" s="108">
        <f t="shared" si="2"/>
        <v>-31.741688833620458</v>
      </c>
      <c r="J5" s="108">
        <f t="shared" si="3"/>
        <v>-30.907063369234294</v>
      </c>
      <c r="K5" s="108">
        <f t="shared" si="3"/>
        <v>-30.824175319186679</v>
      </c>
      <c r="L5" s="108">
        <f t="shared" si="3"/>
        <v>-30.815957844282622</v>
      </c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</row>
    <row r="6" spans="1:52">
      <c r="A6" s="2" t="s">
        <v>6</v>
      </c>
      <c r="B6" s="63">
        <f>c_w</f>
        <v>243.12</v>
      </c>
      <c r="C6" s="2" t="s">
        <v>7</v>
      </c>
      <c r="D6" s="63"/>
      <c r="E6" s="63">
        <v>20000</v>
      </c>
      <c r="F6" s="109">
        <f t="shared" si="0"/>
        <v>49041.009497383246</v>
      </c>
      <c r="G6" s="107">
        <f t="shared" si="1"/>
        <v>3.5402255359085171</v>
      </c>
      <c r="H6" s="107">
        <f t="shared" si="4"/>
        <v>1.2641904358248628</v>
      </c>
      <c r="I6" s="108">
        <f t="shared" si="2"/>
        <v>-34.218877588294845</v>
      </c>
      <c r="J6" s="108">
        <f t="shared" si="3"/>
        <v>-33.645518785926924</v>
      </c>
      <c r="K6" s="108">
        <f t="shared" si="3"/>
        <v>-33.589352916998934</v>
      </c>
      <c r="L6" s="108">
        <f t="shared" si="3"/>
        <v>-33.583857596267023</v>
      </c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</row>
    <row r="7" spans="1:52">
      <c r="A7" s="63"/>
      <c r="B7" s="63"/>
      <c r="C7" s="63"/>
      <c r="D7" s="63"/>
      <c r="E7" s="63">
        <v>25000</v>
      </c>
      <c r="F7" s="109">
        <f t="shared" si="0"/>
        <v>38564.797426813093</v>
      </c>
      <c r="G7" s="107">
        <f t="shared" si="1"/>
        <v>2.7839573866200227</v>
      </c>
      <c r="H7" s="107">
        <f t="shared" si="4"/>
        <v>1.0238734358248629</v>
      </c>
      <c r="I7" s="108">
        <f t="shared" si="2"/>
        <v>-36.63867746002208</v>
      </c>
      <c r="J7" s="108">
        <f t="shared" si="3"/>
        <v>-36.311456408102003</v>
      </c>
      <c r="K7" s="108">
        <f t="shared" si="3"/>
        <v>-36.279831932771458</v>
      </c>
      <c r="L7" s="108">
        <f t="shared" si="3"/>
        <v>-36.276777706343097</v>
      </c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</row>
    <row r="8" spans="1:52">
      <c r="A8" s="2" t="s">
        <v>42</v>
      </c>
      <c r="B8" s="63">
        <f>EI_H2O</f>
        <v>1.25</v>
      </c>
      <c r="C8" s="2"/>
      <c r="D8" s="63"/>
      <c r="E8" s="63">
        <v>30000</v>
      </c>
      <c r="F8" s="109">
        <f t="shared" si="0"/>
        <v>30326.529078698644</v>
      </c>
      <c r="G8" s="107">
        <f t="shared" si="1"/>
        <v>2.1892443438712217</v>
      </c>
      <c r="H8" s="107">
        <f t="shared" si="4"/>
        <v>0.78355643582486278</v>
      </c>
      <c r="I8" s="108">
        <f t="shared" si="2"/>
        <v>-39.003059899760672</v>
      </c>
      <c r="J8" s="108">
        <f t="shared" si="3"/>
        <v>-38.907776564543212</v>
      </c>
      <c r="K8" s="108">
        <f t="shared" si="3"/>
        <v>-38.898689518009292</v>
      </c>
      <c r="L8" s="108">
        <f t="shared" si="3"/>
        <v>-38.897823077557376</v>
      </c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</row>
    <row r="9" spans="1:52">
      <c r="A9" s="2" t="s">
        <v>43</v>
      </c>
      <c r="B9" s="63">
        <f>c_p</f>
        <v>1004</v>
      </c>
      <c r="C9" s="2" t="s">
        <v>44</v>
      </c>
      <c r="D9" s="63"/>
      <c r="E9" s="63">
        <v>35000</v>
      </c>
      <c r="F9" s="109">
        <f t="shared" si="0"/>
        <v>23848.131646653288</v>
      </c>
      <c r="G9" s="107">
        <f t="shared" si="1"/>
        <v>1.7215747698606192</v>
      </c>
      <c r="H9" s="107">
        <f t="shared" si="4"/>
        <v>0.54323943582486289</v>
      </c>
      <c r="I9" s="108">
        <f t="shared" si="2"/>
        <v>-41.313907081765421</v>
      </c>
      <c r="J9" s="108">
        <f t="shared" si="3"/>
        <v>-41.437225202234657</v>
      </c>
      <c r="K9" s="108">
        <f t="shared" si="3"/>
        <v>-41.448832773889819</v>
      </c>
      <c r="L9" s="108">
        <f t="shared" si="3"/>
        <v>-41.449925657060191</v>
      </c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</row>
    <row r="10" spans="1:52">
      <c r="A10" s="2" t="s">
        <v>45</v>
      </c>
      <c r="B10" s="63">
        <f>eps</f>
        <v>0.622</v>
      </c>
      <c r="C10" s="2"/>
      <c r="D10" s="63"/>
      <c r="E10" s="63">
        <v>40000</v>
      </c>
      <c r="F10" s="109">
        <f t="shared" si="0"/>
        <v>18753.658935390147</v>
      </c>
      <c r="G10" s="107">
        <f t="shared" si="1"/>
        <v>1.3538094532562532</v>
      </c>
      <c r="H10" s="107">
        <f t="shared" si="4"/>
        <v>0.30292243582486283</v>
      </c>
      <c r="I10" s="108">
        <f t="shared" si="2"/>
        <v>-43.573016900609133</v>
      </c>
      <c r="J10" s="108">
        <f t="shared" si="3"/>
        <v>-43.902404093845519</v>
      </c>
      <c r="K10" s="108">
        <f t="shared" si="3"/>
        <v>-43.93301049715518</v>
      </c>
      <c r="L10" s="108">
        <f t="shared" si="3"/>
        <v>-43.935856511598502</v>
      </c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</row>
    <row r="11" spans="1:52">
      <c r="A11" s="2" t="s">
        <v>47</v>
      </c>
      <c r="B11" s="63">
        <f>Q</f>
        <v>43000000</v>
      </c>
      <c r="C11" s="2" t="s">
        <v>48</v>
      </c>
      <c r="D11" s="63"/>
      <c r="E11" s="63">
        <v>45000</v>
      </c>
      <c r="F11" s="109">
        <f t="shared" si="0"/>
        <v>14747.474924908605</v>
      </c>
      <c r="G11" s="107">
        <f t="shared" si="1"/>
        <v>1.064606700686245</v>
      </c>
      <c r="H11" s="107">
        <f t="shared" si="4"/>
        <v>6.2605435824862721E-2</v>
      </c>
      <c r="I11" s="108">
        <f t="shared" si="2"/>
        <v>-45.782107636285872</v>
      </c>
      <c r="J11" s="108">
        <f t="shared" si="3"/>
        <v>-46.305780242395741</v>
      </c>
      <c r="K11" s="108">
        <f t="shared" si="3"/>
        <v>-46.353823956300403</v>
      </c>
      <c r="L11" s="108">
        <f t="shared" si="3"/>
        <v>-46.358236892690599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</row>
    <row r="12" spans="1:52">
      <c r="A12" s="2" t="s">
        <v>50</v>
      </c>
      <c r="B12" s="63">
        <f>eta</f>
        <v>0.35</v>
      </c>
      <c r="C12" s="2"/>
      <c r="D12" s="63"/>
      <c r="E12" s="63">
        <v>50000</v>
      </c>
      <c r="F12" s="109">
        <f t="shared" si="0"/>
        <v>11597.097793560972</v>
      </c>
      <c r="G12" s="107">
        <f t="shared" si="1"/>
        <v>0.83718386248520371</v>
      </c>
      <c r="H12" s="107">
        <f t="shared" si="4"/>
        <v>-0.17771156417513742</v>
      </c>
      <c r="I12" s="108">
        <f t="shared" si="2"/>
        <v>-47.942822312836427</v>
      </c>
      <c r="J12" s="108">
        <f t="shared" si="3"/>
        <v>-48.649694556023036</v>
      </c>
      <c r="K12" s="108">
        <f t="shared" si="3"/>
        <v>-48.713736790842006</v>
      </c>
      <c r="L12" s="108">
        <f t="shared" si="3"/>
        <v>-48.719548389687446</v>
      </c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</row>
    <row r="13" spans="1:52">
      <c r="A13" s="63"/>
      <c r="B13" s="63"/>
      <c r="C13" s="63"/>
      <c r="D13" s="63"/>
      <c r="E13" s="63">
        <v>55000</v>
      </c>
      <c r="F13" s="109">
        <f t="shared" si="0"/>
        <v>9119.7088259670509</v>
      </c>
      <c r="G13" s="107">
        <f t="shared" si="1"/>
        <v>0.65834342311941108</v>
      </c>
      <c r="H13" s="107">
        <f t="shared" si="4"/>
        <v>-0.41802856417513712</v>
      </c>
      <c r="I13" s="108">
        <f t="shared" si="2"/>
        <v>-50.056732773731284</v>
      </c>
      <c r="J13" s="108">
        <f t="shared" si="3"/>
        <v>-50.936369858285332</v>
      </c>
      <c r="K13" s="108">
        <f t="shared" si="3"/>
        <v>-51.01508411639071</v>
      </c>
      <c r="L13" s="108">
        <f t="shared" si="3"/>
        <v>-51.022142258083875</v>
      </c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</row>
    <row r="14" spans="1:52">
      <c r="A14" s="2" t="s">
        <v>28</v>
      </c>
      <c r="B14" s="63">
        <f>k_a</f>
        <v>6.8755999999999999E-6</v>
      </c>
      <c r="C14" s="2" t="s">
        <v>29</v>
      </c>
      <c r="D14" s="63"/>
      <c r="E14" s="63">
        <v>60000</v>
      </c>
      <c r="F14" s="109">
        <f t="shared" si="0"/>
        <v>7171.5433077229964</v>
      </c>
      <c r="G14" s="107">
        <f t="shared" si="1"/>
        <v>0.51770713959771752</v>
      </c>
      <c r="H14" s="107">
        <f t="shared" si="4"/>
        <v>-0.65834556417513723</v>
      </c>
      <c r="I14" s="108">
        <f t="shared" si="2"/>
        <v>-52.125343495255009</v>
      </c>
      <c r="J14" s="108">
        <f t="shared" si="3"/>
        <v>-53.1679182927993</v>
      </c>
      <c r="K14" s="108">
        <f t="shared" si="3"/>
        <v>-53.260080909403911</v>
      </c>
      <c r="L14" s="108">
        <f t="shared" si="3"/>
        <v>-53.268248000935955</v>
      </c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</row>
    <row r="15" spans="1:52">
      <c r="A15" s="2" t="s">
        <v>31</v>
      </c>
      <c r="B15" s="63">
        <f>k_b</f>
        <v>4.8063399999999998E-5</v>
      </c>
      <c r="C15" s="2" t="s">
        <v>29</v>
      </c>
      <c r="D15" s="63"/>
      <c r="E15" s="63">
        <v>65000</v>
      </c>
      <c r="F15" s="109">
        <f t="shared" si="0"/>
        <v>5639.5477526764971</v>
      </c>
      <c r="G15" s="107">
        <f t="shared" si="1"/>
        <v>0.4071137843536059</v>
      </c>
      <c r="H15" s="107">
        <f t="shared" si="4"/>
        <v>-0.89866256417513724</v>
      </c>
      <c r="I15" s="108">
        <f t="shared" si="2"/>
        <v>-54.150095157334334</v>
      </c>
      <c r="J15" s="108">
        <f t="shared" si="3"/>
        <v>-55.346348175132789</v>
      </c>
      <c r="K15" s="108">
        <f t="shared" si="3"/>
        <v>-55.450829737704254</v>
      </c>
      <c r="L15" s="108">
        <f t="shared" si="3"/>
        <v>-55.459981272893117</v>
      </c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</row>
    <row r="16" spans="1:52">
      <c r="A16" s="2" t="s">
        <v>32</v>
      </c>
      <c r="B16" s="63">
        <f>k_exp</f>
        <v>5.2558800000000003</v>
      </c>
      <c r="C16" s="2"/>
      <c r="D16" s="63"/>
      <c r="E16" s="63">
        <v>70000</v>
      </c>
      <c r="F16" s="109">
        <f t="shared" si="0"/>
        <v>4434.8193254955922</v>
      </c>
      <c r="G16" s="107">
        <f t="shared" si="1"/>
        <v>0.32014554317234889</v>
      </c>
      <c r="H16" s="107">
        <f t="shared" si="4"/>
        <v>-1.1389795641751372</v>
      </c>
      <c r="I16" s="108">
        <f t="shared" si="2"/>
        <v>-56.132367989621059</v>
      </c>
      <c r="J16" s="108">
        <f t="shared" si="3"/>
        <v>-57.473570339638798</v>
      </c>
      <c r="K16" s="108">
        <f t="shared" si="3"/>
        <v>-57.589327895972673</v>
      </c>
      <c r="L16" s="108">
        <f t="shared" si="3"/>
        <v>-57.599351169000101</v>
      </c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</row>
    <row r="17" spans="1:52">
      <c r="A17" s="2" t="s">
        <v>33</v>
      </c>
      <c r="B17" s="63">
        <f>H_T</f>
        <v>36089</v>
      </c>
      <c r="C17" s="2" t="s">
        <v>34</v>
      </c>
      <c r="D17" s="63"/>
      <c r="E17" s="63">
        <v>75000</v>
      </c>
      <c r="F17" s="109">
        <f t="shared" si="0"/>
        <v>3487.4467443697131</v>
      </c>
      <c r="G17" s="107">
        <f t="shared" si="1"/>
        <v>0.25175558468463954</v>
      </c>
      <c r="H17" s="107">
        <f t="shared" si="4"/>
        <v>-1.3792965641751371</v>
      </c>
      <c r="I17" s="108">
        <f t="shared" si="2"/>
        <v>-58.073484909160783</v>
      </c>
      <c r="J17" s="108">
        <f t="shared" si="3"/>
        <v>-59.55140402426548</v>
      </c>
      <c r="K17" s="108">
        <f t="shared" si="3"/>
        <v>-59.677473999347427</v>
      </c>
      <c r="L17" s="108">
        <f t="shared" si="3"/>
        <v>-59.688266953944407</v>
      </c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</row>
    <row r="18" spans="1:52">
      <c r="A18" s="2" t="s">
        <v>35</v>
      </c>
      <c r="B18" s="63">
        <f>p_0</f>
        <v>101315</v>
      </c>
      <c r="C18" s="2" t="s">
        <v>4</v>
      </c>
      <c r="D18" s="63"/>
      <c r="E18" s="63">
        <v>80000</v>
      </c>
      <c r="F18" s="109">
        <f t="shared" si="0"/>
        <v>2742.4532776103047</v>
      </c>
      <c r="G18" s="107">
        <f t="shared" si="1"/>
        <v>0.19797518900890615</v>
      </c>
      <c r="H18" s="107">
        <f t="shared" si="4"/>
        <v>-1.6196135641751372</v>
      </c>
      <c r="I18" s="108">
        <f t="shared" si="2"/>
        <v>-59.974714464636918</v>
      </c>
      <c r="J18" s="108">
        <f t="shared" si="3"/>
        <v>-61.581582332226731</v>
      </c>
      <c r="K18" s="108">
        <f t="shared" si="3"/>
        <v>-61.717074082878298</v>
      </c>
      <c r="L18" s="108">
        <f t="shared" si="3"/>
        <v>-61.728544281696117</v>
      </c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</row>
    <row r="19" spans="1:52">
      <c r="A19" s="2" t="s">
        <v>36</v>
      </c>
      <c r="B19" s="63">
        <f>p_T</f>
        <v>22632</v>
      </c>
      <c r="C19" s="2" t="s">
        <v>4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</row>
    <row r="20" spans="1:52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</row>
    <row r="21" spans="1:52">
      <c r="A21" s="63" t="s">
        <v>242</v>
      </c>
      <c r="B21" s="122">
        <v>-40</v>
      </c>
      <c r="C21" s="2" t="s">
        <v>7</v>
      </c>
      <c r="D21" s="63"/>
      <c r="E21" s="63"/>
      <c r="F21" s="63"/>
      <c r="G21" s="60" t="s">
        <v>241</v>
      </c>
      <c r="H21" s="106" t="s">
        <v>247</v>
      </c>
      <c r="I21" s="106" t="s">
        <v>243</v>
      </c>
      <c r="J21" s="106" t="s">
        <v>244</v>
      </c>
      <c r="K21" s="106" t="s">
        <v>245</v>
      </c>
      <c r="L21" s="106" t="s">
        <v>246</v>
      </c>
      <c r="M21" s="106" t="s">
        <v>248</v>
      </c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</row>
    <row r="22" spans="1:52">
      <c r="A22" s="63"/>
      <c r="B22" s="63"/>
      <c r="C22" s="63"/>
      <c r="D22" s="63"/>
      <c r="E22" s="63"/>
      <c r="F22" s="63"/>
      <c r="G22" s="107">
        <v>2.5000000000000001E-2</v>
      </c>
      <c r="H22" s="108">
        <f>LN(G22)</f>
        <v>-3.6888794541139363</v>
      </c>
      <c r="I22" s="108">
        <f t="shared" ref="I22:I53" si="5">b_w*c_w/(b_w-LN($G22*(c_w+t_init)^2/(a_w*b_w*c_w)))-c_w</f>
        <v>-74.860288632808846</v>
      </c>
      <c r="J22" s="108">
        <f t="shared" ref="J22:L53" si="6">b_w*c_w/(b_w-LN($G22*(c_w+I22)^2/(a_w*b_w*c_w)))-c_w</f>
        <v>-77.312795109042781</v>
      </c>
      <c r="K22" s="108">
        <f t="shared" si="6"/>
        <v>-77.501043528874135</v>
      </c>
      <c r="L22" s="108">
        <f t="shared" si="6"/>
        <v>-77.515590076760247</v>
      </c>
      <c r="M22" s="108">
        <f t="shared" ref="M22:M53" si="7">a_SLZ*H22^2+b_SLZ*H22+c_SLZ</f>
        <v>-77.103000923758813</v>
      </c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</row>
    <row r="23" spans="1:52">
      <c r="A23" s="64" t="s">
        <v>258</v>
      </c>
      <c r="B23" s="64"/>
      <c r="C23" s="63"/>
      <c r="D23" s="63"/>
      <c r="E23" s="63"/>
      <c r="F23" s="63"/>
      <c r="G23" s="107">
        <v>0.05</v>
      </c>
      <c r="H23" s="108">
        <f>LN(G23)</f>
        <v>-2.9957322735539909</v>
      </c>
      <c r="I23" s="108">
        <f t="shared" si="5"/>
        <v>-70.151089455426131</v>
      </c>
      <c r="J23" s="108">
        <f t="shared" si="6"/>
        <v>-72.366814098284379</v>
      </c>
      <c r="K23" s="108">
        <f t="shared" si="6"/>
        <v>-72.54213723655684</v>
      </c>
      <c r="L23" s="108">
        <f t="shared" si="6"/>
        <v>-72.556091492594959</v>
      </c>
      <c r="M23" s="108">
        <f t="shared" si="7"/>
        <v>-72.527278113610748</v>
      </c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</row>
    <row r="24" spans="1:52">
      <c r="A24" s="63"/>
      <c r="B24" s="63"/>
      <c r="C24" s="63"/>
      <c r="D24" s="63"/>
      <c r="E24" s="63"/>
      <c r="F24" s="63"/>
      <c r="G24" s="107">
        <v>7.4999999999999997E-2</v>
      </c>
      <c r="H24" s="108">
        <f>LN(G24)</f>
        <v>-2.5902671654458267</v>
      </c>
      <c r="I24" s="108">
        <f t="shared" si="5"/>
        <v>-67.272153522442295</v>
      </c>
      <c r="J24" s="108">
        <f t="shared" si="6"/>
        <v>-69.329301142703571</v>
      </c>
      <c r="K24" s="108">
        <f t="shared" si="6"/>
        <v>-69.49507771611124</v>
      </c>
      <c r="L24" s="108">
        <f t="shared" si="6"/>
        <v>-69.508508389327744</v>
      </c>
      <c r="M24" s="108">
        <f t="shared" si="7"/>
        <v>-69.617463784938082</v>
      </c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</row>
    <row r="25" spans="1:52">
      <c r="A25" s="63"/>
      <c r="B25" s="63"/>
      <c r="C25" s="63"/>
      <c r="D25" s="63"/>
      <c r="E25" s="63"/>
      <c r="F25" s="63"/>
      <c r="G25" s="107">
        <v>0.1</v>
      </c>
      <c r="H25" s="108">
        <f>LN(G25)</f>
        <v>-2.3025850929940455</v>
      </c>
      <c r="I25" s="108">
        <f t="shared" si="5"/>
        <v>-65.170701192844774</v>
      </c>
      <c r="J25" s="108">
        <f t="shared" si="6"/>
        <v>-67.105352262816268</v>
      </c>
      <c r="K25" s="108">
        <f t="shared" si="6"/>
        <v>-67.263327496423216</v>
      </c>
      <c r="L25" s="108">
        <f t="shared" si="6"/>
        <v>-67.276291055521313</v>
      </c>
      <c r="M25" s="108">
        <f t="shared" si="7"/>
        <v>-67.448530606950612</v>
      </c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</row>
    <row r="26" spans="1:52">
      <c r="A26" s="63"/>
      <c r="B26" s="63"/>
      <c r="C26" s="63"/>
      <c r="D26" s="63"/>
      <c r="E26" s="63"/>
      <c r="F26" s="63"/>
      <c r="G26" s="107">
        <v>0.2</v>
      </c>
      <c r="H26" s="108">
        <f t="shared" ref="H26:H53" si="8">LN(G26)</f>
        <v>-1.6094379124341003</v>
      </c>
      <c r="I26" s="108">
        <f t="shared" si="5"/>
        <v>-59.895003859035086</v>
      </c>
      <c r="J26" s="108">
        <f t="shared" si="6"/>
        <v>-61.496563340177801</v>
      </c>
      <c r="K26" s="108">
        <f t="shared" si="6"/>
        <v>-61.63167329942894</v>
      </c>
      <c r="L26" s="108">
        <f t="shared" si="6"/>
        <v>-61.643116578083522</v>
      </c>
      <c r="M26" s="108">
        <f t="shared" si="7"/>
        <v>-61.866758403778398</v>
      </c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</row>
    <row r="27" spans="1:52">
      <c r="A27" s="63"/>
      <c r="B27" s="63"/>
      <c r="C27" s="63"/>
      <c r="D27" s="63"/>
      <c r="E27" s="63"/>
      <c r="F27" s="63"/>
      <c r="G27" s="107">
        <v>0.3</v>
      </c>
      <c r="H27" s="108">
        <f t="shared" si="8"/>
        <v>-1.2039728043259361</v>
      </c>
      <c r="I27" s="108">
        <f t="shared" si="5"/>
        <v>-56.661345277772654</v>
      </c>
      <c r="J27" s="108">
        <f t="shared" si="6"/>
        <v>-58.040314601360308</v>
      </c>
      <c r="K27" s="108">
        <f t="shared" si="6"/>
        <v>-58.15895303128147</v>
      </c>
      <c r="L27" s="108">
        <f t="shared" si="6"/>
        <v>-58.169194111709118</v>
      </c>
      <c r="M27" s="108">
        <f t="shared" si="7"/>
        <v>-58.368442906313305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</row>
    <row r="28" spans="1:52">
      <c r="A28" s="112" t="s">
        <v>259</v>
      </c>
      <c r="B28" s="115" t="s">
        <v>263</v>
      </c>
      <c r="C28" s="112"/>
      <c r="D28" s="112"/>
      <c r="E28" s="112"/>
      <c r="F28" s="63"/>
      <c r="G28" s="107">
        <v>0.4</v>
      </c>
      <c r="H28" s="108">
        <f t="shared" si="8"/>
        <v>-0.916290731874155</v>
      </c>
      <c r="I28" s="108">
        <f t="shared" si="5"/>
        <v>-54.296929715794391</v>
      </c>
      <c r="J28" s="108">
        <f t="shared" si="6"/>
        <v>-55.504105754321301</v>
      </c>
      <c r="K28" s="108">
        <f t="shared" si="6"/>
        <v>-55.609448895242167</v>
      </c>
      <c r="L28" s="108">
        <f t="shared" si="6"/>
        <v>-55.61866807027323</v>
      </c>
      <c r="M28" s="108">
        <f t="shared" si="7"/>
        <v>-55.781961504094106</v>
      </c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</row>
    <row r="29" spans="1:52">
      <c r="A29" s="63" t="s">
        <v>259</v>
      </c>
      <c r="B29" s="127">
        <f>a_SLZ*LN(G)^2+b_SLZ*LN(G)+c_SLZ</f>
        <v>-43.858534861970831</v>
      </c>
      <c r="C29" s="128" t="s">
        <v>7</v>
      </c>
      <c r="D29" s="63"/>
      <c r="E29" s="63"/>
      <c r="F29" s="63"/>
      <c r="G29" s="107">
        <v>0.5</v>
      </c>
      <c r="H29" s="108">
        <f t="shared" si="8"/>
        <v>-0.69314718055994529</v>
      </c>
      <c r="I29" s="108">
        <f t="shared" si="5"/>
        <v>-52.421241411854282</v>
      </c>
      <c r="J29" s="108">
        <f t="shared" si="6"/>
        <v>-53.486631626830672</v>
      </c>
      <c r="K29" s="108">
        <f t="shared" si="6"/>
        <v>-53.580646027756558</v>
      </c>
      <c r="L29" s="108">
        <f t="shared" si="6"/>
        <v>-53.588963099352071</v>
      </c>
      <c r="M29" s="108">
        <f t="shared" si="7"/>
        <v>-53.716059378425797</v>
      </c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</row>
    <row r="30" spans="1:52">
      <c r="A30" s="63"/>
      <c r="B30" s="63"/>
      <c r="C30" s="63"/>
      <c r="D30" s="63"/>
      <c r="E30" s="63"/>
      <c r="F30" s="63"/>
      <c r="G30" s="107">
        <v>0.6</v>
      </c>
      <c r="H30" s="108">
        <f t="shared" si="8"/>
        <v>-0.51082562376599072</v>
      </c>
      <c r="I30" s="108">
        <f t="shared" si="5"/>
        <v>-50.86080377181824</v>
      </c>
      <c r="J30" s="108">
        <f t="shared" si="6"/>
        <v>-51.804491098944084</v>
      </c>
      <c r="K30" s="108">
        <f t="shared" si="6"/>
        <v>-51.888538049746813</v>
      </c>
      <c r="L30" s="108">
        <f t="shared" si="6"/>
        <v>-51.896039966742848</v>
      </c>
      <c r="M30" s="108">
        <f t="shared" si="7"/>
        <v>-51.989395422232803</v>
      </c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</row>
    <row r="31" spans="1:52">
      <c r="A31" s="64" t="s">
        <v>264</v>
      </c>
      <c r="B31" s="64"/>
      <c r="C31" s="63"/>
      <c r="D31" s="63"/>
      <c r="E31" s="63"/>
      <c r="F31" s="63"/>
      <c r="G31" s="107">
        <v>0.7</v>
      </c>
      <c r="H31" s="108">
        <f t="shared" si="8"/>
        <v>-0.35667494393873245</v>
      </c>
      <c r="I31" s="108">
        <f t="shared" si="5"/>
        <v>-49.521410340386382</v>
      </c>
      <c r="J31" s="108">
        <f t="shared" si="6"/>
        <v>-50.357897699964695</v>
      </c>
      <c r="K31" s="108">
        <f t="shared" si="6"/>
        <v>-50.43298640697455</v>
      </c>
      <c r="L31" s="108">
        <f t="shared" si="6"/>
        <v>-50.439739934083121</v>
      </c>
      <c r="M31" s="108">
        <f t="shared" si="7"/>
        <v>-50.502369770727867</v>
      </c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</row>
    <row r="32" spans="1:52">
      <c r="A32" s="63" t="s">
        <v>267</v>
      </c>
      <c r="B32" s="63"/>
      <c r="C32" s="63"/>
      <c r="D32" s="63"/>
      <c r="E32" s="63"/>
      <c r="F32" s="63"/>
      <c r="G32" s="107">
        <v>0.8</v>
      </c>
      <c r="H32" s="108">
        <f t="shared" si="8"/>
        <v>-0.22314355131420971</v>
      </c>
      <c r="I32" s="108">
        <f t="shared" si="5"/>
        <v>-48.3459987672816</v>
      </c>
      <c r="J32" s="108">
        <f t="shared" si="6"/>
        <v>-49.086313088702695</v>
      </c>
      <c r="K32" s="108">
        <f t="shared" si="6"/>
        <v>-49.153227507077048</v>
      </c>
      <c r="L32" s="108">
        <f t="shared" si="6"/>
        <v>-49.159285963461741</v>
      </c>
      <c r="M32" s="108">
        <f t="shared" si="7"/>
        <v>-49.194139907897735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</row>
    <row r="33" spans="1:52">
      <c r="A33" s="63"/>
      <c r="B33" s="64"/>
      <c r="C33" s="63"/>
      <c r="D33" s="63"/>
      <c r="E33" s="63"/>
      <c r="F33" s="63"/>
      <c r="G33" s="107">
        <v>0.9</v>
      </c>
      <c r="H33" s="108">
        <f t="shared" si="8"/>
        <v>-0.10536051565782628</v>
      </c>
      <c r="I33" s="108">
        <f t="shared" si="5"/>
        <v>-47.297301420135653</v>
      </c>
      <c r="J33" s="108">
        <f t="shared" si="6"/>
        <v>-47.950145360299388</v>
      </c>
      <c r="K33" s="108">
        <f t="shared" si="6"/>
        <v>-48.009515495933613</v>
      </c>
      <c r="L33" s="108">
        <f t="shared" si="6"/>
        <v>-48.014922714811007</v>
      </c>
      <c r="M33" s="108">
        <f t="shared" si="7"/>
        <v>-48.024703782684441</v>
      </c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</row>
    <row r="34" spans="1:52">
      <c r="A34" s="63"/>
      <c r="B34" s="63"/>
      <c r="C34" s="63"/>
      <c r="D34" s="63"/>
      <c r="E34" s="63"/>
      <c r="F34" s="63"/>
      <c r="G34" s="107">
        <v>1</v>
      </c>
      <c r="H34" s="108">
        <f t="shared" si="8"/>
        <v>0</v>
      </c>
      <c r="I34" s="108">
        <f t="shared" si="5"/>
        <v>-46.349594376605125</v>
      </c>
      <c r="J34" s="108">
        <f t="shared" si="6"/>
        <v>-46.922033336285182</v>
      </c>
      <c r="K34" s="108">
        <f t="shared" si="6"/>
        <v>-46.97437872302325</v>
      </c>
      <c r="L34" s="108">
        <f t="shared" si="6"/>
        <v>-46.979171551412009</v>
      </c>
      <c r="M34" s="108">
        <f t="shared" si="7"/>
        <v>-46.966299999999997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</row>
    <row r="35" spans="1:52">
      <c r="A35" s="63"/>
      <c r="B35" s="63"/>
      <c r="C35" s="63"/>
      <c r="D35" s="63"/>
      <c r="E35" s="63"/>
      <c r="F35" s="63"/>
      <c r="G35" s="107">
        <v>2</v>
      </c>
      <c r="H35" s="108">
        <f t="shared" si="8"/>
        <v>0.69314718055994529</v>
      </c>
      <c r="I35" s="108">
        <f t="shared" si="5"/>
        <v>-39.878602982766637</v>
      </c>
      <c r="J35" s="108">
        <f t="shared" si="6"/>
        <v>-39.867079654065975</v>
      </c>
      <c r="K35" s="108">
        <f t="shared" si="6"/>
        <v>-39.865986118791056</v>
      </c>
      <c r="L35" s="108">
        <f t="shared" si="6"/>
        <v>-39.865882347618907</v>
      </c>
      <c r="M35" s="108">
        <f t="shared" si="7"/>
        <v>-39.713515925062119</v>
      </c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</row>
    <row r="36" spans="1:52">
      <c r="A36" s="63"/>
      <c r="B36" s="63"/>
      <c r="C36" s="63"/>
      <c r="D36" s="63"/>
      <c r="E36" s="63"/>
      <c r="F36" s="63"/>
      <c r="G36" s="107">
        <v>3</v>
      </c>
      <c r="H36" s="108">
        <f t="shared" si="8"/>
        <v>1.0986122886681098</v>
      </c>
      <c r="I36" s="108">
        <f t="shared" si="5"/>
        <v>-35.892144921744801</v>
      </c>
      <c r="J36" s="108">
        <f t="shared" si="6"/>
        <v>-35.489938297525271</v>
      </c>
      <c r="K36" s="108">
        <f t="shared" si="6"/>
        <v>-35.45090407997003</v>
      </c>
      <c r="L36" s="108">
        <f t="shared" si="6"/>
        <v>-35.447119048545488</v>
      </c>
      <c r="M36" s="108">
        <f t="shared" si="7"/>
        <v>-35.237721144354239</v>
      </c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</row>
    <row r="37" spans="1:52">
      <c r="A37" s="63"/>
      <c r="B37" s="111"/>
      <c r="C37" s="63"/>
      <c r="D37" s="63"/>
      <c r="E37" s="63"/>
      <c r="F37" s="63"/>
      <c r="G37" s="107">
        <v>4</v>
      </c>
      <c r="H37" s="108">
        <f t="shared" si="8"/>
        <v>1.3862943611198906</v>
      </c>
      <c r="I37" s="108">
        <f t="shared" si="5"/>
        <v>-32.96752899814706</v>
      </c>
      <c r="J37" s="108">
        <f t="shared" si="6"/>
        <v>-32.263373537036017</v>
      </c>
      <c r="K37" s="108">
        <f t="shared" si="6"/>
        <v>-32.193914553576519</v>
      </c>
      <c r="L37" s="108">
        <f t="shared" si="6"/>
        <v>-32.187073110402878</v>
      </c>
      <c r="M37" s="108">
        <f t="shared" si="7"/>
        <v>-31.957707153612162</v>
      </c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</row>
    <row r="38" spans="1:52">
      <c r="A38" s="112" t="s">
        <v>254</v>
      </c>
      <c r="B38" s="114" t="s">
        <v>260</v>
      </c>
      <c r="C38" s="112"/>
      <c r="D38" s="112"/>
      <c r="E38" s="112"/>
      <c r="F38" s="63"/>
      <c r="G38" s="107">
        <v>5</v>
      </c>
      <c r="H38" s="108">
        <f t="shared" si="8"/>
        <v>1.6094379124341003</v>
      </c>
      <c r="I38" s="108">
        <f t="shared" si="5"/>
        <v>-30.64154268529316</v>
      </c>
      <c r="J38" s="108">
        <f t="shared" si="6"/>
        <v>-29.687842389646136</v>
      </c>
      <c r="K38" s="108">
        <f t="shared" si="6"/>
        <v>-29.592553747142858</v>
      </c>
      <c r="L38" s="108">
        <f t="shared" si="6"/>
        <v>-29.583051758691681</v>
      </c>
      <c r="M38" s="108">
        <f t="shared" si="7"/>
        <v>-29.353859359532166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</row>
    <row r="39" spans="1:52">
      <c r="A39" s="63" t="s">
        <v>254</v>
      </c>
      <c r="B39" s="111">
        <f>-0.5*SQRT(b_w*c_w*G/(a_w*EXP(b_w)))</f>
        <v>-2.2984550387840079E-4</v>
      </c>
      <c r="C39" s="63"/>
      <c r="D39" s="63"/>
      <c r="E39" s="63"/>
      <c r="F39" s="63"/>
      <c r="G39" s="107">
        <v>6</v>
      </c>
      <c r="H39" s="108">
        <f t="shared" si="8"/>
        <v>1.791759469228055</v>
      </c>
      <c r="I39" s="108">
        <f t="shared" si="5"/>
        <v>-28.702503638764853</v>
      </c>
      <c r="J39" s="108">
        <f t="shared" si="6"/>
        <v>-27.53433310158178</v>
      </c>
      <c r="K39" s="108">
        <f t="shared" si="6"/>
        <v>-27.416369939872396</v>
      </c>
      <c r="L39" s="108">
        <f t="shared" si="6"/>
        <v>-27.404486286707879</v>
      </c>
      <c r="M39" s="108">
        <f t="shared" si="7"/>
        <v>-27.18766178850808</v>
      </c>
      <c r="N39" s="63"/>
      <c r="O39" s="63"/>
      <c r="P39" s="63"/>
      <c r="Q39" s="63"/>
      <c r="R39" s="63"/>
      <c r="S39" s="63"/>
      <c r="T39" s="63"/>
      <c r="U39" s="128" t="s">
        <v>249</v>
      </c>
      <c r="V39" s="128">
        <v>0.52349000000000001</v>
      </c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</row>
    <row r="40" spans="1:52" ht="18">
      <c r="A40" s="112" t="s">
        <v>252</v>
      </c>
      <c r="B40" s="114" t="s">
        <v>274</v>
      </c>
      <c r="C40" s="112"/>
      <c r="D40" s="112"/>
      <c r="E40" s="112"/>
      <c r="F40" s="63" t="s">
        <v>257</v>
      </c>
      <c r="G40" s="107">
        <v>7</v>
      </c>
      <c r="H40" s="108">
        <f t="shared" si="8"/>
        <v>1.9459101490553132</v>
      </c>
      <c r="I40" s="108">
        <f t="shared" si="5"/>
        <v>-27.035244127226633</v>
      </c>
      <c r="J40" s="108">
        <f t="shared" si="6"/>
        <v>-25.677938180169065</v>
      </c>
      <c r="K40" s="108">
        <f t="shared" si="6"/>
        <v>-25.53962617440834</v>
      </c>
      <c r="L40" s="108">
        <f t="shared" si="6"/>
        <v>-25.525570582800015</v>
      </c>
      <c r="M40" s="108">
        <f t="shared" si="7"/>
        <v>-25.329015760759223</v>
      </c>
      <c r="N40" s="63"/>
      <c r="O40" s="63"/>
      <c r="P40" s="63"/>
      <c r="Q40" s="63"/>
      <c r="R40" s="63"/>
      <c r="S40" s="63"/>
      <c r="T40" s="63"/>
      <c r="U40" s="128" t="s">
        <v>250</v>
      </c>
      <c r="V40" s="128">
        <v>10.1007</v>
      </c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</row>
    <row r="41" spans="1:52" ht="18">
      <c r="A41" s="63" t="s">
        <v>252</v>
      </c>
      <c r="B41" s="116" t="e" cm="1">
        <f t="array" aca="1" ref="B41" ca="1">LambertW(x,-1)</f>
        <v>#NAME?</v>
      </c>
      <c r="C41" s="63"/>
      <c r="D41" s="63"/>
      <c r="E41" s="63" t="s">
        <v>304</v>
      </c>
      <c r="F41" s="63" t="s">
        <v>257</v>
      </c>
      <c r="G41" s="107">
        <v>8</v>
      </c>
      <c r="H41" s="108">
        <f t="shared" si="8"/>
        <v>2.0794415416798357</v>
      </c>
      <c r="I41" s="108">
        <f t="shared" si="5"/>
        <v>-25.569898042774128</v>
      </c>
      <c r="J41" s="108">
        <f t="shared" si="6"/>
        <v>-24.042725167108529</v>
      </c>
      <c r="K41" s="108">
        <f t="shared" si="6"/>
        <v>-23.88586310524434</v>
      </c>
      <c r="L41" s="108">
        <f t="shared" si="6"/>
        <v>-23.869800472259385</v>
      </c>
      <c r="M41" s="108">
        <f t="shared" si="7"/>
        <v>-23.698873685650128</v>
      </c>
      <c r="N41" s="63"/>
      <c r="O41" s="63"/>
      <c r="P41" s="63"/>
      <c r="Q41" s="63"/>
      <c r="R41" s="63"/>
      <c r="S41" s="63"/>
      <c r="T41" s="63"/>
      <c r="U41" s="128" t="s">
        <v>251</v>
      </c>
      <c r="V41" s="128">
        <v>-46.966299999999997</v>
      </c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</row>
    <row r="42" spans="1:52">
      <c r="A42" s="112" t="s">
        <v>259</v>
      </c>
      <c r="B42" s="113" t="s">
        <v>261</v>
      </c>
      <c r="C42" s="112"/>
      <c r="D42" s="112"/>
      <c r="E42" s="112"/>
      <c r="F42" s="63"/>
      <c r="G42" s="107">
        <v>9</v>
      </c>
      <c r="H42" s="108">
        <f t="shared" si="8"/>
        <v>2.1972245773362196</v>
      </c>
      <c r="I42" s="108">
        <f t="shared" si="5"/>
        <v>-24.260775506084315</v>
      </c>
      <c r="J42" s="108">
        <f t="shared" si="6"/>
        <v>-22.578947909193488</v>
      </c>
      <c r="K42" s="108">
        <f t="shared" si="6"/>
        <v>-22.404976449593732</v>
      </c>
      <c r="L42" s="108">
        <f t="shared" si="6"/>
        <v>-22.387040688394592</v>
      </c>
      <c r="M42" s="108">
        <f t="shared" si="7"/>
        <v>-22.245490865716928</v>
      </c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</row>
    <row r="43" spans="1:52">
      <c r="A43" s="63" t="s">
        <v>259</v>
      </c>
      <c r="B43" s="127" t="e">
        <f ca="1">-c_w-b_w*c_w/(2*W_x)</f>
        <v>#NAME?</v>
      </c>
      <c r="C43" s="128" t="s">
        <v>7</v>
      </c>
      <c r="D43" s="63"/>
      <c r="E43" s="63" t="s">
        <v>305</v>
      </c>
      <c r="F43" s="63"/>
      <c r="G43" s="107">
        <v>10</v>
      </c>
      <c r="H43" s="108">
        <f t="shared" si="8"/>
        <v>2.3025850929940459</v>
      </c>
      <c r="I43" s="108">
        <f t="shared" si="5"/>
        <v>-23.076302723017221</v>
      </c>
      <c r="J43" s="108">
        <f t="shared" si="6"/>
        <v>-21.252175137526763</v>
      </c>
      <c r="K43" s="108">
        <f t="shared" si="6"/>
        <v>-21.062279076463511</v>
      </c>
      <c r="L43" s="108">
        <f t="shared" si="6"/>
        <v>-21.042581648354741</v>
      </c>
      <c r="M43" s="108">
        <f t="shared" si="7"/>
        <v>-20.933088109340702</v>
      </c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</row>
    <row r="44" spans="1:52">
      <c r="A44" s="63"/>
      <c r="B44" s="107"/>
      <c r="C44" s="63"/>
      <c r="D44" s="63"/>
      <c r="E44" s="63" t="s">
        <v>306</v>
      </c>
      <c r="F44" s="63"/>
      <c r="G44" s="107">
        <v>11</v>
      </c>
      <c r="H44" s="108">
        <f t="shared" si="8"/>
        <v>2.3978952727983707</v>
      </c>
      <c r="I44" s="108">
        <f t="shared" si="5"/>
        <v>-21.9937177474132</v>
      </c>
      <c r="J44" s="108">
        <f t="shared" si="6"/>
        <v>-20.037549689208817</v>
      </c>
      <c r="K44" s="108">
        <f t="shared" si="6"/>
        <v>-19.832723888815082</v>
      </c>
      <c r="L44" s="108">
        <f t="shared" si="6"/>
        <v>-19.811359382458676</v>
      </c>
      <c r="M44" s="108">
        <f t="shared" si="7"/>
        <v>-19.735863156534744</v>
      </c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</row>
    <row r="45" spans="1:52">
      <c r="A45" s="63" t="s">
        <v>262</v>
      </c>
      <c r="B45" s="63"/>
      <c r="C45" s="63"/>
      <c r="D45" s="63"/>
      <c r="E45" s="63"/>
      <c r="F45" s="63"/>
      <c r="G45" s="107">
        <v>12</v>
      </c>
      <c r="H45" s="108">
        <f t="shared" si="8"/>
        <v>2.4849066497880004</v>
      </c>
      <c r="I45" s="108">
        <f t="shared" si="5"/>
        <v>-20.996051684491619</v>
      </c>
      <c r="J45" s="108">
        <f t="shared" si="6"/>
        <v>-18.916516814804197</v>
      </c>
      <c r="K45" s="108">
        <f t="shared" si="6"/>
        <v>-18.697610793686948</v>
      </c>
      <c r="L45" s="108">
        <f t="shared" si="6"/>
        <v>-18.674660745644559</v>
      </c>
      <c r="M45" s="108">
        <f t="shared" si="7"/>
        <v>-18.634577736149836</v>
      </c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</row>
    <row r="46" spans="1:52">
      <c r="A46" s="65" t="s">
        <v>255</v>
      </c>
      <c r="B46" s="63"/>
      <c r="C46" s="63"/>
      <c r="D46" s="63"/>
      <c r="E46" s="63"/>
      <c r="F46" s="63"/>
      <c r="G46" s="107">
        <v>13</v>
      </c>
      <c r="H46" s="108">
        <f t="shared" si="8"/>
        <v>2.5649493574615367</v>
      </c>
      <c r="I46" s="108">
        <f t="shared" si="5"/>
        <v>-20.070304928743354</v>
      </c>
      <c r="J46" s="108">
        <f t="shared" si="6"/>
        <v>-17.874845207211393</v>
      </c>
      <c r="K46" s="108">
        <f t="shared" si="6"/>
        <v>-17.642594479656083</v>
      </c>
      <c r="L46" s="108">
        <f t="shared" si="6"/>
        <v>-17.618130089087316</v>
      </c>
      <c r="M46" s="108">
        <f t="shared" si="7"/>
        <v>-17.614493529220095</v>
      </c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</row>
    <row r="47" spans="1:52" ht="18">
      <c r="A47" s="63" t="s">
        <v>252</v>
      </c>
      <c r="B47" s="117">
        <v>-2.3000000000000001E-4</v>
      </c>
      <c r="C47" s="63" t="s">
        <v>256</v>
      </c>
      <c r="D47" s="63"/>
      <c r="E47" s="63"/>
      <c r="F47" s="63"/>
      <c r="G47" s="107">
        <v>14</v>
      </c>
      <c r="H47" s="108">
        <f t="shared" si="8"/>
        <v>2.6390573296152584</v>
      </c>
      <c r="I47" s="108">
        <f t="shared" si="5"/>
        <v>-19.206291174897046</v>
      </c>
      <c r="J47" s="108">
        <f t="shared" si="6"/>
        <v>-16.901371229243608</v>
      </c>
      <c r="K47" s="108">
        <f t="shared" si="6"/>
        <v>-16.656420034437303</v>
      </c>
      <c r="L47" s="108">
        <f t="shared" si="6"/>
        <v>-16.630504151355552</v>
      </c>
      <c r="M47" s="108">
        <f t="shared" si="7"/>
        <v>-16.664062828151629</v>
      </c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</row>
    <row r="48" spans="1:52">
      <c r="A48" s="63"/>
      <c r="B48" s="63" t="s">
        <v>253</v>
      </c>
      <c r="C48" s="63"/>
      <c r="D48" s="63"/>
      <c r="E48" s="63"/>
      <c r="F48" s="63"/>
      <c r="G48" s="107">
        <v>15</v>
      </c>
      <c r="H48" s="108">
        <f t="shared" si="8"/>
        <v>2.7080502011022101</v>
      </c>
      <c r="I48" s="108">
        <f t="shared" si="5"/>
        <v>-18.395875167181543</v>
      </c>
      <c r="J48" s="108">
        <f t="shared" si="6"/>
        <v>-15.987170012759066</v>
      </c>
      <c r="K48" s="108">
        <f t="shared" si="6"/>
        <v>-15.730088237682054</v>
      </c>
      <c r="L48" s="108">
        <f t="shared" si="6"/>
        <v>-15.702776856471786</v>
      </c>
      <c r="M48" s="108">
        <f t="shared" si="7"/>
        <v>-15.774064629786253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</row>
    <row r="49" spans="1:52" ht="18">
      <c r="A49" s="63" t="s">
        <v>252</v>
      </c>
      <c r="B49" s="110">
        <v>-10.753315000000001</v>
      </c>
      <c r="C49" s="63" t="s">
        <v>257</v>
      </c>
      <c r="D49" s="63"/>
      <c r="E49" s="63"/>
      <c r="F49" s="63"/>
      <c r="G49" s="107">
        <v>16</v>
      </c>
      <c r="H49" s="108">
        <f t="shared" si="8"/>
        <v>2.7725887222397811</v>
      </c>
      <c r="I49" s="108">
        <f t="shared" si="5"/>
        <v>-17.632453155074444</v>
      </c>
      <c r="J49" s="108">
        <f t="shared" si="6"/>
        <v>-15.12498994576049</v>
      </c>
      <c r="K49" s="108">
        <f t="shared" si="6"/>
        <v>-14.856286008321206</v>
      </c>
      <c r="L49" s="108">
        <f t="shared" si="6"/>
        <v>-14.827629413959585</v>
      </c>
      <c r="M49" s="108">
        <f t="shared" si="7"/>
        <v>-14.937015521176015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</row>
    <row r="50" spans="1:52">
      <c r="A50" s="63"/>
      <c r="B50" s="63"/>
      <c r="C50" s="63"/>
      <c r="D50" s="63"/>
      <c r="E50" s="63"/>
      <c r="F50" s="63"/>
      <c r="G50" s="107">
        <v>17</v>
      </c>
      <c r="H50" s="108">
        <f t="shared" si="8"/>
        <v>2.8332133440562162</v>
      </c>
      <c r="I50" s="108">
        <f t="shared" si="5"/>
        <v>-16.910588658122037</v>
      </c>
      <c r="J50" s="108">
        <f t="shared" si="6"/>
        <v>-14.308855856061115</v>
      </c>
      <c r="K50" s="108">
        <f t="shared" si="6"/>
        <v>-14.028986701896542</v>
      </c>
      <c r="L50" s="108">
        <f t="shared" si="6"/>
        <v>-13.999030366009663</v>
      </c>
      <c r="M50" s="108">
        <f t="shared" si="7"/>
        <v>-14.146756520656751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</row>
    <row r="51" spans="1:52">
      <c r="A51" s="63"/>
      <c r="B51" s="63"/>
      <c r="C51" s="63"/>
      <c r="D51" s="63"/>
      <c r="E51" s="63"/>
      <c r="F51" s="63"/>
      <c r="G51" s="107">
        <v>18</v>
      </c>
      <c r="H51" s="108">
        <f t="shared" si="8"/>
        <v>2.8903717578961645</v>
      </c>
      <c r="I51" s="108">
        <f t="shared" si="5"/>
        <v>-16.225750839296097</v>
      </c>
      <c r="J51" s="108">
        <f t="shared" si="6"/>
        <v>-13.533783743013231</v>
      </c>
      <c r="K51" s="108">
        <f t="shared" si="6"/>
        <v>-13.243162732280808</v>
      </c>
      <c r="L51" s="108">
        <f t="shared" si="6"/>
        <v>-13.211948024945855</v>
      </c>
      <c r="M51" s="108">
        <f t="shared" si="7"/>
        <v>-13.398156228962485</v>
      </c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</row>
    <row r="52" spans="1:52">
      <c r="A52" s="63"/>
      <c r="B52" s="63"/>
      <c r="C52" s="63"/>
      <c r="D52" s="63"/>
      <c r="E52" s="63"/>
      <c r="F52" s="63"/>
      <c r="G52" s="107">
        <v>19</v>
      </c>
      <c r="H52" s="108">
        <f t="shared" si="8"/>
        <v>2.9444389791664403</v>
      </c>
      <c r="I52" s="108">
        <f t="shared" si="5"/>
        <v>-15.574122566930384</v>
      </c>
      <c r="J52" s="108">
        <f t="shared" si="6"/>
        <v>-12.795571329791784</v>
      </c>
      <c r="K52" s="108">
        <f t="shared" si="6"/>
        <v>-12.494574550389444</v>
      </c>
      <c r="L52" s="108">
        <f t="shared" si="6"/>
        <v>-12.462139313570816</v>
      </c>
      <c r="M52" s="108">
        <f t="shared" si="7"/>
        <v>-12.686893008127385</v>
      </c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</row>
    <row r="53" spans="1:52">
      <c r="A53" s="63"/>
      <c r="B53" s="63"/>
      <c r="C53" s="63"/>
      <c r="D53" s="63"/>
      <c r="E53" s="63"/>
      <c r="F53" s="63"/>
      <c r="G53" s="107">
        <v>20</v>
      </c>
      <c r="H53" s="108">
        <f t="shared" si="8"/>
        <v>2.9957322735539909</v>
      </c>
      <c r="I53" s="108">
        <f t="shared" si="5"/>
        <v>-14.952456962381433</v>
      </c>
      <c r="J53" s="108">
        <f t="shared" si="6"/>
        <v>-12.090641407483503</v>
      </c>
      <c r="K53" s="108">
        <f t="shared" si="6"/>
        <v>-11.779612793986161</v>
      </c>
      <c r="L53" s="108">
        <f t="shared" si="6"/>
        <v>-11.745991809277115</v>
      </c>
      <c r="M53" s="108">
        <f t="shared" si="7"/>
        <v>-12.009292162637166</v>
      </c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</row>
    <row r="54" spans="1:5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</row>
    <row r="55" spans="1:5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4" t="s">
        <v>302</v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</row>
    <row r="56" spans="1:5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</row>
    <row r="57" spans="1:5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118" t="s">
        <v>278</v>
      </c>
      <c r="L57" s="119"/>
      <c r="M57" s="119"/>
      <c r="N57" s="119"/>
      <c r="O57" s="119"/>
      <c r="P57" s="119"/>
      <c r="Q57" s="120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</row>
    <row r="58" spans="1:5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121" t="s">
        <v>279</v>
      </c>
      <c r="L58" s="122"/>
      <c r="M58" s="122"/>
      <c r="N58" s="122"/>
      <c r="O58" s="122"/>
      <c r="P58" s="122"/>
      <c r="Q58" s="12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</row>
    <row r="59" spans="1:5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121" t="s">
        <v>280</v>
      </c>
      <c r="L59" s="122"/>
      <c r="M59" s="122"/>
      <c r="N59" s="122"/>
      <c r="O59" s="122"/>
      <c r="P59" s="122"/>
      <c r="Q59" s="12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</row>
    <row r="60" spans="1:5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121" t="s">
        <v>281</v>
      </c>
      <c r="L60" s="122"/>
      <c r="M60" s="122"/>
      <c r="N60" s="122"/>
      <c r="O60" s="122"/>
      <c r="P60" s="122"/>
      <c r="Q60" s="12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</row>
    <row r="61" spans="1:5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121" t="s">
        <v>282</v>
      </c>
      <c r="L61" s="122"/>
      <c r="M61" s="122"/>
      <c r="N61" s="122"/>
      <c r="O61" s="122"/>
      <c r="P61" s="122"/>
      <c r="Q61" s="12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</row>
    <row r="62" spans="1:5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121" t="s">
        <v>283</v>
      </c>
      <c r="L62" s="122"/>
      <c r="M62" s="122"/>
      <c r="N62" s="122"/>
      <c r="O62" s="122"/>
      <c r="P62" s="122"/>
      <c r="Q62" s="12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</row>
    <row r="63" spans="1:5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121" t="s">
        <v>284</v>
      </c>
      <c r="L63" s="122"/>
      <c r="M63" s="122"/>
      <c r="N63" s="122"/>
      <c r="O63" s="122"/>
      <c r="P63" s="122"/>
      <c r="Q63" s="12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</row>
    <row r="64" spans="1:5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121" t="s">
        <v>285</v>
      </c>
      <c r="L64" s="122"/>
      <c r="M64" s="122"/>
      <c r="N64" s="122"/>
      <c r="O64" s="122"/>
      <c r="P64" s="122"/>
      <c r="Q64" s="12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</row>
    <row r="65" spans="1:5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121" t="s">
        <v>286</v>
      </c>
      <c r="L65" s="122"/>
      <c r="M65" s="122"/>
      <c r="N65" s="122"/>
      <c r="O65" s="122"/>
      <c r="P65" s="122"/>
      <c r="Q65" s="12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</row>
    <row r="66" spans="1:5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121" t="s">
        <v>287</v>
      </c>
      <c r="L66" s="122"/>
      <c r="M66" s="122"/>
      <c r="N66" s="122"/>
      <c r="O66" s="122"/>
      <c r="P66" s="122"/>
      <c r="Q66" s="12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</row>
    <row r="67" spans="1:52" ht="18">
      <c r="A67" s="63" t="s">
        <v>265</v>
      </c>
      <c r="B67" s="63"/>
      <c r="C67" s="63"/>
      <c r="D67" s="63"/>
      <c r="E67" s="63"/>
      <c r="F67" s="63"/>
      <c r="G67" s="63"/>
      <c r="H67" s="63"/>
      <c r="I67" s="63"/>
      <c r="J67" s="63"/>
      <c r="K67" s="121" t="s">
        <v>288</v>
      </c>
      <c r="L67" s="122"/>
      <c r="M67" s="122"/>
      <c r="N67" s="122"/>
      <c r="O67" s="122"/>
      <c r="P67" s="122"/>
      <c r="Q67" s="12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</row>
    <row r="68" spans="1:52">
      <c r="A68" s="65" t="s">
        <v>266</v>
      </c>
      <c r="B68" s="63"/>
      <c r="C68" s="63"/>
      <c r="D68" s="63"/>
      <c r="E68" s="63"/>
      <c r="F68" s="63"/>
      <c r="G68" s="63"/>
      <c r="H68" s="63"/>
      <c r="I68" s="63"/>
      <c r="J68" s="63"/>
      <c r="K68" s="121" t="s">
        <v>289</v>
      </c>
      <c r="L68" s="122"/>
      <c r="M68" s="122"/>
      <c r="N68" s="122"/>
      <c r="O68" s="122"/>
      <c r="P68" s="122"/>
      <c r="Q68" s="12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</row>
    <row r="69" spans="1:5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121" t="s">
        <v>290</v>
      </c>
      <c r="L69" s="122"/>
      <c r="M69" s="122"/>
      <c r="N69" s="122"/>
      <c r="O69" s="122"/>
      <c r="P69" s="122"/>
      <c r="Q69" s="12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</row>
    <row r="70" spans="1:52">
      <c r="A70" s="64" t="s">
        <v>272</v>
      </c>
      <c r="B70" s="63"/>
      <c r="C70" s="63"/>
      <c r="D70" s="63"/>
      <c r="E70" s="63"/>
      <c r="F70" s="63"/>
      <c r="G70" s="63"/>
      <c r="H70" s="63"/>
      <c r="I70" s="63"/>
      <c r="J70" s="63"/>
      <c r="K70" s="121" t="s">
        <v>291</v>
      </c>
      <c r="L70" s="122"/>
      <c r="M70" s="122"/>
      <c r="N70" s="122"/>
      <c r="O70" s="122"/>
      <c r="P70" s="122"/>
      <c r="Q70" s="12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</row>
    <row r="71" spans="1:52">
      <c r="A71" s="63" t="s">
        <v>271</v>
      </c>
      <c r="B71" s="63"/>
      <c r="C71" s="63"/>
      <c r="D71" s="63"/>
      <c r="E71" s="63"/>
      <c r="F71" s="63"/>
      <c r="G71" s="63"/>
      <c r="H71" s="63"/>
      <c r="I71" s="63"/>
      <c r="J71" s="63"/>
      <c r="K71" s="121" t="s">
        <v>292</v>
      </c>
      <c r="L71" s="122"/>
      <c r="M71" s="122"/>
      <c r="N71" s="122"/>
      <c r="O71" s="122"/>
      <c r="P71" s="122"/>
      <c r="Q71" s="12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</row>
    <row r="72" spans="1:5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124" t="s">
        <v>293</v>
      </c>
      <c r="L72" s="125"/>
      <c r="M72" s="125"/>
      <c r="N72" s="125"/>
      <c r="O72" s="125"/>
      <c r="P72" s="125"/>
      <c r="Q72" s="126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</row>
    <row r="73" spans="1:5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</row>
    <row r="74" spans="1:5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</row>
    <row r="75" spans="1:5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</row>
    <row r="76" spans="1:52">
      <c r="A76" s="112" t="s">
        <v>294</v>
      </c>
      <c r="B76" s="114" t="s">
        <v>295</v>
      </c>
      <c r="C76" s="112"/>
      <c r="D76" s="112"/>
      <c r="E76" s="112"/>
      <c r="F76" s="112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</row>
    <row r="77" spans="1:5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</row>
    <row r="78" spans="1:52">
      <c r="A78" s="63" t="s">
        <v>296</v>
      </c>
      <c r="B78" s="107">
        <f>b_w*c_w/(b_w-LN(G*(c_w+t_init)^2/(a_w*b_w*c_w)))-c_w</f>
        <v>-43.573016900609133</v>
      </c>
      <c r="C78" s="63" t="s">
        <v>7</v>
      </c>
      <c r="D78" s="63" t="s">
        <v>301</v>
      </c>
      <c r="E78" s="63"/>
      <c r="F78" s="63">
        <f>t_init</f>
        <v>-40</v>
      </c>
      <c r="G78" s="63" t="s">
        <v>7</v>
      </c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</row>
    <row r="79" spans="1:52">
      <c r="A79" s="63" t="s">
        <v>297</v>
      </c>
      <c r="B79" s="107">
        <f>b_w*c_w/(b_w-LN(G*(c_w+B78)^2/(a_w*b_w*c_w)))-c_w</f>
        <v>-43.902404093845519</v>
      </c>
      <c r="C79" s="63" t="s">
        <v>7</v>
      </c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</row>
    <row r="80" spans="1:52">
      <c r="A80" s="63" t="s">
        <v>298</v>
      </c>
      <c r="B80" s="107">
        <f>b_w*c_w/(b_w-LN(G*(c_w+B79)^2/(a_w*b_w*c_w)))-c_w</f>
        <v>-43.93301049715518</v>
      </c>
      <c r="C80" s="63" t="s">
        <v>7</v>
      </c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</row>
    <row r="81" spans="1:52">
      <c r="A81" s="63" t="s">
        <v>299</v>
      </c>
      <c r="B81" s="107">
        <f>b_w*c_w/(b_w-LN(G*(c_w+B80)^2/(a_w*b_w*c_w)))-c_w</f>
        <v>-43.935856511598502</v>
      </c>
      <c r="C81" s="63" t="s">
        <v>7</v>
      </c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</row>
    <row r="82" spans="1:52">
      <c r="A82" s="63" t="s">
        <v>300</v>
      </c>
      <c r="B82" s="130">
        <f>b_w*c_w/(b_w-LN(G*(c_w+B81)^2/(a_w*b_w*c_w)))-c_w</f>
        <v>-43.936121173596689</v>
      </c>
      <c r="C82" s="128" t="s">
        <v>7</v>
      </c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</row>
    <row r="83" spans="1:5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</row>
    <row r="84" spans="1:52">
      <c r="A84" s="64" t="s">
        <v>275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</row>
    <row r="85" spans="1:5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</row>
    <row r="86" spans="1:5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</row>
    <row r="87" spans="1:52">
      <c r="A87" s="63" t="s">
        <v>276</v>
      </c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</row>
    <row r="88" spans="1:5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</row>
    <row r="89" spans="1:5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</row>
    <row r="90" spans="1:5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</row>
    <row r="91" spans="1:5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</row>
    <row r="92" spans="1:5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</row>
    <row r="93" spans="1:5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</row>
    <row r="94" spans="1:5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</row>
    <row r="95" spans="1:5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</row>
    <row r="96" spans="1:5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</row>
    <row r="97" spans="1:5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</row>
    <row r="98" spans="1:5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</row>
    <row r="99" spans="1:5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</row>
    <row r="100" spans="1:5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</row>
    <row r="101" spans="1:5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</row>
    <row r="102" spans="1:5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</row>
    <row r="103" spans="1:5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</row>
    <row r="104" spans="1:5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</row>
    <row r="105" spans="1:5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</row>
    <row r="106" spans="1:5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</row>
    <row r="107" spans="1:5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</row>
    <row r="108" spans="1:5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</row>
    <row r="109" spans="1:5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</row>
    <row r="110" spans="1:5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</row>
    <row r="111" spans="1:5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</row>
    <row r="112" spans="1:5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</row>
    <row r="113" spans="1:5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</row>
    <row r="114" spans="1:5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</row>
    <row r="115" spans="1:5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</row>
    <row r="116" spans="1:5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</row>
    <row r="117" spans="1:5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</row>
    <row r="118" spans="1:5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</row>
    <row r="119" spans="1:5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</row>
    <row r="120" spans="1:5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</row>
    <row r="121" spans="1:5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</row>
    <row r="122" spans="1:5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</row>
    <row r="123" spans="1:5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</row>
    <row r="124" spans="1:5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</row>
    <row r="125" spans="1:5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</row>
    <row r="126" spans="1:5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</row>
    <row r="127" spans="1:5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</row>
    <row r="128" spans="1:5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</row>
    <row r="129" spans="1:5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</row>
    <row r="130" spans="1:5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</row>
    <row r="131" spans="1:5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</row>
    <row r="132" spans="1:5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</row>
    <row r="133" spans="1:5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</row>
    <row r="134" spans="1:5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</row>
    <row r="135" spans="1:5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</row>
    <row r="136" spans="1:5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</row>
    <row r="137" spans="1:5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</row>
    <row r="138" spans="1:5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</row>
    <row r="139" spans="1:5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</row>
    <row r="140" spans="1:5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</row>
    <row r="141" spans="1:5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</row>
    <row r="142" spans="1:5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</row>
    <row r="143" spans="1:5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</row>
    <row r="144" spans="1:5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</row>
    <row r="145" spans="1:5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</row>
    <row r="146" spans="1:5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</row>
    <row r="147" spans="1:5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</row>
    <row r="148" spans="1:5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</row>
    <row r="149" spans="1:5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</row>
    <row r="150" spans="1:5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</row>
    <row r="151" spans="1:5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</row>
    <row r="152" spans="1: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</row>
    <row r="153" spans="1:5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</row>
    <row r="154" spans="1:5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</row>
    <row r="155" spans="1:5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</row>
    <row r="156" spans="1:5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</row>
    <row r="157" spans="1:5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</row>
    <row r="158" spans="1:5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</row>
    <row r="159" spans="1:5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</row>
    <row r="160" spans="1:5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</row>
    <row r="161" spans="1:5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</row>
    <row r="162" spans="1:5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</row>
    <row r="163" spans="1:5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</row>
    <row r="164" spans="1:5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</row>
    <row r="165" spans="1:5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</row>
    <row r="166" spans="1:5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</row>
    <row r="167" spans="1:5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</row>
    <row r="168" spans="1:5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</row>
    <row r="169" spans="1:5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</row>
    <row r="170" spans="1:5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</row>
    <row r="171" spans="1:5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</row>
    <row r="172" spans="1:5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</row>
    <row r="173" spans="1:5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</row>
    <row r="174" spans="1:5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</row>
    <row r="175" spans="1:5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</row>
    <row r="176" spans="1:5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</row>
    <row r="177" spans="1:5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</row>
    <row r="178" spans="1:5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</row>
    <row r="179" spans="1:5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</row>
    <row r="180" spans="1:5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</row>
    <row r="181" spans="1:5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</row>
    <row r="182" spans="1:5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</row>
    <row r="183" spans="1:5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</row>
    <row r="184" spans="1:5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</row>
    <row r="185" spans="1:5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</row>
    <row r="186" spans="1:5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</row>
    <row r="187" spans="1:5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</row>
    <row r="188" spans="1:5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</row>
    <row r="189" spans="1:5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</row>
    <row r="190" spans="1:5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</row>
    <row r="191" spans="1:5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</row>
    <row r="192" spans="1:5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</row>
    <row r="193" spans="1:5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</row>
    <row r="194" spans="1:5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</row>
    <row r="195" spans="1:5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</row>
    <row r="196" spans="1:5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</row>
    <row r="197" spans="1:5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</row>
    <row r="198" spans="1:5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</row>
    <row r="199" spans="1:5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</row>
    <row r="200" spans="1:5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</row>
  </sheetData>
  <hyperlinks>
    <hyperlink ref="A46" r:id="rId1" xr:uid="{815B1DB3-37BC-4814-8249-69A7FC5DA0C8}"/>
    <hyperlink ref="A68" r:id="rId2" display="https://commons.wikimedia.org/wiki/File:Diagram_of_the_real_branches_of_the_Lambert_W_function.png" xr:uid="{8A46F336-01C7-41EC-BF24-217A9EB58B4E}"/>
  </hyperlinks>
  <pageMargins left="0.7" right="0.7" top="0.78740157499999996" bottom="0.78740157499999996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BZ399"/>
  <sheetViews>
    <sheetView zoomScaleNormal="100" workbookViewId="0">
      <selection activeCell="A2" sqref="A2"/>
    </sheetView>
  </sheetViews>
  <sheetFormatPr baseColWidth="10" defaultRowHeight="15"/>
  <cols>
    <col min="1" max="1" width="18" bestFit="1" customWidth="1"/>
    <col min="2" max="2" width="12.5703125" bestFit="1" customWidth="1"/>
    <col min="3" max="3" width="12.7109375" bestFit="1" customWidth="1"/>
    <col min="4" max="4" width="15" bestFit="1" customWidth="1"/>
    <col min="5" max="6" width="11.42578125" customWidth="1"/>
    <col min="7" max="7" width="12.85546875" bestFit="1" customWidth="1"/>
    <col min="8" max="8" width="11.42578125" customWidth="1"/>
  </cols>
  <sheetData>
    <row r="1" spans="1:71" ht="21">
      <c r="A1" s="1" t="s">
        <v>221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</row>
    <row r="2" spans="1:7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</row>
    <row r="3" spans="1:71">
      <c r="A3" s="2" t="s">
        <v>61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</row>
    <row r="4" spans="1:71">
      <c r="A4" s="2" t="s">
        <v>62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</row>
    <row r="5" spans="1:7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</row>
    <row r="6" spans="1:71">
      <c r="A6" s="2" t="s">
        <v>51</v>
      </c>
      <c r="B6" s="2" t="s">
        <v>17</v>
      </c>
      <c r="C6" s="19">
        <f>G</f>
        <v>1.3538094532562532</v>
      </c>
      <c r="D6" s="7">
        <v>3.3610198526021748</v>
      </c>
      <c r="E6" s="7">
        <f>G</f>
        <v>1.3538094532562532</v>
      </c>
      <c r="F6" s="7">
        <v>2.1719172801401174</v>
      </c>
      <c r="G6" s="7">
        <v>1.720975890616645</v>
      </c>
      <c r="H6" s="7">
        <v>1.6337833407152185</v>
      </c>
      <c r="I6" s="7">
        <v>1.3538094532562532</v>
      </c>
      <c r="J6" s="7">
        <v>1.064606700686245</v>
      </c>
      <c r="K6" s="7">
        <v>0.83718386248520371</v>
      </c>
      <c r="L6" s="7">
        <v>0.65834342311941108</v>
      </c>
      <c r="M6" s="7">
        <v>0.51770713959771752</v>
      </c>
      <c r="N6" s="7">
        <v>0.4071137843536059</v>
      </c>
      <c r="O6" s="7">
        <v>0.32014554317234889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</row>
    <row r="7" spans="1:71">
      <c r="A7" s="2" t="s">
        <v>53</v>
      </c>
      <c r="B7" s="2" t="s">
        <v>4</v>
      </c>
      <c r="C7" s="20">
        <f>G0</f>
        <v>72.019488706255345</v>
      </c>
      <c r="D7" s="12">
        <v>149.10648875647044</v>
      </c>
      <c r="E7" s="12">
        <v>126.25295242659809</v>
      </c>
      <c r="F7" s="12">
        <v>105.79635163302788</v>
      </c>
      <c r="G7" s="12">
        <v>87.67939672383018</v>
      </c>
      <c r="H7" s="12">
        <v>84.041437936928773</v>
      </c>
      <c r="I7" s="12">
        <v>72.458994294193644</v>
      </c>
      <c r="J7" s="12">
        <v>58.975248471132915</v>
      </c>
      <c r="K7" s="12">
        <v>48.173312524551676</v>
      </c>
      <c r="L7" s="12">
        <v>39.261656161440875</v>
      </c>
      <c r="M7" s="12">
        <v>31.933716141748164</v>
      </c>
      <c r="N7" s="12">
        <v>25.925672133505408</v>
      </c>
      <c r="O7" s="12">
        <v>21.012657314265486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</row>
    <row r="8" spans="1:71">
      <c r="A8" s="21" t="s">
        <v>37</v>
      </c>
      <c r="B8" s="2" t="s">
        <v>34</v>
      </c>
      <c r="C8" s="22">
        <f>H</f>
        <v>40000</v>
      </c>
      <c r="D8" s="21">
        <v>20000</v>
      </c>
      <c r="E8" s="21">
        <v>25000</v>
      </c>
      <c r="F8" s="21">
        <v>30000</v>
      </c>
      <c r="G8" s="21">
        <v>35000</v>
      </c>
      <c r="H8" s="21">
        <v>36089</v>
      </c>
      <c r="I8" s="21">
        <v>40000</v>
      </c>
      <c r="J8" s="21">
        <v>45000</v>
      </c>
      <c r="K8" s="21">
        <v>50000</v>
      </c>
      <c r="L8" s="21">
        <v>55000</v>
      </c>
      <c r="M8" s="21">
        <v>60000</v>
      </c>
      <c r="N8" s="82">
        <v>65000</v>
      </c>
      <c r="O8" s="82">
        <v>70000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71">
      <c r="A9" s="2" t="s">
        <v>37</v>
      </c>
      <c r="B9" s="2" t="s">
        <v>63</v>
      </c>
      <c r="C9" s="22">
        <f>C8*0.3048</f>
        <v>12192</v>
      </c>
      <c r="D9" s="2">
        <v>6096</v>
      </c>
      <c r="E9" s="2">
        <f>E8*0.3048</f>
        <v>7620</v>
      </c>
      <c r="F9" s="2">
        <v>9144</v>
      </c>
      <c r="G9" s="2">
        <v>10668</v>
      </c>
      <c r="H9" s="23">
        <v>10999.9272</v>
      </c>
      <c r="I9" s="2">
        <v>12192</v>
      </c>
      <c r="J9" s="2">
        <v>13716</v>
      </c>
      <c r="K9" s="2">
        <v>15240</v>
      </c>
      <c r="L9" s="2">
        <v>16764</v>
      </c>
      <c r="M9" s="2">
        <v>18288</v>
      </c>
      <c r="N9" s="2">
        <v>19812</v>
      </c>
      <c r="O9" s="2">
        <v>21336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</row>
    <row r="10" spans="1:71">
      <c r="A10" s="2" t="s">
        <v>39</v>
      </c>
      <c r="B10" s="2" t="s">
        <v>4</v>
      </c>
      <c r="C10" s="24">
        <f>p</f>
        <v>18753.658935390147</v>
      </c>
      <c r="D10" s="23">
        <v>46558.560984464981</v>
      </c>
      <c r="E10" s="23">
        <f>p</f>
        <v>18753.658935390147</v>
      </c>
      <c r="F10" s="23">
        <v>30086.505755783211</v>
      </c>
      <c r="G10" s="23">
        <v>23839.835665961204</v>
      </c>
      <c r="H10" s="23">
        <v>22632</v>
      </c>
      <c r="I10" s="23">
        <v>18753.658935390147</v>
      </c>
      <c r="J10" s="23">
        <v>14747.474924908605</v>
      </c>
      <c r="K10" s="23">
        <v>11597.097793560972</v>
      </c>
      <c r="L10" s="23">
        <v>9119.7088259670509</v>
      </c>
      <c r="M10" s="23">
        <v>7171.5433077229964</v>
      </c>
      <c r="N10" s="23">
        <v>5639.5477526764971</v>
      </c>
      <c r="O10" s="23">
        <v>4434.8193254955922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</row>
    <row r="11" spans="1:71">
      <c r="A11" s="2" t="s">
        <v>64</v>
      </c>
      <c r="B11" s="2" t="s">
        <v>7</v>
      </c>
      <c r="C11" s="20">
        <f>t</f>
        <v>-43.936142533951404</v>
      </c>
      <c r="D11" s="12">
        <v>-34.171657846038833</v>
      </c>
      <c r="E11" s="12">
        <v>-36.556995939242505</v>
      </c>
      <c r="F11" s="12">
        <v>-38.983215462422002</v>
      </c>
      <c r="G11" s="12">
        <v>-41.453686614326799</v>
      </c>
      <c r="H11" s="12">
        <v>-41.997060149801399</v>
      </c>
      <c r="I11" s="12">
        <v>-43.936149738567622</v>
      </c>
      <c r="J11" s="12">
        <v>-46.358686546546537</v>
      </c>
      <c r="K11" s="12">
        <v>-48.720135430706478</v>
      </c>
      <c r="L11" s="12">
        <v>-51.022841943746812</v>
      </c>
      <c r="M11" s="12">
        <v>-53.26904401732731</v>
      </c>
      <c r="N11" s="12">
        <v>-55.460885188547678</v>
      </c>
      <c r="O11" s="12">
        <v>-57.600302356601937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</row>
    <row r="12" spans="1:71">
      <c r="A12" s="2" t="s">
        <v>65</v>
      </c>
      <c r="B12" s="2" t="s">
        <v>7</v>
      </c>
      <c r="C12" s="20">
        <f>-G0/G</f>
        <v>-53.197655351741197</v>
      </c>
      <c r="D12" s="12">
        <v>-44.363465643033599</v>
      </c>
      <c r="E12" s="12">
        <v>-46.517434517002748</v>
      </c>
      <c r="F12" s="12">
        <v>-48.711040977676006</v>
      </c>
      <c r="G12" s="12">
        <v>-50.947486947312008</v>
      </c>
      <c r="H12" s="12">
        <v>-51.439769180250117</v>
      </c>
      <c r="I12" s="12">
        <v>-53.197655351741197</v>
      </c>
      <c r="J12" s="12">
        <v>-55.396277736292191</v>
      </c>
      <c r="K12" s="12">
        <v>-57.542094016895945</v>
      </c>
      <c r="L12" s="12">
        <v>-59.637044713545428</v>
      </c>
      <c r="M12" s="12">
        <v>-61.68297421310848</v>
      </c>
      <c r="N12" s="12">
        <v>-63.681636755849084</v>
      </c>
      <c r="O12" s="12">
        <v>-65.634701973512776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</row>
    <row r="13" spans="1:71">
      <c r="A13" s="2" t="s">
        <v>66</v>
      </c>
      <c r="B13" s="2" t="s">
        <v>7</v>
      </c>
      <c r="C13" s="73">
        <f t="shared" ref="C13:O13" si="0">C11-C12</f>
        <v>9.261512817789793</v>
      </c>
      <c r="D13" s="10">
        <f t="shared" si="0"/>
        <v>10.191807796994766</v>
      </c>
      <c r="E13" s="10">
        <f t="shared" si="0"/>
        <v>9.9604385777602431</v>
      </c>
      <c r="F13" s="10">
        <v>9.7278255152540041</v>
      </c>
      <c r="G13" s="10">
        <f t="shared" si="0"/>
        <v>9.4938003329852094</v>
      </c>
      <c r="H13" s="10">
        <f t="shared" si="0"/>
        <v>9.442709030448718</v>
      </c>
      <c r="I13" s="10">
        <f t="shared" si="0"/>
        <v>9.2615056131735756</v>
      </c>
      <c r="J13" s="10">
        <f t="shared" si="0"/>
        <v>9.0375911897456547</v>
      </c>
      <c r="K13" s="10">
        <v>8.8219585861894672</v>
      </c>
      <c r="L13" s="10">
        <f t="shared" si="0"/>
        <v>8.6142027697986165</v>
      </c>
      <c r="M13" s="10">
        <f t="shared" si="0"/>
        <v>8.4139301957811696</v>
      </c>
      <c r="N13" s="10">
        <f t="shared" si="0"/>
        <v>8.2207515673014058</v>
      </c>
      <c r="O13" s="10">
        <f t="shared" si="0"/>
        <v>8.0343996169108394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7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>
      <c r="A15" s="25" t="s">
        <v>14</v>
      </c>
      <c r="B15" s="17" t="s">
        <v>21</v>
      </c>
      <c r="C15" s="17" t="s">
        <v>67</v>
      </c>
      <c r="D15" s="17" t="s">
        <v>67</v>
      </c>
      <c r="E15" s="17" t="s">
        <v>67</v>
      </c>
      <c r="F15" s="17" t="s">
        <v>67</v>
      </c>
      <c r="G15" s="17" t="s">
        <v>67</v>
      </c>
      <c r="H15" s="17" t="s">
        <v>67</v>
      </c>
      <c r="I15" s="17" t="s">
        <v>67</v>
      </c>
      <c r="J15" s="17" t="s">
        <v>67</v>
      </c>
      <c r="K15" s="17" t="s">
        <v>67</v>
      </c>
      <c r="L15" s="17" t="s">
        <v>67</v>
      </c>
      <c r="M15" s="17" t="s">
        <v>67</v>
      </c>
      <c r="N15" s="2"/>
      <c r="O15" s="4" t="s">
        <v>68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</row>
    <row r="16" spans="1:71">
      <c r="A16" s="21">
        <v>-60</v>
      </c>
      <c r="B16" s="7">
        <f t="shared" ref="B16:B51" si="1">a_w*EXP(b_w*A16/(c_w+A16))</f>
        <v>1.9005832334432484</v>
      </c>
      <c r="C16" s="26" t="str">
        <f t="shared" ref="C16:C51" si="2">IF(OR(G*A16+G0&lt;0, A16&gt;t),"n.a.",(G*A16+G0)/B16)</f>
        <v>n.a.</v>
      </c>
      <c r="D16" s="26" t="s">
        <v>69</v>
      </c>
      <c r="E16" s="26" t="s">
        <v>69</v>
      </c>
      <c r="F16" s="26" t="s">
        <v>69</v>
      </c>
      <c r="G16" s="26" t="s">
        <v>69</v>
      </c>
      <c r="H16" s="26" t="s">
        <v>69</v>
      </c>
      <c r="I16" s="26" t="s">
        <v>69</v>
      </c>
      <c r="J16" s="26" t="s">
        <v>69</v>
      </c>
      <c r="K16" s="26" t="s">
        <v>69</v>
      </c>
      <c r="L16" s="26" t="s">
        <v>69</v>
      </c>
      <c r="M16" s="26">
        <v>0.45843178586113253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</row>
    <row r="17" spans="1:71">
      <c r="A17" s="21">
        <v>-59</v>
      </c>
      <c r="B17" s="7">
        <f t="shared" si="1"/>
        <v>2.1580720285136241</v>
      </c>
      <c r="C17" s="26" t="str">
        <f t="shared" si="2"/>
        <v>n.a.</v>
      </c>
      <c r="D17" s="26" t="s">
        <v>69</v>
      </c>
      <c r="E17" s="26" t="s">
        <v>69</v>
      </c>
      <c r="F17" s="26" t="s">
        <v>69</v>
      </c>
      <c r="G17" s="26" t="s">
        <v>69</v>
      </c>
      <c r="H17" s="26" t="s">
        <v>69</v>
      </c>
      <c r="I17" s="26" t="s">
        <v>69</v>
      </c>
      <c r="J17" s="26" t="s">
        <v>69</v>
      </c>
      <c r="K17" s="26" t="s">
        <v>69</v>
      </c>
      <c r="L17" s="26">
        <v>0.19433744187142682</v>
      </c>
      <c r="M17" s="26">
        <v>0.64362768579114626</v>
      </c>
      <c r="N17" s="2"/>
      <c r="O17" s="2" t="s">
        <v>42</v>
      </c>
      <c r="P17" s="2">
        <v>1.25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</row>
    <row r="18" spans="1:71">
      <c r="A18" s="21">
        <v>-58</v>
      </c>
      <c r="B18" s="7">
        <f t="shared" si="1"/>
        <v>2.4470837568804815</v>
      </c>
      <c r="C18" s="26" t="str">
        <f t="shared" si="2"/>
        <v>n.a.</v>
      </c>
      <c r="D18" s="26" t="s">
        <v>69</v>
      </c>
      <c r="E18" s="26" t="s">
        <v>69</v>
      </c>
      <c r="F18" s="26" t="s">
        <v>69</v>
      </c>
      <c r="G18" s="26" t="s">
        <v>69</v>
      </c>
      <c r="H18" s="26" t="s">
        <v>69</v>
      </c>
      <c r="I18" s="26" t="s">
        <v>69</v>
      </c>
      <c r="J18" s="26" t="s">
        <v>69</v>
      </c>
      <c r="K18" s="26" t="s">
        <v>69</v>
      </c>
      <c r="L18" s="26">
        <v>0.44041713630959645</v>
      </c>
      <c r="M18" s="26">
        <v>0.77917318511042366</v>
      </c>
      <c r="N18" s="2"/>
      <c r="O18" s="2" t="s">
        <v>43</v>
      </c>
      <c r="P18" s="2">
        <v>1004</v>
      </c>
      <c r="Q18" s="2" t="s">
        <v>44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</row>
    <row r="19" spans="1:71">
      <c r="A19" s="21">
        <v>-57</v>
      </c>
      <c r="B19" s="7">
        <f t="shared" si="1"/>
        <v>2.7710553357390935</v>
      </c>
      <c r="C19" s="26" t="str">
        <f t="shared" si="2"/>
        <v>n.a.</v>
      </c>
      <c r="D19" s="26" t="s">
        <v>69</v>
      </c>
      <c r="E19" s="26" t="s">
        <v>69</v>
      </c>
      <c r="F19" s="26" t="s">
        <v>69</v>
      </c>
      <c r="G19" s="26" t="s">
        <v>69</v>
      </c>
      <c r="H19" s="26" t="s">
        <v>69</v>
      </c>
      <c r="I19" s="26" t="s">
        <v>69</v>
      </c>
      <c r="J19" s="26" t="s">
        <v>69</v>
      </c>
      <c r="K19" s="26">
        <v>0.16377600152615421</v>
      </c>
      <c r="L19" s="26">
        <v>0.62650536827746039</v>
      </c>
      <c r="M19" s="26">
        <v>0.87490464495961728</v>
      </c>
      <c r="N19" s="2"/>
      <c r="O19" s="2" t="s">
        <v>45</v>
      </c>
      <c r="P19" s="2">
        <v>0.622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</row>
    <row r="20" spans="1:71">
      <c r="A20" s="21">
        <v>-56</v>
      </c>
      <c r="B20" s="7">
        <f t="shared" si="1"/>
        <v>3.1337506106185335</v>
      </c>
      <c r="C20" s="26" t="str">
        <f t="shared" si="2"/>
        <v>n.a.</v>
      </c>
      <c r="D20" s="26" t="s">
        <v>69</v>
      </c>
      <c r="E20" s="26" t="s">
        <v>69</v>
      </c>
      <c r="F20" s="26" t="s">
        <v>69</v>
      </c>
      <c r="G20" s="26" t="s">
        <v>69</v>
      </c>
      <c r="H20" s="26" t="s">
        <v>69</v>
      </c>
      <c r="I20" s="26" t="s">
        <v>69</v>
      </c>
      <c r="J20" s="26" t="s">
        <v>69</v>
      </c>
      <c r="K20" s="26">
        <v>0.4119715911680189</v>
      </c>
      <c r="L20" s="26">
        <v>0.76407626651606697</v>
      </c>
      <c r="M20" s="26">
        <v>0.93884826517681108</v>
      </c>
      <c r="N20" s="2"/>
      <c r="O20" s="2" t="s">
        <v>47</v>
      </c>
      <c r="P20" s="15">
        <v>43000000</v>
      </c>
      <c r="Q20" s="2" t="s">
        <v>48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</row>
    <row r="21" spans="1:71">
      <c r="A21" s="21">
        <v>-55</v>
      </c>
      <c r="B21" s="7">
        <f t="shared" si="1"/>
        <v>3.5392866469854303</v>
      </c>
      <c r="C21" s="26" t="str">
        <f t="shared" si="2"/>
        <v>n.a.</v>
      </c>
      <c r="D21" s="26" t="s">
        <v>69</v>
      </c>
      <c r="E21" s="26" t="s">
        <v>69</v>
      </c>
      <c r="F21" s="26" t="s">
        <v>69</v>
      </c>
      <c r="G21" s="26" t="s">
        <v>69</v>
      </c>
      <c r="H21" s="26" t="s">
        <v>69</v>
      </c>
      <c r="I21" s="26" t="s">
        <v>69</v>
      </c>
      <c r="J21" s="26">
        <v>0.11919914250199969</v>
      </c>
      <c r="K21" s="26">
        <v>0.60130763629392847</v>
      </c>
      <c r="L21" s="26">
        <v>0.86253762251030042</v>
      </c>
      <c r="M21" s="26">
        <v>0.97754824883160785</v>
      </c>
      <c r="N21" s="2"/>
      <c r="O21" s="2" t="s">
        <v>50</v>
      </c>
      <c r="P21" s="2">
        <v>0.35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</row>
    <row r="22" spans="1:71">
      <c r="A22" s="21">
        <v>-54</v>
      </c>
      <c r="B22" s="7">
        <f t="shared" si="1"/>
        <v>3.9921617145835251</v>
      </c>
      <c r="C22" s="26" t="str">
        <f t="shared" si="2"/>
        <v>n.a.</v>
      </c>
      <c r="D22" s="26" t="s">
        <v>69</v>
      </c>
      <c r="E22" s="26" t="s">
        <v>69</v>
      </c>
      <c r="F22" s="26" t="s">
        <v>69</v>
      </c>
      <c r="G22" s="26" t="s">
        <v>69</v>
      </c>
      <c r="H22" s="26" t="s">
        <v>69</v>
      </c>
      <c r="I22" s="26" t="s">
        <v>69</v>
      </c>
      <c r="J22" s="26">
        <v>0.3723513074747184</v>
      </c>
      <c r="K22" s="26">
        <v>0.7428015602469239</v>
      </c>
      <c r="L22" s="26">
        <v>0.92959944469079026</v>
      </c>
      <c r="M22" s="26">
        <v>0.99633504047226873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</row>
    <row r="23" spans="1:71">
      <c r="A23" s="21">
        <v>-53</v>
      </c>
      <c r="B23" s="7">
        <f t="shared" si="1"/>
        <v>4.4972850420001285</v>
      </c>
      <c r="C23" s="26">
        <f t="shared" si="2"/>
        <v>5.9499827379168341E-2</v>
      </c>
      <c r="D23" s="26" t="s">
        <v>69</v>
      </c>
      <c r="E23" s="26" t="s">
        <v>69</v>
      </c>
      <c r="F23" s="26" t="s">
        <v>69</v>
      </c>
      <c r="G23" s="26" t="s">
        <v>69</v>
      </c>
      <c r="H23" s="26" t="s">
        <v>69</v>
      </c>
      <c r="I23" s="26">
        <v>5.9499827378707001E-2</v>
      </c>
      <c r="J23" s="26">
        <v>0.56725186661225135</v>
      </c>
      <c r="K23" s="26">
        <v>0.84552519516190661</v>
      </c>
      <c r="L23" s="26">
        <v>0.97157611654715414</v>
      </c>
      <c r="M23" s="26" t="s">
        <v>69</v>
      </c>
      <c r="N23" s="2"/>
      <c r="O23" s="2" t="s">
        <v>70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</row>
    <row r="24" spans="1:71">
      <c r="A24" s="21">
        <v>-52</v>
      </c>
      <c r="B24" s="7">
        <f t="shared" si="1"/>
        <v>5.0600084205480069</v>
      </c>
      <c r="C24" s="26">
        <f t="shared" si="2"/>
        <v>0.3204336835381334</v>
      </c>
      <c r="D24" s="26" t="s">
        <v>69</v>
      </c>
      <c r="E24" s="26" t="s">
        <v>69</v>
      </c>
      <c r="F24" s="26" t="s">
        <v>69</v>
      </c>
      <c r="G24" s="26" t="s">
        <v>69</v>
      </c>
      <c r="H24" s="26" t="s">
        <v>69</v>
      </c>
      <c r="I24" s="26">
        <v>0.32043368353772339</v>
      </c>
      <c r="J24" s="26">
        <v>0.71456403526233503</v>
      </c>
      <c r="K24" s="26">
        <v>0.91694544548180557</v>
      </c>
      <c r="L24" s="26">
        <v>0.99363434630153902</v>
      </c>
      <c r="M24" s="26" t="s">
        <v>69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</row>
    <row r="25" spans="1:71">
      <c r="A25" s="21">
        <v>-51</v>
      </c>
      <c r="B25" s="7">
        <f t="shared" si="1"/>
        <v>5.6861597380800797</v>
      </c>
      <c r="C25" s="26">
        <f t="shared" si="2"/>
        <v>0.52323654755274318</v>
      </c>
      <c r="D25" s="26" t="s">
        <v>69</v>
      </c>
      <c r="E25" s="26" t="s">
        <v>69</v>
      </c>
      <c r="F25" s="26" t="s">
        <v>69</v>
      </c>
      <c r="G25" s="26" t="s">
        <v>69</v>
      </c>
      <c r="H25" s="26">
        <v>0.12635725930120029</v>
      </c>
      <c r="I25" s="26">
        <v>0.52323654755237825</v>
      </c>
      <c r="J25" s="26">
        <v>0.8231050395560493</v>
      </c>
      <c r="K25" s="26">
        <v>0.96320465658524745</v>
      </c>
      <c r="L25" s="26" t="s">
        <v>69</v>
      </c>
      <c r="M25" s="26" t="s">
        <v>69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</row>
    <row r="26" spans="1:71">
      <c r="A26" s="21">
        <v>-50</v>
      </c>
      <c r="B26" s="7">
        <f t="shared" si="1"/>
        <v>6.3820785248092848</v>
      </c>
      <c r="C26" s="26">
        <f t="shared" si="2"/>
        <v>0.67830817602985261</v>
      </c>
      <c r="D26" s="26" t="s">
        <v>69</v>
      </c>
      <c r="E26" s="26" t="s">
        <v>69</v>
      </c>
      <c r="F26" s="26" t="s">
        <v>69</v>
      </c>
      <c r="G26" s="26">
        <v>0.25549704326877865</v>
      </c>
      <c r="H26" s="26">
        <v>0.36857442164394999</v>
      </c>
      <c r="I26" s="26">
        <v>0.67830817602952742</v>
      </c>
      <c r="J26" s="26">
        <v>0.90016338948012897</v>
      </c>
      <c r="K26" s="26">
        <v>0.98935156873209629</v>
      </c>
      <c r="L26" s="26" t="s">
        <v>69</v>
      </c>
      <c r="M26" s="26" t="s">
        <v>69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</row>
    <row r="27" spans="1:71">
      <c r="A27" s="21">
        <v>-49</v>
      </c>
      <c r="B27" s="7">
        <f t="shared" si="1"/>
        <v>7.1546535945823591</v>
      </c>
      <c r="C27" s="26">
        <f t="shared" si="2"/>
        <v>0.79428380725547409</v>
      </c>
      <c r="D27" s="26" t="s">
        <v>69</v>
      </c>
      <c r="E27" s="26" t="s">
        <v>69</v>
      </c>
      <c r="F27" s="26" t="s">
        <v>69</v>
      </c>
      <c r="G27" s="26">
        <v>0.46844728948896464</v>
      </c>
      <c r="H27" s="26">
        <v>0.55712749599804301</v>
      </c>
      <c r="I27" s="26">
        <v>0.7942838072551841</v>
      </c>
      <c r="J27" s="26">
        <v>0.95176098290254152</v>
      </c>
      <c r="K27" s="26">
        <v>0.99953172690174652</v>
      </c>
      <c r="L27" s="26" t="s">
        <v>69</v>
      </c>
      <c r="M27" s="26" t="s">
        <v>69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</row>
    <row r="28" spans="1:71">
      <c r="A28" s="21">
        <v>-48</v>
      </c>
      <c r="B28" s="7">
        <f t="shared" si="1"/>
        <v>8.0113628663497938</v>
      </c>
      <c r="C28" s="26">
        <f t="shared" si="2"/>
        <v>0.87833182285516398</v>
      </c>
      <c r="D28" s="26" t="s">
        <v>69</v>
      </c>
      <c r="E28" s="26" t="s">
        <v>69</v>
      </c>
      <c r="F28" s="26">
        <v>0.19276647582509146</v>
      </c>
      <c r="G28" s="26">
        <v>0.63316991863363536</v>
      </c>
      <c r="H28" s="26">
        <v>0.70148334014470282</v>
      </c>
      <c r="I28" s="26">
        <v>0.87833182285490496</v>
      </c>
      <c r="J28" s="26">
        <v>0.98286982746305607</v>
      </c>
      <c r="K28" s="26" t="s">
        <v>69</v>
      </c>
      <c r="L28" s="26" t="s">
        <v>69</v>
      </c>
      <c r="M28" s="26" t="s">
        <v>69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>
      <c r="A29" s="21">
        <v>-47</v>
      </c>
      <c r="B29" s="7">
        <f t="shared" si="1"/>
        <v>8.9603154517796142</v>
      </c>
      <c r="C29" s="26">
        <f t="shared" si="2"/>
        <v>0.93640055959692892</v>
      </c>
      <c r="D29" s="26" t="s">
        <v>69</v>
      </c>
      <c r="E29" s="26" t="s">
        <v>69</v>
      </c>
      <c r="F29" s="26">
        <v>0.41474426725727331</v>
      </c>
      <c r="G29" s="26">
        <v>0.75817976514416308</v>
      </c>
      <c r="H29" s="26">
        <v>0.809527405854094</v>
      </c>
      <c r="I29" s="26">
        <v>0.93640055959669732</v>
      </c>
      <c r="J29" s="26">
        <v>0.99759138916298717</v>
      </c>
      <c r="K29" s="26" t="s">
        <v>69</v>
      </c>
      <c r="L29" s="26" t="s">
        <v>69</v>
      </c>
      <c r="M29" s="26" t="s">
        <v>69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</row>
    <row r="30" spans="1:71">
      <c r="A30" s="21">
        <v>-46</v>
      </c>
      <c r="B30" s="7">
        <f t="shared" si="1"/>
        <v>10.010296096076241</v>
      </c>
      <c r="C30" s="26">
        <f t="shared" si="2"/>
        <v>0.97342313982971707</v>
      </c>
      <c r="D30" s="26" t="s">
        <v>69</v>
      </c>
      <c r="E30" s="26">
        <v>0.14029243735785019</v>
      </c>
      <c r="F30" s="26">
        <v>0.58821004794158649</v>
      </c>
      <c r="G30" s="26">
        <v>0.85057481554436509</v>
      </c>
      <c r="H30" s="26">
        <v>0.88782631190223571</v>
      </c>
      <c r="I30" s="26">
        <v>0.9734231398295099</v>
      </c>
      <c r="J30" s="26" t="s">
        <v>69</v>
      </c>
      <c r="K30" s="26" t="s">
        <v>69</v>
      </c>
      <c r="L30" s="26" t="s">
        <v>69</v>
      </c>
      <c r="M30" s="26" t="s">
        <v>69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</row>
    <row r="31" spans="1:71">
      <c r="A31" s="21">
        <v>-45</v>
      </c>
      <c r="B31" s="7">
        <f t="shared" si="1"/>
        <v>11.170812060082898</v>
      </c>
      <c r="C31" s="26">
        <f t="shared" si="2"/>
        <v>0.9934876041269276</v>
      </c>
      <c r="D31" s="26" t="s">
        <v>69</v>
      </c>
      <c r="E31" s="26">
        <v>0.36868120769299861</v>
      </c>
      <c r="F31" s="26">
        <v>0.72152982105248931</v>
      </c>
      <c r="G31" s="26">
        <v>0.91627015037304382</v>
      </c>
      <c r="H31" s="26">
        <v>0.9418462640097327</v>
      </c>
      <c r="I31" s="26">
        <v>0.99348760412674186</v>
      </c>
      <c r="J31" s="26" t="s">
        <v>69</v>
      </c>
      <c r="K31" s="26" t="s">
        <v>69</v>
      </c>
      <c r="L31" s="26" t="s">
        <v>69</v>
      </c>
      <c r="M31" s="26" t="s">
        <v>69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</row>
    <row r="32" spans="1:71">
      <c r="A32" s="21">
        <v>-44</v>
      </c>
      <c r="B32" s="7">
        <f t="shared" si="1"/>
        <v>12.45214253266311</v>
      </c>
      <c r="C32" s="26">
        <f t="shared" si="2"/>
        <v>0.99997833548064508</v>
      </c>
      <c r="D32" s="26">
        <v>9.8104823227848484E-2</v>
      </c>
      <c r="E32" s="26">
        <v>0.54870622517618783</v>
      </c>
      <c r="F32" s="26">
        <v>0.82170528324930914</v>
      </c>
      <c r="G32" s="26">
        <v>0.96019279456004691</v>
      </c>
      <c r="H32" s="26">
        <v>0.97613490317634521</v>
      </c>
      <c r="I32" s="26">
        <v>0.99997833548047843</v>
      </c>
      <c r="J32" s="26" t="s">
        <v>69</v>
      </c>
      <c r="K32" s="26" t="s">
        <v>69</v>
      </c>
      <c r="L32" s="26" t="s">
        <v>69</v>
      </c>
      <c r="M32" s="26" t="s">
        <v>69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</row>
    <row r="33" spans="1:71">
      <c r="A33" s="21">
        <v>-43</v>
      </c>
      <c r="B33" s="7">
        <f t="shared" si="1"/>
        <v>13.865390663169581</v>
      </c>
      <c r="C33" s="26" t="str">
        <f t="shared" si="2"/>
        <v>n.a.</v>
      </c>
      <c r="D33" s="26">
        <v>0.330508905655997</v>
      </c>
      <c r="E33" s="26">
        <v>0.68852497557408621</v>
      </c>
      <c r="F33" s="26">
        <v>0.89459495865133742</v>
      </c>
      <c r="G33" s="26">
        <v>0.98644414424222504</v>
      </c>
      <c r="H33" s="26">
        <v>0.9944728295900982</v>
      </c>
      <c r="I33" s="26" t="s">
        <v>69</v>
      </c>
      <c r="J33" s="26" t="s">
        <v>69</v>
      </c>
      <c r="K33" s="26" t="s">
        <v>69</v>
      </c>
      <c r="L33" s="26" t="s">
        <v>69</v>
      </c>
      <c r="M33" s="26" t="s">
        <v>69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>
      <c r="A34" s="21">
        <v>-42</v>
      </c>
      <c r="B34" s="7">
        <f t="shared" si="1"/>
        <v>15.422538304514172</v>
      </c>
      <c r="C34" s="26" t="str">
        <f t="shared" si="2"/>
        <v>n.a.</v>
      </c>
      <c r="D34" s="26">
        <v>0.51506793436552023</v>
      </c>
      <c r="E34" s="26">
        <v>0.79499023888472564</v>
      </c>
      <c r="F34" s="26">
        <v>0.94509902192148321</v>
      </c>
      <c r="G34" s="26">
        <v>0.99843547241662478</v>
      </c>
      <c r="H34" s="26">
        <v>0.99999995606270742</v>
      </c>
      <c r="I34" s="26" t="s">
        <v>69</v>
      </c>
      <c r="J34" s="26" t="s">
        <v>69</v>
      </c>
      <c r="K34" s="26" t="s">
        <v>69</v>
      </c>
      <c r="L34" s="26" t="s">
        <v>69</v>
      </c>
      <c r="M34" s="26" t="s">
        <v>69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</row>
    <row r="35" spans="1:71">
      <c r="A35" s="21">
        <v>-41</v>
      </c>
      <c r="B35" s="7">
        <f t="shared" si="1"/>
        <v>17.136503557946799</v>
      </c>
      <c r="C35" s="26" t="str">
        <f t="shared" si="2"/>
        <v>n.a.</v>
      </c>
      <c r="D35" s="26">
        <v>0.65968385916968741</v>
      </c>
      <c r="E35" s="26">
        <v>0.87385778572086459</v>
      </c>
      <c r="F35" s="26">
        <v>0.97731390132478668</v>
      </c>
      <c r="G35" s="26" t="s">
        <v>69</v>
      </c>
      <c r="H35" s="26" t="s">
        <v>69</v>
      </c>
      <c r="I35" s="26" t="s">
        <v>69</v>
      </c>
      <c r="J35" s="26" t="s">
        <v>69</v>
      </c>
      <c r="K35" s="26" t="s">
        <v>69</v>
      </c>
      <c r="L35" s="26" t="s">
        <v>69</v>
      </c>
      <c r="M35" s="26" t="s">
        <v>69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>
      <c r="A36" s="21">
        <v>-40</v>
      </c>
      <c r="B36" s="7">
        <f t="shared" si="1"/>
        <v>19.021201211131025</v>
      </c>
      <c r="C36" s="26" t="str">
        <f t="shared" si="2"/>
        <v>n.a.</v>
      </c>
      <c r="D36" s="26">
        <v>0.77101832263891767</v>
      </c>
      <c r="E36" s="26">
        <v>0.92996054776100379</v>
      </c>
      <c r="F36" s="26">
        <v>0.99466170497957707</v>
      </c>
      <c r="G36" s="26" t="s">
        <v>69</v>
      </c>
      <c r="H36" s="26" t="s">
        <v>69</v>
      </c>
      <c r="I36" s="26" t="s">
        <v>69</v>
      </c>
      <c r="J36" s="26" t="s">
        <v>69</v>
      </c>
      <c r="K36" s="26" t="s">
        <v>69</v>
      </c>
      <c r="L36" s="26" t="s">
        <v>69</v>
      </c>
      <c r="M36" s="26" t="s">
        <v>69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</row>
    <row r="37" spans="1:71">
      <c r="A37" s="21">
        <v>-39</v>
      </c>
      <c r="B37" s="7">
        <f t="shared" si="1"/>
        <v>21.091606161467279</v>
      </c>
      <c r="C37" s="26" t="str">
        <f t="shared" si="2"/>
        <v>n.a.</v>
      </c>
      <c r="D37" s="26">
        <v>0.8546866638311863</v>
      </c>
      <c r="E37" s="26">
        <v>0.96735479433904104</v>
      </c>
      <c r="F37" s="26">
        <v>0.99999865093707141</v>
      </c>
      <c r="G37" s="26" t="s">
        <v>69</v>
      </c>
      <c r="H37" s="26" t="s">
        <v>69</v>
      </c>
      <c r="I37" s="26" t="s">
        <v>69</v>
      </c>
      <c r="J37" s="26" t="s">
        <v>69</v>
      </c>
      <c r="K37" s="26" t="s">
        <v>69</v>
      </c>
      <c r="L37" s="26" t="s">
        <v>69</v>
      </c>
      <c r="M37" s="26" t="s">
        <v>69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</row>
    <row r="38" spans="1:71">
      <c r="A38" s="21">
        <v>-38</v>
      </c>
      <c r="B38" s="7">
        <f t="shared" si="1"/>
        <v>23.363819916857381</v>
      </c>
      <c r="C38" s="26" t="str">
        <f t="shared" si="2"/>
        <v>n.a.</v>
      </c>
      <c r="D38" s="26">
        <v>0.91542112692609579</v>
      </c>
      <c r="E38" s="26">
        <v>0.98944291070987855</v>
      </c>
      <c r="F38" s="26" t="s">
        <v>69</v>
      </c>
      <c r="G38" s="26" t="s">
        <v>69</v>
      </c>
      <c r="H38" s="26" t="s">
        <v>69</v>
      </c>
      <c r="I38" s="26" t="s">
        <v>69</v>
      </c>
      <c r="J38" s="26" t="s">
        <v>69</v>
      </c>
      <c r="K38" s="26" t="s">
        <v>69</v>
      </c>
      <c r="L38" s="26" t="s">
        <v>69</v>
      </c>
      <c r="M38" s="26" t="s">
        <v>69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</row>
    <row r="39" spans="1:71">
      <c r="A39" s="21">
        <v>-37</v>
      </c>
      <c r="B39" s="7">
        <f t="shared" si="1"/>
        <v>25.85514026622538</v>
      </c>
      <c r="C39" s="26" t="str">
        <f t="shared" si="2"/>
        <v>n.a.</v>
      </c>
      <c r="D39" s="26">
        <v>0.95720827484813376</v>
      </c>
      <c r="E39" s="26">
        <v>0.99907659989803987</v>
      </c>
      <c r="F39" s="26" t="s">
        <v>69</v>
      </c>
      <c r="G39" s="26" t="s">
        <v>69</v>
      </c>
      <c r="H39" s="26" t="s">
        <v>69</v>
      </c>
      <c r="I39" s="26" t="s">
        <v>69</v>
      </c>
      <c r="J39" s="26" t="s">
        <v>69</v>
      </c>
      <c r="K39" s="26" t="s">
        <v>69</v>
      </c>
      <c r="L39" s="26" t="s">
        <v>69</v>
      </c>
      <c r="M39" s="26" t="s">
        <v>69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</row>
    <row r="40" spans="1:71">
      <c r="A40" s="21">
        <v>-36</v>
      </c>
      <c r="B40" s="7">
        <f t="shared" si="1"/>
        <v>28.584134212105994</v>
      </c>
      <c r="C40" s="26" t="str">
        <f t="shared" si="2"/>
        <v>n.a.</v>
      </c>
      <c r="D40" s="26">
        <v>0.98340477462798892</v>
      </c>
      <c r="E40" s="26" t="s">
        <v>69</v>
      </c>
      <c r="F40" s="26" t="s">
        <v>69</v>
      </c>
      <c r="G40" s="26" t="s">
        <v>69</v>
      </c>
      <c r="H40" s="26" t="s">
        <v>69</v>
      </c>
      <c r="I40" s="26" t="s">
        <v>69</v>
      </c>
      <c r="J40" s="26" t="s">
        <v>69</v>
      </c>
      <c r="K40" s="26" t="s">
        <v>69</v>
      </c>
      <c r="L40" s="26" t="s">
        <v>69</v>
      </c>
      <c r="M40" s="26" t="s">
        <v>69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</row>
    <row r="41" spans="1:71">
      <c r="A41" s="21">
        <v>-35</v>
      </c>
      <c r="B41" s="7">
        <f t="shared" si="1"/>
        <v>31.570714257482457</v>
      </c>
      <c r="C41" s="26" t="str">
        <f t="shared" si="2"/>
        <v>n.a.</v>
      </c>
      <c r="D41" s="26">
        <v>0.99683503067833479</v>
      </c>
      <c r="E41" s="26" t="s">
        <v>69</v>
      </c>
      <c r="F41" s="26" t="s">
        <v>69</v>
      </c>
      <c r="G41" s="26" t="s">
        <v>69</v>
      </c>
      <c r="H41" s="26" t="s">
        <v>69</v>
      </c>
      <c r="I41" s="26" t="s">
        <v>69</v>
      </c>
      <c r="J41" s="26" t="s">
        <v>69</v>
      </c>
      <c r="K41" s="26" t="s">
        <v>69</v>
      </c>
      <c r="L41" s="26" t="s">
        <v>69</v>
      </c>
      <c r="M41" s="26" t="s">
        <v>69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</row>
    <row r="42" spans="1:71">
      <c r="A42" s="21">
        <v>-34</v>
      </c>
      <c r="B42" s="7">
        <f t="shared" si="1"/>
        <v>34.836218138797832</v>
      </c>
      <c r="C42" s="26" t="str">
        <f t="shared" si="2"/>
        <v>n.a.</v>
      </c>
      <c r="D42" s="26" t="s">
        <v>69</v>
      </c>
      <c r="E42" s="26" t="s">
        <v>69</v>
      </c>
      <c r="F42" s="26" t="s">
        <v>69</v>
      </c>
      <c r="G42" s="26" t="s">
        <v>69</v>
      </c>
      <c r="H42" s="26" t="s">
        <v>69</v>
      </c>
      <c r="I42" s="26" t="s">
        <v>69</v>
      </c>
      <c r="J42" s="26" t="s">
        <v>69</v>
      </c>
      <c r="K42" s="26" t="s">
        <v>69</v>
      </c>
      <c r="L42" s="26" t="s">
        <v>69</v>
      </c>
      <c r="M42" s="26" t="s">
        <v>69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</row>
    <row r="43" spans="1:71">
      <c r="A43" s="21">
        <v>-33</v>
      </c>
      <c r="B43" s="7">
        <f t="shared" si="1"/>
        <v>38.403492096677262</v>
      </c>
      <c r="C43" s="26" t="str">
        <f t="shared" si="2"/>
        <v>n.a.</v>
      </c>
      <c r="D43" s="26" t="s">
        <v>69</v>
      </c>
      <c r="E43" s="26" t="s">
        <v>69</v>
      </c>
      <c r="F43" s="26" t="s">
        <v>69</v>
      </c>
      <c r="G43" s="26" t="s">
        <v>69</v>
      </c>
      <c r="H43" s="26" t="s">
        <v>69</v>
      </c>
      <c r="I43" s="26" t="s">
        <v>69</v>
      </c>
      <c r="J43" s="26" t="s">
        <v>69</v>
      </c>
      <c r="K43" s="26" t="s">
        <v>69</v>
      </c>
      <c r="L43" s="26" t="s">
        <v>69</v>
      </c>
      <c r="M43" s="26" t="s">
        <v>69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>
      <c r="A44" s="21">
        <v>-32</v>
      </c>
      <c r="B44" s="7">
        <f t="shared" si="1"/>
        <v>42.296977775381023</v>
      </c>
      <c r="C44" s="26" t="str">
        <f t="shared" si="2"/>
        <v>n.a.</v>
      </c>
      <c r="D44" s="26" t="s">
        <v>69</v>
      </c>
      <c r="E44" s="26" t="s">
        <v>69</v>
      </c>
      <c r="F44" s="26" t="s">
        <v>69</v>
      </c>
      <c r="G44" s="26" t="s">
        <v>69</v>
      </c>
      <c r="H44" s="26" t="s">
        <v>69</v>
      </c>
      <c r="I44" s="26" t="s">
        <v>69</v>
      </c>
      <c r="J44" s="26" t="s">
        <v>69</v>
      </c>
      <c r="K44" s="26" t="s">
        <v>69</v>
      </c>
      <c r="L44" s="26" t="s">
        <v>69</v>
      </c>
      <c r="M44" s="26" t="s">
        <v>69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>
      <c r="A45" s="21">
        <v>-31</v>
      </c>
      <c r="B45" s="7">
        <f t="shared" si="1"/>
        <v>46.54280284136037</v>
      </c>
      <c r="C45" s="26" t="str">
        <f t="shared" si="2"/>
        <v>n.a.</v>
      </c>
      <c r="D45" s="26" t="s">
        <v>69</v>
      </c>
      <c r="E45" s="26" t="s">
        <v>69</v>
      </c>
      <c r="F45" s="26" t="s">
        <v>69</v>
      </c>
      <c r="G45" s="26" t="s">
        <v>69</v>
      </c>
      <c r="H45" s="26" t="s">
        <v>69</v>
      </c>
      <c r="I45" s="26" t="s">
        <v>69</v>
      </c>
      <c r="J45" s="26" t="s">
        <v>69</v>
      </c>
      <c r="K45" s="26" t="s">
        <v>69</v>
      </c>
      <c r="L45" s="26" t="s">
        <v>69</v>
      </c>
      <c r="M45" s="26" t="s">
        <v>69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</row>
    <row r="46" spans="1:71">
      <c r="A46" s="21">
        <v>-30</v>
      </c>
      <c r="B46" s="7">
        <f t="shared" si="1"/>
        <v>51.168875410507653</v>
      </c>
      <c r="C46" s="26" t="str">
        <f t="shared" si="2"/>
        <v>n.a.</v>
      </c>
      <c r="D46" s="26" t="s">
        <v>69</v>
      </c>
      <c r="E46" s="26" t="s">
        <v>69</v>
      </c>
      <c r="F46" s="26" t="s">
        <v>69</v>
      </c>
      <c r="G46" s="26" t="s">
        <v>69</v>
      </c>
      <c r="H46" s="26" t="s">
        <v>69</v>
      </c>
      <c r="I46" s="26" t="s">
        <v>69</v>
      </c>
      <c r="J46" s="26" t="s">
        <v>69</v>
      </c>
      <c r="K46" s="26" t="s">
        <v>69</v>
      </c>
      <c r="L46" s="26" t="s">
        <v>69</v>
      </c>
      <c r="M46" s="26" t="s">
        <v>69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>
      <c r="A47" s="21">
        <v>-29</v>
      </c>
      <c r="B47" s="7">
        <f t="shared" si="1"/>
        <v>56.204982372779831</v>
      </c>
      <c r="C47" s="26" t="str">
        <f t="shared" si="2"/>
        <v>n.a.</v>
      </c>
      <c r="D47" s="26" t="s">
        <v>69</v>
      </c>
      <c r="E47" s="26" t="s">
        <v>69</v>
      </c>
      <c r="F47" s="26" t="s">
        <v>69</v>
      </c>
      <c r="G47" s="26" t="s">
        <v>69</v>
      </c>
      <c r="H47" s="26" t="s">
        <v>69</v>
      </c>
      <c r="I47" s="26" t="s">
        <v>69</v>
      </c>
      <c r="J47" s="26" t="s">
        <v>69</v>
      </c>
      <c r="K47" s="26" t="s">
        <v>69</v>
      </c>
      <c r="L47" s="26" t="s">
        <v>69</v>
      </c>
      <c r="M47" s="26" t="s">
        <v>69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</row>
    <row r="48" spans="1:71">
      <c r="A48" s="21">
        <v>-28</v>
      </c>
      <c r="B48" s="7">
        <f t="shared" si="1"/>
        <v>61.682891701831217</v>
      </c>
      <c r="C48" s="26" t="str">
        <f t="shared" si="2"/>
        <v>n.a.</v>
      </c>
      <c r="D48" s="26" t="s">
        <v>69</v>
      </c>
      <c r="E48" s="26" t="s">
        <v>69</v>
      </c>
      <c r="F48" s="26" t="s">
        <v>69</v>
      </c>
      <c r="G48" s="26" t="s">
        <v>69</v>
      </c>
      <c r="H48" s="26" t="s">
        <v>69</v>
      </c>
      <c r="I48" s="26" t="s">
        <v>69</v>
      </c>
      <c r="J48" s="26" t="s">
        <v>69</v>
      </c>
      <c r="K48" s="26" t="s">
        <v>69</v>
      </c>
      <c r="L48" s="26" t="s">
        <v>69</v>
      </c>
      <c r="M48" s="26" t="s">
        <v>69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1:71">
      <c r="A49" s="21">
        <v>-27</v>
      </c>
      <c r="B49" s="7">
        <f t="shared" si="1"/>
        <v>67.63645883611386</v>
      </c>
      <c r="C49" s="26" t="str">
        <f t="shared" si="2"/>
        <v>n.a.</v>
      </c>
      <c r="D49" s="26" t="s">
        <v>69</v>
      </c>
      <c r="E49" s="26" t="s">
        <v>69</v>
      </c>
      <c r="F49" s="26" t="s">
        <v>69</v>
      </c>
      <c r="G49" s="26" t="s">
        <v>69</v>
      </c>
      <c r="H49" s="26" t="s">
        <v>69</v>
      </c>
      <c r="I49" s="26" t="s">
        <v>69</v>
      </c>
      <c r="J49" s="26" t="s">
        <v>69</v>
      </c>
      <c r="K49" s="26" t="s">
        <v>69</v>
      </c>
      <c r="L49" s="26" t="s">
        <v>69</v>
      </c>
      <c r="M49" s="26" t="s">
        <v>69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</row>
    <row r="50" spans="1:71">
      <c r="A50" s="21">
        <v>-26</v>
      </c>
      <c r="B50" s="7">
        <f t="shared" si="1"/>
        <v>74.101737216597968</v>
      </c>
      <c r="C50" s="26" t="str">
        <f t="shared" si="2"/>
        <v>n.a.</v>
      </c>
      <c r="D50" s="26" t="s">
        <v>69</v>
      </c>
      <c r="E50" s="26" t="s">
        <v>69</v>
      </c>
      <c r="F50" s="26" t="s">
        <v>69</v>
      </c>
      <c r="G50" s="26" t="s">
        <v>69</v>
      </c>
      <c r="H50" s="26" t="s">
        <v>69</v>
      </c>
      <c r="I50" s="26" t="s">
        <v>69</v>
      </c>
      <c r="J50" s="26" t="s">
        <v>69</v>
      </c>
      <c r="K50" s="26" t="s">
        <v>69</v>
      </c>
      <c r="L50" s="26" t="s">
        <v>69</v>
      </c>
      <c r="M50" s="26" t="s">
        <v>69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1:71">
      <c r="A51" s="21">
        <v>-25</v>
      </c>
      <c r="B51" s="7">
        <f t="shared" si="1"/>
        <v>81.117093064826406</v>
      </c>
      <c r="C51" s="26" t="str">
        <f t="shared" si="2"/>
        <v>n.a.</v>
      </c>
      <c r="D51" s="26" t="s">
        <v>69</v>
      </c>
      <c r="E51" s="26" t="s">
        <v>69</v>
      </c>
      <c r="F51" s="26" t="s">
        <v>69</v>
      </c>
      <c r="G51" s="26" t="s">
        <v>69</v>
      </c>
      <c r="H51" s="26" t="s">
        <v>69</v>
      </c>
      <c r="I51" s="26" t="s">
        <v>69</v>
      </c>
      <c r="J51" s="26" t="s">
        <v>69</v>
      </c>
      <c r="K51" s="26" t="s">
        <v>69</v>
      </c>
      <c r="L51" s="26" t="s">
        <v>69</v>
      </c>
      <c r="M51" s="26" t="s">
        <v>69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</row>
    <row r="52" spans="1:71">
      <c r="A52" s="2"/>
      <c r="B52" s="7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1:71">
      <c r="A53" s="2"/>
      <c r="B53" s="7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ht="21">
      <c r="A54" s="1" t="s">
        <v>71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</row>
    <row r="55" spans="1:7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1:71">
      <c r="A56" s="21" t="s">
        <v>72</v>
      </c>
      <c r="B56" s="21"/>
      <c r="C56" s="21"/>
      <c r="D56" s="21"/>
      <c r="E56" s="21"/>
      <c r="F56" s="2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1:7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1:71">
      <c r="A58" s="2" t="s">
        <v>73</v>
      </c>
      <c r="B58" s="2"/>
      <c r="C58" s="2"/>
      <c r="D58" s="2">
        <v>20000</v>
      </c>
      <c r="E58" s="2">
        <v>25000</v>
      </c>
      <c r="F58" s="2">
        <v>30000</v>
      </c>
      <c r="G58" s="2">
        <v>35000</v>
      </c>
      <c r="H58" s="2">
        <v>36089</v>
      </c>
      <c r="I58" s="2">
        <v>40000</v>
      </c>
      <c r="J58" s="2">
        <v>45000</v>
      </c>
      <c r="K58" s="2">
        <v>50000</v>
      </c>
      <c r="L58" s="2">
        <v>55000</v>
      </c>
      <c r="M58" s="2">
        <v>60000</v>
      </c>
      <c r="N58" s="2"/>
      <c r="O58" s="4" t="s">
        <v>68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1:71">
      <c r="A59" s="28" t="s">
        <v>74</v>
      </c>
      <c r="B59" s="29" t="s">
        <v>75</v>
      </c>
      <c r="C59" s="29" t="s">
        <v>76</v>
      </c>
      <c r="D59" s="71">
        <f t="shared" ref="D59:M59" si="3">a_tot*D58+b_tot</f>
        <v>10.15428</v>
      </c>
      <c r="E59" s="71">
        <f t="shared" si="3"/>
        <v>9.9373500000000003</v>
      </c>
      <c r="F59" s="71">
        <f t="shared" si="3"/>
        <v>9.7204200000000007</v>
      </c>
      <c r="G59" s="71">
        <f t="shared" si="3"/>
        <v>9.5034899999999993</v>
      </c>
      <c r="H59" s="71">
        <f t="shared" si="3"/>
        <v>9.4562426459999998</v>
      </c>
      <c r="I59" s="71">
        <f t="shared" si="3"/>
        <v>9.2865599999999997</v>
      </c>
      <c r="J59" s="71">
        <f t="shared" si="3"/>
        <v>9.0696300000000001</v>
      </c>
      <c r="K59" s="71">
        <f t="shared" si="3"/>
        <v>8.8527000000000005</v>
      </c>
      <c r="L59" s="71">
        <f t="shared" si="3"/>
        <v>8.6357700000000008</v>
      </c>
      <c r="M59" s="71">
        <f t="shared" si="3"/>
        <v>8.4188399999999994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1:71">
      <c r="A60" s="2">
        <v>-60</v>
      </c>
      <c r="B60" s="2"/>
      <c r="C60" s="2"/>
      <c r="D60" s="31" t="str">
        <f t="shared" ref="D60:M60" si="4">IF(D16="n.a.","n.a.",1-(1/D$59^b_t)*((D$58-b_H)/a_H-$A60)^b_t)</f>
        <v>n.a.</v>
      </c>
      <c r="E60" s="31" t="str">
        <f t="shared" si="4"/>
        <v>n.a.</v>
      </c>
      <c r="F60" s="31" t="str">
        <f t="shared" si="4"/>
        <v>n.a.</v>
      </c>
      <c r="G60" s="31" t="str">
        <f t="shared" si="4"/>
        <v>n.a.</v>
      </c>
      <c r="H60" s="31" t="str">
        <f t="shared" si="4"/>
        <v>n.a.</v>
      </c>
      <c r="I60" s="31" t="str">
        <f t="shared" si="4"/>
        <v>n.a.</v>
      </c>
      <c r="J60" s="31" t="str">
        <f t="shared" si="4"/>
        <v>n.a.</v>
      </c>
      <c r="K60" s="31" t="str">
        <f t="shared" si="4"/>
        <v>n.a.</v>
      </c>
      <c r="L60" s="31" t="str">
        <f t="shared" si="4"/>
        <v>n.a.</v>
      </c>
      <c r="M60" s="31">
        <f t="shared" si="4"/>
        <v>0.43133317270269322</v>
      </c>
      <c r="N60" s="2"/>
      <c r="O60" s="2" t="s">
        <v>42</v>
      </c>
      <c r="P60" s="2">
        <v>1.25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1:71">
      <c r="A61" s="2">
        <v>-59</v>
      </c>
      <c r="B61" s="2"/>
      <c r="C61" s="2"/>
      <c r="D61" s="31" t="str">
        <f t="shared" ref="D61:M61" si="5">IF(D17="n.a.","n.a.",1-(1/D$59^b_t)*((D$58-b_H)/a_H-$A61)^b_t)</f>
        <v>n.a.</v>
      </c>
      <c r="E61" s="31" t="str">
        <f t="shared" si="5"/>
        <v>n.a.</v>
      </c>
      <c r="F61" s="31" t="str">
        <f t="shared" si="5"/>
        <v>n.a.</v>
      </c>
      <c r="G61" s="31" t="str">
        <f t="shared" si="5"/>
        <v>n.a.</v>
      </c>
      <c r="H61" s="31" t="str">
        <f t="shared" si="5"/>
        <v>n.a.</v>
      </c>
      <c r="I61" s="31" t="str">
        <f t="shared" si="5"/>
        <v>n.a.</v>
      </c>
      <c r="J61" s="31" t="str">
        <f t="shared" si="5"/>
        <v>n.a.</v>
      </c>
      <c r="K61" s="31" t="str">
        <f t="shared" si="5"/>
        <v>n.a.</v>
      </c>
      <c r="L61" s="31">
        <f t="shared" si="5"/>
        <v>0.14372458006669353</v>
      </c>
      <c r="M61" s="31">
        <f t="shared" si="5"/>
        <v>0.62451818222558309</v>
      </c>
      <c r="N61" s="2"/>
      <c r="O61" s="2" t="s">
        <v>43</v>
      </c>
      <c r="P61" s="2">
        <v>1004</v>
      </c>
      <c r="Q61" s="2" t="s">
        <v>44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>
      <c r="A62" s="2">
        <v>-58</v>
      </c>
      <c r="B62" s="2"/>
      <c r="C62" s="2"/>
      <c r="D62" s="31" t="str">
        <f t="shared" ref="D62:M62" si="6">IF(D18="n.a.","n.a.",1-(1/D$59^b_t)*((D$58-b_H)/a_H-$A62)^b_t)</f>
        <v>n.a.</v>
      </c>
      <c r="E62" s="31" t="str">
        <f t="shared" si="6"/>
        <v>n.a.</v>
      </c>
      <c r="F62" s="31" t="str">
        <f t="shared" si="6"/>
        <v>n.a.</v>
      </c>
      <c r="G62" s="31" t="str">
        <f t="shared" si="6"/>
        <v>n.a.</v>
      </c>
      <c r="H62" s="31" t="str">
        <f t="shared" si="6"/>
        <v>n.a.</v>
      </c>
      <c r="I62" s="31" t="str">
        <f t="shared" si="6"/>
        <v>n.a.</v>
      </c>
      <c r="J62" s="31" t="str">
        <f t="shared" si="6"/>
        <v>n.a.</v>
      </c>
      <c r="K62" s="31" t="str">
        <f t="shared" si="6"/>
        <v>n.a.</v>
      </c>
      <c r="L62" s="31">
        <f t="shared" si="6"/>
        <v>0.3910917946753607</v>
      </c>
      <c r="M62" s="31">
        <f t="shared" si="6"/>
        <v>0.77093459826323507</v>
      </c>
      <c r="N62" s="2"/>
      <c r="O62" s="2" t="s">
        <v>45</v>
      </c>
      <c r="P62" s="2">
        <v>0.622</v>
      </c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1:71">
      <c r="A63" s="2">
        <v>-57</v>
      </c>
      <c r="B63" s="2"/>
      <c r="C63" s="2"/>
      <c r="D63" s="31" t="str">
        <f t="shared" ref="D63:M63" si="7">IF(D19="n.a.","n.a.",1-(1/D$59^b_t)*((D$58-b_H)/a_H-$A63)^b_t)</f>
        <v>n.a.</v>
      </c>
      <c r="E63" s="31" t="str">
        <f t="shared" si="7"/>
        <v>n.a.</v>
      </c>
      <c r="F63" s="31" t="str">
        <f t="shared" si="7"/>
        <v>n.a.</v>
      </c>
      <c r="G63" s="31" t="str">
        <f t="shared" si="7"/>
        <v>n.a.</v>
      </c>
      <c r="H63" s="31" t="str">
        <f t="shared" si="7"/>
        <v>n.a.</v>
      </c>
      <c r="I63" s="31" t="str">
        <f t="shared" si="7"/>
        <v>n.a.</v>
      </c>
      <c r="J63" s="31" t="str">
        <f t="shared" si="7"/>
        <v>n.a.</v>
      </c>
      <c r="K63" s="31">
        <f t="shared" si="7"/>
        <v>0.10161168771329376</v>
      </c>
      <c r="L63" s="31">
        <f t="shared" si="7"/>
        <v>0.58875858840124384</v>
      </c>
      <c r="M63" s="31">
        <f t="shared" si="7"/>
        <v>0.87563107333172074</v>
      </c>
      <c r="N63" s="2"/>
      <c r="O63" s="2" t="s">
        <v>47</v>
      </c>
      <c r="P63" s="15">
        <v>43000000</v>
      </c>
      <c r="Q63" s="2" t="s">
        <v>48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1:71">
      <c r="A64" s="2">
        <v>-56</v>
      </c>
      <c r="B64" s="2"/>
      <c r="C64" s="2"/>
      <c r="D64" s="31" t="str">
        <f t="shared" ref="D64:M64" si="8">IF(D20="n.a.","n.a.",1-(1/D$59^b_t)*((D$58-b_H)/a_H-$A64)^b_t)</f>
        <v>n.a.</v>
      </c>
      <c r="E64" s="31" t="str">
        <f t="shared" si="8"/>
        <v>n.a.</v>
      </c>
      <c r="F64" s="31" t="str">
        <f t="shared" si="8"/>
        <v>n.a.</v>
      </c>
      <c r="G64" s="31" t="str">
        <f t="shared" si="8"/>
        <v>n.a.</v>
      </c>
      <c r="H64" s="31" t="str">
        <f t="shared" si="8"/>
        <v>n.a.</v>
      </c>
      <c r="I64" s="31" t="str">
        <f t="shared" si="8"/>
        <v>n.a.</v>
      </c>
      <c r="J64" s="31" t="str">
        <f t="shared" si="8"/>
        <v>n.a.</v>
      </c>
      <c r="K64" s="31">
        <f t="shared" si="8"/>
        <v>0.35124031009508128</v>
      </c>
      <c r="L64" s="31">
        <f t="shared" si="8"/>
        <v>0.74103161276262686</v>
      </c>
      <c r="M64" s="31">
        <f t="shared" si="8"/>
        <v>0.94410730486416006</v>
      </c>
      <c r="N64" s="2"/>
      <c r="O64" s="2" t="s">
        <v>50</v>
      </c>
      <c r="P64" s="2">
        <v>0.35</v>
      </c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>
      <c r="A65" s="2">
        <v>-55</v>
      </c>
      <c r="B65" s="2"/>
      <c r="C65" s="2"/>
      <c r="D65" s="31" t="str">
        <f t="shared" ref="D65:M65" si="9">IF(D21="n.a.","n.a.",1-(1/D$59^b_t)*((D$58-b_H)/a_H-$A65)^b_t)</f>
        <v>n.a.</v>
      </c>
      <c r="E65" s="31" t="str">
        <f t="shared" si="9"/>
        <v>n.a.</v>
      </c>
      <c r="F65" s="31" t="str">
        <f t="shared" si="9"/>
        <v>n.a.</v>
      </c>
      <c r="G65" s="31" t="str">
        <f t="shared" si="9"/>
        <v>n.a.</v>
      </c>
      <c r="H65" s="31" t="str">
        <f t="shared" si="9"/>
        <v>n.a.</v>
      </c>
      <c r="I65" s="31" t="str">
        <f t="shared" si="9"/>
        <v>n.a.</v>
      </c>
      <c r="J65" s="31">
        <f t="shared" si="9"/>
        <v>6.0351020351821161E-2</v>
      </c>
      <c r="K65" s="31">
        <f t="shared" si="9"/>
        <v>0.55287624416767733</v>
      </c>
      <c r="L65" s="31">
        <f t="shared" si="9"/>
        <v>0.85251169531180304</v>
      </c>
      <c r="M65" s="31">
        <f t="shared" si="9"/>
        <v>0.98250015851090033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</row>
    <row r="66" spans="1:71">
      <c r="A66" s="2">
        <v>-54</v>
      </c>
      <c r="B66" s="2"/>
      <c r="C66" s="2"/>
      <c r="D66" s="31" t="str">
        <f t="shared" ref="D66:M66" si="10">IF(D22="n.a.","n.a.",1-(1/D$59^b_t)*((D$58-b_H)/a_H-$A66)^b_t)</f>
        <v>n.a.</v>
      </c>
      <c r="E66" s="31" t="str">
        <f t="shared" si="10"/>
        <v>n.a.</v>
      </c>
      <c r="F66" s="31" t="str">
        <f t="shared" si="10"/>
        <v>n.a.</v>
      </c>
      <c r="G66" s="31" t="str">
        <f t="shared" si="10"/>
        <v>n.a.</v>
      </c>
      <c r="H66" s="31" t="str">
        <f t="shared" si="10"/>
        <v>n.a.</v>
      </c>
      <c r="I66" s="31" t="str">
        <f t="shared" si="10"/>
        <v>n.a.</v>
      </c>
      <c r="J66" s="31">
        <f t="shared" si="10"/>
        <v>0.31184041614645919</v>
      </c>
      <c r="K66" s="31">
        <f t="shared" si="10"/>
        <v>0.71047200211918504</v>
      </c>
      <c r="L66" s="31">
        <f t="shared" si="10"/>
        <v>0.92817964184374535</v>
      </c>
      <c r="M66" s="31">
        <f t="shared" si="10"/>
        <v>0.99796777452932095</v>
      </c>
      <c r="N66" s="2"/>
      <c r="O66" s="2" t="s">
        <v>70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</row>
    <row r="67" spans="1:71">
      <c r="A67" s="2">
        <v>-53</v>
      </c>
      <c r="B67" s="2"/>
      <c r="C67" s="2"/>
      <c r="D67" s="31" t="str">
        <f t="shared" ref="D67:M67" si="11">IF(D23="n.a.","n.a.",1-(1/D$59^b_t)*((D$58-b_H)/a_H-$A67)^b_t)</f>
        <v>n.a.</v>
      </c>
      <c r="E67" s="31" t="str">
        <f t="shared" si="11"/>
        <v>n.a.</v>
      </c>
      <c r="F67" s="31" t="str">
        <f t="shared" si="11"/>
        <v>n.a.</v>
      </c>
      <c r="G67" s="31" t="str">
        <f t="shared" si="11"/>
        <v>n.a.</v>
      </c>
      <c r="H67" s="31" t="str">
        <f t="shared" si="11"/>
        <v>n.a.</v>
      </c>
      <c r="I67" s="31">
        <f t="shared" si="11"/>
        <v>1.9951402367897608E-2</v>
      </c>
      <c r="J67" s="31">
        <f t="shared" si="11"/>
        <v>0.51697814286108335</v>
      </c>
      <c r="K67" s="31">
        <f t="shared" si="11"/>
        <v>0.82823431290683358</v>
      </c>
      <c r="L67" s="31">
        <f t="shared" si="11"/>
        <v>0.97353740299028479</v>
      </c>
      <c r="M67" s="31" t="str">
        <f t="shared" si="11"/>
        <v>n.a.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</row>
    <row r="68" spans="1:71">
      <c r="A68" s="2">
        <v>-52</v>
      </c>
      <c r="B68" s="2"/>
      <c r="C68" s="2"/>
      <c r="D68" s="31" t="str">
        <f t="shared" ref="D68:M68" si="12">IF(D24="n.a.","n.a.",1-(1/D$59^b_t)*((D$58-b_H)/a_H-$A68)^b_t)</f>
        <v>n.a.</v>
      </c>
      <c r="E68" s="31" t="str">
        <f t="shared" si="12"/>
        <v>n.a.</v>
      </c>
      <c r="F68" s="31" t="str">
        <f t="shared" si="12"/>
        <v>n.a.</v>
      </c>
      <c r="G68" s="31" t="str">
        <f t="shared" si="12"/>
        <v>n.a.</v>
      </c>
      <c r="H68" s="31" t="str">
        <f t="shared" si="12"/>
        <v>n.a.</v>
      </c>
      <c r="I68" s="31">
        <f t="shared" si="12"/>
        <v>0.27294191866658546</v>
      </c>
      <c r="J68" s="31">
        <f t="shared" si="12"/>
        <v>0.67940130669532972</v>
      </c>
      <c r="K68" s="31">
        <f t="shared" si="12"/>
        <v>0.91069298655411546</v>
      </c>
      <c r="L68" s="31">
        <f t="shared" si="12"/>
        <v>0.99487691779428689</v>
      </c>
      <c r="M68" s="31" t="str">
        <f t="shared" si="12"/>
        <v>n.a.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</row>
    <row r="69" spans="1:71">
      <c r="A69" s="2">
        <v>-51</v>
      </c>
      <c r="B69" s="2"/>
      <c r="C69" s="2"/>
      <c r="D69" s="31" t="str">
        <f t="shared" ref="D69:M69" si="13">IF(D25="n.a.","n.a.",1-(1/D$59^b_t)*((D$58-b_H)/a_H-$A69)^b_t)</f>
        <v>n.a.</v>
      </c>
      <c r="E69" s="31" t="str">
        <f t="shared" si="13"/>
        <v>n.a.</v>
      </c>
      <c r="F69" s="31" t="str">
        <f t="shared" si="13"/>
        <v>n.a.</v>
      </c>
      <c r="G69" s="31" t="str">
        <f t="shared" si="13"/>
        <v>n.a.</v>
      </c>
      <c r="H69" s="31">
        <f t="shared" si="13"/>
        <v>0.10512276466637427</v>
      </c>
      <c r="I69" s="31">
        <f t="shared" si="13"/>
        <v>0.48115562992334371</v>
      </c>
      <c r="J69" s="31">
        <f t="shared" si="13"/>
        <v>0.80296805004144733</v>
      </c>
      <c r="K69" s="31">
        <f t="shared" si="13"/>
        <v>0.96281013438634644</v>
      </c>
      <c r="L69" s="31" t="str">
        <f t="shared" si="13"/>
        <v>n.a.</v>
      </c>
      <c r="M69" s="31" t="str">
        <f t="shared" si="13"/>
        <v>n.a.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</row>
    <row r="70" spans="1:71">
      <c r="A70" s="2">
        <v>-50</v>
      </c>
      <c r="B70" s="2"/>
      <c r="C70" s="2"/>
      <c r="D70" s="31" t="str">
        <f t="shared" ref="D70:M70" si="14">IF(D26="n.a.","n.a.",1-(1/D$59^b_t)*((D$58-b_H)/a_H-$A70)^b_t)</f>
        <v>n.a.</v>
      </c>
      <c r="E70" s="31" t="str">
        <f t="shared" si="14"/>
        <v>n.a.</v>
      </c>
      <c r="F70" s="31" t="str">
        <f t="shared" si="14"/>
        <v>n.a.</v>
      </c>
      <c r="G70" s="31">
        <f t="shared" si="14"/>
        <v>0.23458452564495091</v>
      </c>
      <c r="H70" s="31">
        <f t="shared" si="14"/>
        <v>0.33969484923611515</v>
      </c>
      <c r="I70" s="31">
        <f t="shared" si="14"/>
        <v>0.64794767135336617</v>
      </c>
      <c r="J70" s="31">
        <f t="shared" si="14"/>
        <v>0.89181345596551342</v>
      </c>
      <c r="K70" s="31">
        <f t="shared" si="14"/>
        <v>0.99017556212678393</v>
      </c>
      <c r="L70" s="31" t="str">
        <f t="shared" si="14"/>
        <v>n.a.</v>
      </c>
      <c r="M70" s="31" t="str">
        <f t="shared" si="14"/>
        <v>n.a.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</row>
    <row r="71" spans="1:71">
      <c r="A71" s="2">
        <v>-49</v>
      </c>
      <c r="B71" s="2"/>
      <c r="C71" s="2"/>
      <c r="D71" s="31" t="str">
        <f t="shared" ref="D71:M71" si="15">IF(D27="n.a.","n.a.",1-(1/D$59^b_t)*((D$58-b_H)/a_H-$A71)^b_t)</f>
        <v>n.a.</v>
      </c>
      <c r="E71" s="31" t="str">
        <f t="shared" si="15"/>
        <v>n.a.</v>
      </c>
      <c r="F71" s="31" t="str">
        <f t="shared" si="15"/>
        <v>n.a.</v>
      </c>
      <c r="G71" s="31">
        <f t="shared" si="15"/>
        <v>0.44548640862019928</v>
      </c>
      <c r="H71" s="31">
        <f t="shared" si="15"/>
        <v>0.53203151444452412</v>
      </c>
      <c r="I71" s="31">
        <f t="shared" si="15"/>
        <v>0.77686643661491206</v>
      </c>
      <c r="J71" s="31">
        <f t="shared" si="15"/>
        <v>0.95043547561035058</v>
      </c>
      <c r="K71" s="31">
        <f t="shared" si="15"/>
        <v>0.9994443431417388</v>
      </c>
      <c r="L71" s="31" t="str">
        <f t="shared" si="15"/>
        <v>n.a.</v>
      </c>
      <c r="M71" s="31" t="str">
        <f t="shared" si="15"/>
        <v>n.a.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>
      <c r="A72" s="2">
        <v>-48</v>
      </c>
      <c r="B72" s="2"/>
      <c r="C72" s="2"/>
      <c r="D72" s="31" t="str">
        <f t="shared" ref="D72:M72" si="16">IF(D28="n.a.","n.a.",1-(1/D$59^b_t)*((D$58-b_H)/a_H-$A72)^b_t)</f>
        <v>n.a.</v>
      </c>
      <c r="E72" s="31" t="str">
        <f t="shared" si="16"/>
        <v>n.a.</v>
      </c>
      <c r="F72" s="31">
        <f t="shared" si="16"/>
        <v>0.19679937864016694</v>
      </c>
      <c r="G72" s="31">
        <f t="shared" si="16"/>
        <v>0.6162235818129973</v>
      </c>
      <c r="H72" s="31">
        <f t="shared" si="16"/>
        <v>0.6853597861722216</v>
      </c>
      <c r="I72" s="31">
        <f t="shared" si="16"/>
        <v>0.87169942308907156</v>
      </c>
      <c r="J72" s="31">
        <f t="shared" si="16"/>
        <v>0.98384107869575899</v>
      </c>
      <c r="K72" s="31" t="str">
        <f t="shared" si="16"/>
        <v>n.a.</v>
      </c>
      <c r="L72" s="31" t="str">
        <f t="shared" si="16"/>
        <v>n.a.</v>
      </c>
      <c r="M72" s="31" t="str">
        <f t="shared" si="16"/>
        <v>n.a.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>
      <c r="A73" s="2">
        <v>-47</v>
      </c>
      <c r="B73" s="2"/>
      <c r="C73" s="2"/>
      <c r="D73" s="31" t="str">
        <f t="shared" ref="D73:M73" si="17">IF(D29="n.a.","n.a.",1-(1/D$59^b_t)*((D$58-b_H)/a_H-$A73)^b_t)</f>
        <v>n.a.</v>
      </c>
      <c r="E73" s="31" t="str">
        <f t="shared" si="17"/>
        <v>n.a.</v>
      </c>
      <c r="F73" s="31">
        <f t="shared" si="17"/>
        <v>0.41003630927524182</v>
      </c>
      <c r="G73" s="31">
        <f t="shared" si="17"/>
        <v>0.7500680499712522</v>
      </c>
      <c r="H73" s="31">
        <f t="shared" si="17"/>
        <v>0.80309681923635101</v>
      </c>
      <c r="I73" s="31">
        <f t="shared" si="17"/>
        <v>0.93654180764805628</v>
      </c>
      <c r="J73" s="31">
        <f t="shared" si="17"/>
        <v>0.99784198073382979</v>
      </c>
      <c r="K73" s="31" t="str">
        <f t="shared" si="17"/>
        <v>n.a.</v>
      </c>
      <c r="L73" s="31" t="str">
        <f t="shared" si="17"/>
        <v>n.a.</v>
      </c>
      <c r="M73" s="31" t="str">
        <f t="shared" si="17"/>
        <v>n.a.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>
      <c r="A74" s="2">
        <v>-46</v>
      </c>
      <c r="B74" s="2"/>
      <c r="C74" s="2"/>
      <c r="D74" s="31" t="str">
        <f t="shared" ref="D74:M74" si="18">IF(D30="n.a.","n.a.",1-(1/D$59^b_t)*((D$58-b_H)/a_H-$A74)^b_t)</f>
        <v>n.a.</v>
      </c>
      <c r="E74" s="31">
        <f t="shared" si="18"/>
        <v>0.1596103596457451</v>
      </c>
      <c r="F74" s="31">
        <f t="shared" si="18"/>
        <v>0.58432750666032363</v>
      </c>
      <c r="G74" s="31">
        <f t="shared" si="18"/>
        <v>0.85049958753659283</v>
      </c>
      <c r="H74" s="31">
        <f t="shared" si="18"/>
        <v>0.88889623142395036</v>
      </c>
      <c r="I74" s="31">
        <f t="shared" si="18"/>
        <v>0.97590830221571168</v>
      </c>
      <c r="J74" s="31" t="str">
        <f t="shared" si="18"/>
        <v>n.a.</v>
      </c>
      <c r="K74" s="31" t="str">
        <f t="shared" si="18"/>
        <v>n.a.</v>
      </c>
      <c r="L74" s="31" t="str">
        <f t="shared" si="18"/>
        <v>n.a.</v>
      </c>
      <c r="M74" s="31" t="str">
        <f t="shared" si="18"/>
        <v>n.a.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>
      <c r="A75" s="2">
        <v>-45</v>
      </c>
      <c r="B75" s="2"/>
      <c r="C75" s="2"/>
      <c r="D75" s="31" t="str">
        <f t="shared" ref="D75:M75" si="19">IF(D31="n.a.","n.a.",1-(1/D$59^b_t)*((D$58-b_H)/a_H-$A75)^b_t)</f>
        <v>n.a.</v>
      </c>
      <c r="E75" s="31">
        <f t="shared" si="19"/>
        <v>0.37486084284534626</v>
      </c>
      <c r="F75" s="31">
        <f t="shared" si="19"/>
        <v>0.72269740995440557</v>
      </c>
      <c r="G75" s="31">
        <f t="shared" si="19"/>
        <v>0.92126115055203806</v>
      </c>
      <c r="H75" s="31">
        <f t="shared" si="19"/>
        <v>0.94671819054887862</v>
      </c>
      <c r="I75" s="31">
        <f t="shared" si="19"/>
        <v>0.99494298587359609</v>
      </c>
      <c r="J75" s="31" t="str">
        <f t="shared" si="19"/>
        <v>n.a.</v>
      </c>
      <c r="K75" s="31" t="str">
        <f t="shared" si="19"/>
        <v>n.a.</v>
      </c>
      <c r="L75" s="31" t="str">
        <f t="shared" si="19"/>
        <v>n.a.</v>
      </c>
      <c r="M75" s="31" t="str">
        <f t="shared" si="19"/>
        <v>n.a.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</row>
    <row r="76" spans="1:71">
      <c r="A76" s="2">
        <v>-44</v>
      </c>
      <c r="B76" s="2"/>
      <c r="C76" s="2"/>
      <c r="D76" s="31">
        <f t="shared" ref="D76:M76" si="20">IF(D32="n.a.","n.a.",1-(1/D$59^b_t)*((D$58-b_H)/a_H-$A76)^b_t)</f>
        <v>0.12303520602480733</v>
      </c>
      <c r="E76" s="31">
        <f t="shared" si="20"/>
        <v>0.55234541921549585</v>
      </c>
      <c r="F76" s="31">
        <f t="shared" si="20"/>
        <v>0.82835205169175863</v>
      </c>
      <c r="G76" s="31">
        <f t="shared" si="20"/>
        <v>0.96644611842575834</v>
      </c>
      <c r="H76" s="31">
        <f t="shared" si="20"/>
        <v>0.98094569916168151</v>
      </c>
      <c r="I76" s="31">
        <f t="shared" si="20"/>
        <v>0.99994400850416809</v>
      </c>
      <c r="J76" s="31" t="str">
        <f t="shared" si="20"/>
        <v>n.a.</v>
      </c>
      <c r="K76" s="31" t="str">
        <f t="shared" si="20"/>
        <v>n.a.</v>
      </c>
      <c r="L76" s="31" t="str">
        <f t="shared" si="20"/>
        <v>n.a.</v>
      </c>
      <c r="M76" s="31" t="str">
        <f t="shared" si="20"/>
        <v>n.a.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>
      <c r="A77" s="2">
        <v>-43</v>
      </c>
      <c r="B77" s="2"/>
      <c r="C77" s="2"/>
      <c r="D77" s="31">
        <f t="shared" ref="D77:M77" si="21">IF(D33="n.a.","n.a.",1-(1/D$59^b_t)*((D$58-b_H)/a_H-$A77)^b_t)</f>
        <v>0.34000656074196967</v>
      </c>
      <c r="E77" s="31">
        <f t="shared" si="21"/>
        <v>0.6948659988856899</v>
      </c>
      <c r="F77" s="31">
        <f t="shared" si="21"/>
        <v>0.90472432419742976</v>
      </c>
      <c r="G77" s="31">
        <f t="shared" si="21"/>
        <v>0.99065249879146955</v>
      </c>
      <c r="H77" s="31">
        <f t="shared" si="21"/>
        <v>0.99660938715785474</v>
      </c>
      <c r="I77" s="31" t="str">
        <f t="shared" si="21"/>
        <v>n.a.</v>
      </c>
      <c r="J77" s="31" t="str">
        <f t="shared" si="21"/>
        <v>n.a.</v>
      </c>
      <c r="K77" s="31" t="str">
        <f t="shared" si="21"/>
        <v>n.a.</v>
      </c>
      <c r="L77" s="31" t="str">
        <f t="shared" si="21"/>
        <v>n.a.</v>
      </c>
      <c r="M77" s="31" t="str">
        <f t="shared" si="21"/>
        <v>n.a.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>
      <c r="A78" s="2">
        <v>-42</v>
      </c>
      <c r="B78" s="2"/>
      <c r="C78" s="2"/>
      <c r="D78" s="31">
        <f t="shared" ref="D78:M78" si="22">IF(D34="n.a.","n.a.",1-(1/D$59^b_t)*((D$58-b_H)/a_H-$A78)^b_t)</f>
        <v>0.52035218879776346</v>
      </c>
      <c r="E78" s="31">
        <f t="shared" si="22"/>
        <v>0.80538404591262525</v>
      </c>
      <c r="F78" s="31">
        <f t="shared" si="22"/>
        <v>0.95554311661023017</v>
      </c>
      <c r="G78" s="31">
        <f t="shared" si="22"/>
        <v>0.99931959694545647</v>
      </c>
      <c r="H78" s="31">
        <f t="shared" si="22"/>
        <v>0.99999800135626549</v>
      </c>
      <c r="I78" s="31" t="str">
        <f t="shared" si="22"/>
        <v>n.a.</v>
      </c>
      <c r="J78" s="31" t="str">
        <f t="shared" si="22"/>
        <v>n.a.</v>
      </c>
      <c r="K78" s="31" t="str">
        <f t="shared" si="22"/>
        <v>n.a.</v>
      </c>
      <c r="L78" s="31" t="str">
        <f t="shared" si="22"/>
        <v>n.a.</v>
      </c>
      <c r="M78" s="31" t="str">
        <f t="shared" si="22"/>
        <v>n.a.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>
      <c r="A79" s="2">
        <v>-41</v>
      </c>
      <c r="B79" s="2"/>
      <c r="C79" s="2"/>
      <c r="D79" s="31">
        <f t="shared" ref="D79:M79" si="23">IF(D35="n.a.","n.a.",1-(1/D$59^b_t)*((D$58-b_H)/a_H-$A79)^b_t)</f>
        <v>0.66667332431664761</v>
      </c>
      <c r="E79" s="31">
        <f t="shared" si="23"/>
        <v>0.88705791686422342</v>
      </c>
      <c r="F79" s="31">
        <f t="shared" si="23"/>
        <v>0.98494974871031349</v>
      </c>
      <c r="G79" s="31" t="str">
        <f t="shared" si="23"/>
        <v>n.a.</v>
      </c>
      <c r="H79" s="31" t="str">
        <f t="shared" si="23"/>
        <v>n.a.</v>
      </c>
      <c r="I79" s="31" t="str">
        <f t="shared" si="23"/>
        <v>n.a.</v>
      </c>
      <c r="J79" s="31" t="str">
        <f t="shared" si="23"/>
        <v>n.a.</v>
      </c>
      <c r="K79" s="31" t="str">
        <f t="shared" si="23"/>
        <v>n.a.</v>
      </c>
      <c r="L79" s="31" t="str">
        <f t="shared" si="23"/>
        <v>n.a.</v>
      </c>
      <c r="M79" s="31" t="str">
        <f t="shared" si="23"/>
        <v>n.a.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>
      <c r="A80" s="2">
        <v>-40</v>
      </c>
      <c r="B80" s="2"/>
      <c r="C80" s="2"/>
      <c r="D80" s="31">
        <f t="shared" ref="D80:M80" si="24">IF(D36="n.a.","n.a.",1-(1/D$59^b_t)*((D$58-b_H)/a_H-$A80)^b_t)</f>
        <v>0.78171206734521048</v>
      </c>
      <c r="E80" s="31">
        <f t="shared" si="24"/>
        <v>0.94329840428863376</v>
      </c>
      <c r="F80" s="31">
        <f t="shared" si="24"/>
        <v>0.997729251012614</v>
      </c>
      <c r="G80" s="31" t="str">
        <f t="shared" si="24"/>
        <v>n.a.</v>
      </c>
      <c r="H80" s="31" t="str">
        <f t="shared" si="24"/>
        <v>n.a.</v>
      </c>
      <c r="I80" s="31" t="str">
        <f t="shared" si="24"/>
        <v>n.a.</v>
      </c>
      <c r="J80" s="31" t="str">
        <f t="shared" si="24"/>
        <v>n.a.</v>
      </c>
      <c r="K80" s="31" t="str">
        <f t="shared" si="24"/>
        <v>n.a.</v>
      </c>
      <c r="L80" s="31" t="str">
        <f t="shared" si="24"/>
        <v>n.a.</v>
      </c>
      <c r="M80" s="31" t="str">
        <f t="shared" si="24"/>
        <v>n.a.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>
      <c r="A81" s="2">
        <v>-39</v>
      </c>
      <c r="B81" s="2"/>
      <c r="C81" s="2"/>
      <c r="D81" s="31">
        <f t="shared" ref="D81:E95" si="25">IF(D37="n.a.","n.a.",1-(1/D$59^b_t)*((D$58-b_H)/a_H-$A81)^b_t)</f>
        <v>0.86838245147411375</v>
      </c>
      <c r="E81" s="31">
        <f t="shared" si="25"/>
        <v>0.97785858495982125</v>
      </c>
      <c r="F81" s="31" t="s">
        <v>69</v>
      </c>
      <c r="G81" s="31" t="str">
        <f t="shared" ref="G81:M95" si="26">IF(G37="n.a.","n.a.",1-(1/G$59^b_t)*((G$58-b_H)/a_H-$A81)^b_t)</f>
        <v>n.a.</v>
      </c>
      <c r="H81" s="31" t="str">
        <f t="shared" si="26"/>
        <v>n.a.</v>
      </c>
      <c r="I81" s="31" t="str">
        <f t="shared" si="26"/>
        <v>n.a.</v>
      </c>
      <c r="J81" s="31" t="str">
        <f t="shared" si="26"/>
        <v>n.a.</v>
      </c>
      <c r="K81" s="31" t="str">
        <f t="shared" si="26"/>
        <v>n.a.</v>
      </c>
      <c r="L81" s="31" t="str">
        <f t="shared" si="26"/>
        <v>n.a.</v>
      </c>
      <c r="M81" s="31" t="str">
        <f t="shared" si="26"/>
        <v>n.a.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>
      <c r="A82" s="2">
        <v>-38</v>
      </c>
      <c r="B82" s="2"/>
      <c r="C82" s="2"/>
      <c r="D82" s="31">
        <f t="shared" si="25"/>
        <v>0.92981560035546351</v>
      </c>
      <c r="E82" s="31">
        <f t="shared" si="25"/>
        <v>0.99499997252588435</v>
      </c>
      <c r="F82" s="31" t="str">
        <f t="shared" ref="F82:F95" si="27">IF(F38="n.a.","n.a.",1-(1/F$59^b_t)*((F$58-b_H)/a_H-$A82)^b_t)</f>
        <v>n.a.</v>
      </c>
      <c r="G82" s="31" t="str">
        <f t="shared" si="26"/>
        <v>n.a.</v>
      </c>
      <c r="H82" s="31" t="str">
        <f t="shared" si="26"/>
        <v>n.a.</v>
      </c>
      <c r="I82" s="31" t="str">
        <f t="shared" si="26"/>
        <v>n.a.</v>
      </c>
      <c r="J82" s="31" t="str">
        <f t="shared" si="26"/>
        <v>n.a.</v>
      </c>
      <c r="K82" s="31" t="str">
        <f t="shared" si="26"/>
        <v>n.a.</v>
      </c>
      <c r="L82" s="31" t="str">
        <f t="shared" si="26"/>
        <v>n.a.</v>
      </c>
      <c r="M82" s="31" t="str">
        <f t="shared" si="26"/>
        <v>n.a.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>
      <c r="A83" s="2">
        <v>-37</v>
      </c>
      <c r="B83" s="2"/>
      <c r="C83" s="2"/>
      <c r="D83" s="31">
        <f t="shared" si="25"/>
        <v>0.96943032039195898</v>
      </c>
      <c r="E83" s="31">
        <f t="shared" si="25"/>
        <v>0.99989358516601035</v>
      </c>
      <c r="F83" s="31" t="str">
        <f t="shared" si="27"/>
        <v>n.a.</v>
      </c>
      <c r="G83" s="31" t="str">
        <f t="shared" si="26"/>
        <v>n.a.</v>
      </c>
      <c r="H83" s="31" t="str">
        <f t="shared" si="26"/>
        <v>n.a.</v>
      </c>
      <c r="I83" s="31" t="str">
        <f t="shared" si="26"/>
        <v>n.a.</v>
      </c>
      <c r="J83" s="31" t="str">
        <f t="shared" si="26"/>
        <v>n.a.</v>
      </c>
      <c r="K83" s="31" t="str">
        <f t="shared" si="26"/>
        <v>n.a.</v>
      </c>
      <c r="L83" s="31" t="str">
        <f t="shared" si="26"/>
        <v>n.a.</v>
      </c>
      <c r="M83" s="31" t="str">
        <f t="shared" si="26"/>
        <v>n.a.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>
      <c r="A84" s="2">
        <v>-36</v>
      </c>
      <c r="B84" s="2"/>
      <c r="C84" s="2"/>
      <c r="D84" s="31">
        <f t="shared" si="25"/>
        <v>0.99105644917521774</v>
      </c>
      <c r="E84" s="31" t="str">
        <f t="shared" si="25"/>
        <v>n.a.</v>
      </c>
      <c r="F84" s="31" t="str">
        <f t="shared" si="27"/>
        <v>n.a.</v>
      </c>
      <c r="G84" s="31" t="str">
        <f t="shared" si="26"/>
        <v>n.a.</v>
      </c>
      <c r="H84" s="31" t="str">
        <f t="shared" si="26"/>
        <v>n.a.</v>
      </c>
      <c r="I84" s="31" t="str">
        <f t="shared" si="26"/>
        <v>n.a.</v>
      </c>
      <c r="J84" s="31" t="str">
        <f t="shared" si="26"/>
        <v>n.a.</v>
      </c>
      <c r="K84" s="31" t="str">
        <f t="shared" si="26"/>
        <v>n.a.</v>
      </c>
      <c r="L84" s="31" t="str">
        <f t="shared" si="26"/>
        <v>n.a.</v>
      </c>
      <c r="M84" s="31" t="str">
        <f t="shared" si="26"/>
        <v>n.a.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>
      <c r="A85" s="2">
        <v>-35</v>
      </c>
      <c r="B85" s="2"/>
      <c r="C85" s="2"/>
      <c r="D85" s="31">
        <f t="shared" si="25"/>
        <v>0.999197898620097</v>
      </c>
      <c r="E85" s="31" t="str">
        <f t="shared" si="25"/>
        <v>n.a.</v>
      </c>
      <c r="F85" s="31" t="str">
        <f t="shared" si="27"/>
        <v>n.a.</v>
      </c>
      <c r="G85" s="31" t="str">
        <f t="shared" si="26"/>
        <v>n.a.</v>
      </c>
      <c r="H85" s="31" t="str">
        <f t="shared" si="26"/>
        <v>n.a.</v>
      </c>
      <c r="I85" s="31" t="str">
        <f t="shared" si="26"/>
        <v>n.a.</v>
      </c>
      <c r="J85" s="31" t="str">
        <f t="shared" si="26"/>
        <v>n.a.</v>
      </c>
      <c r="K85" s="31" t="str">
        <f t="shared" si="26"/>
        <v>n.a.</v>
      </c>
      <c r="L85" s="31" t="str">
        <f t="shared" si="26"/>
        <v>n.a.</v>
      </c>
      <c r="M85" s="31" t="str">
        <f t="shared" si="26"/>
        <v>n.a.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>
      <c r="A86" s="2">
        <v>-34</v>
      </c>
      <c r="B86" s="2"/>
      <c r="C86" s="2"/>
      <c r="D86" s="31" t="str">
        <f t="shared" si="25"/>
        <v>n.a.</v>
      </c>
      <c r="E86" s="31" t="str">
        <f t="shared" si="25"/>
        <v>n.a.</v>
      </c>
      <c r="F86" s="31" t="str">
        <f t="shared" si="27"/>
        <v>n.a.</v>
      </c>
      <c r="G86" s="31" t="str">
        <f t="shared" si="26"/>
        <v>n.a.</v>
      </c>
      <c r="H86" s="31" t="str">
        <f t="shared" si="26"/>
        <v>n.a.</v>
      </c>
      <c r="I86" s="31" t="str">
        <f t="shared" si="26"/>
        <v>n.a.</v>
      </c>
      <c r="J86" s="31" t="str">
        <f t="shared" si="26"/>
        <v>n.a.</v>
      </c>
      <c r="K86" s="31" t="str">
        <f t="shared" si="26"/>
        <v>n.a.</v>
      </c>
      <c r="L86" s="31" t="str">
        <f t="shared" si="26"/>
        <v>n.a.</v>
      </c>
      <c r="M86" s="31" t="str">
        <f t="shared" si="26"/>
        <v>n.a.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>
      <c r="A87" s="2">
        <v>-33</v>
      </c>
      <c r="B87" s="2"/>
      <c r="C87" s="2"/>
      <c r="D87" s="31" t="str">
        <f t="shared" si="25"/>
        <v>n.a.</v>
      </c>
      <c r="E87" s="31" t="str">
        <f t="shared" si="25"/>
        <v>n.a.</v>
      </c>
      <c r="F87" s="31" t="str">
        <f t="shared" si="27"/>
        <v>n.a.</v>
      </c>
      <c r="G87" s="31" t="str">
        <f t="shared" si="26"/>
        <v>n.a.</v>
      </c>
      <c r="H87" s="31" t="str">
        <f t="shared" si="26"/>
        <v>n.a.</v>
      </c>
      <c r="I87" s="31" t="str">
        <f t="shared" si="26"/>
        <v>n.a.</v>
      </c>
      <c r="J87" s="31" t="str">
        <f t="shared" si="26"/>
        <v>n.a.</v>
      </c>
      <c r="K87" s="31" t="str">
        <f t="shared" si="26"/>
        <v>n.a.</v>
      </c>
      <c r="L87" s="31" t="str">
        <f t="shared" si="26"/>
        <v>n.a.</v>
      </c>
      <c r="M87" s="31" t="str">
        <f t="shared" si="26"/>
        <v>n.a.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>
      <c r="A88" s="2">
        <v>-32</v>
      </c>
      <c r="B88" s="2"/>
      <c r="C88" s="2"/>
      <c r="D88" s="31" t="str">
        <f t="shared" si="25"/>
        <v>n.a.</v>
      </c>
      <c r="E88" s="31" t="str">
        <f t="shared" si="25"/>
        <v>n.a.</v>
      </c>
      <c r="F88" s="31" t="str">
        <f t="shared" si="27"/>
        <v>n.a.</v>
      </c>
      <c r="G88" s="31" t="str">
        <f t="shared" si="26"/>
        <v>n.a.</v>
      </c>
      <c r="H88" s="31" t="str">
        <f t="shared" si="26"/>
        <v>n.a.</v>
      </c>
      <c r="I88" s="31" t="str">
        <f t="shared" si="26"/>
        <v>n.a.</v>
      </c>
      <c r="J88" s="31" t="str">
        <f t="shared" si="26"/>
        <v>n.a.</v>
      </c>
      <c r="K88" s="31" t="str">
        <f t="shared" si="26"/>
        <v>n.a.</v>
      </c>
      <c r="L88" s="31" t="str">
        <f t="shared" si="26"/>
        <v>n.a.</v>
      </c>
      <c r="M88" s="31" t="str">
        <f t="shared" si="26"/>
        <v>n.a.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>
      <c r="A89" s="2">
        <v>-31</v>
      </c>
      <c r="B89" s="2"/>
      <c r="C89" s="2"/>
      <c r="D89" s="31" t="str">
        <f t="shared" si="25"/>
        <v>n.a.</v>
      </c>
      <c r="E89" s="31" t="str">
        <f t="shared" si="25"/>
        <v>n.a.</v>
      </c>
      <c r="F89" s="31" t="str">
        <f t="shared" si="27"/>
        <v>n.a.</v>
      </c>
      <c r="G89" s="31" t="str">
        <f t="shared" si="26"/>
        <v>n.a.</v>
      </c>
      <c r="H89" s="31" t="str">
        <f t="shared" si="26"/>
        <v>n.a.</v>
      </c>
      <c r="I89" s="31" t="str">
        <f t="shared" si="26"/>
        <v>n.a.</v>
      </c>
      <c r="J89" s="31" t="str">
        <f t="shared" si="26"/>
        <v>n.a.</v>
      </c>
      <c r="K89" s="31" t="str">
        <f t="shared" si="26"/>
        <v>n.a.</v>
      </c>
      <c r="L89" s="31" t="str">
        <f t="shared" si="26"/>
        <v>n.a.</v>
      </c>
      <c r="M89" s="31" t="str">
        <f t="shared" si="26"/>
        <v>n.a.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>
      <c r="A90" s="2">
        <v>-30</v>
      </c>
      <c r="B90" s="2"/>
      <c r="C90" s="2"/>
      <c r="D90" s="31" t="str">
        <f t="shared" si="25"/>
        <v>n.a.</v>
      </c>
      <c r="E90" s="31" t="str">
        <f t="shared" si="25"/>
        <v>n.a.</v>
      </c>
      <c r="F90" s="31" t="str">
        <f t="shared" si="27"/>
        <v>n.a.</v>
      </c>
      <c r="G90" s="31" t="str">
        <f t="shared" si="26"/>
        <v>n.a.</v>
      </c>
      <c r="H90" s="31" t="str">
        <f t="shared" si="26"/>
        <v>n.a.</v>
      </c>
      <c r="I90" s="31" t="str">
        <f t="shared" si="26"/>
        <v>n.a.</v>
      </c>
      <c r="J90" s="31" t="str">
        <f t="shared" si="26"/>
        <v>n.a.</v>
      </c>
      <c r="K90" s="31" t="str">
        <f t="shared" si="26"/>
        <v>n.a.</v>
      </c>
      <c r="L90" s="31" t="str">
        <f t="shared" si="26"/>
        <v>n.a.</v>
      </c>
      <c r="M90" s="31" t="str">
        <f t="shared" si="26"/>
        <v>n.a.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>
      <c r="A91" s="2">
        <v>-29</v>
      </c>
      <c r="B91" s="2"/>
      <c r="C91" s="2"/>
      <c r="D91" s="31" t="str">
        <f t="shared" si="25"/>
        <v>n.a.</v>
      </c>
      <c r="E91" s="31" t="str">
        <f t="shared" si="25"/>
        <v>n.a.</v>
      </c>
      <c r="F91" s="31" t="str">
        <f t="shared" si="27"/>
        <v>n.a.</v>
      </c>
      <c r="G91" s="31" t="str">
        <f t="shared" si="26"/>
        <v>n.a.</v>
      </c>
      <c r="H91" s="31" t="str">
        <f t="shared" si="26"/>
        <v>n.a.</v>
      </c>
      <c r="I91" s="31" t="str">
        <f t="shared" si="26"/>
        <v>n.a.</v>
      </c>
      <c r="J91" s="31" t="str">
        <f t="shared" si="26"/>
        <v>n.a.</v>
      </c>
      <c r="K91" s="31" t="str">
        <f t="shared" si="26"/>
        <v>n.a.</v>
      </c>
      <c r="L91" s="31" t="str">
        <f t="shared" si="26"/>
        <v>n.a.</v>
      </c>
      <c r="M91" s="31" t="str">
        <f t="shared" si="26"/>
        <v>n.a.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>
      <c r="A92" s="2">
        <v>-28</v>
      </c>
      <c r="B92" s="2"/>
      <c r="C92" s="2"/>
      <c r="D92" s="31" t="str">
        <f t="shared" si="25"/>
        <v>n.a.</v>
      </c>
      <c r="E92" s="31" t="str">
        <f t="shared" si="25"/>
        <v>n.a.</v>
      </c>
      <c r="F92" s="31" t="str">
        <f t="shared" si="27"/>
        <v>n.a.</v>
      </c>
      <c r="G92" s="31" t="str">
        <f t="shared" si="26"/>
        <v>n.a.</v>
      </c>
      <c r="H92" s="31" t="str">
        <f t="shared" si="26"/>
        <v>n.a.</v>
      </c>
      <c r="I92" s="31" t="str">
        <f t="shared" si="26"/>
        <v>n.a.</v>
      </c>
      <c r="J92" s="31" t="str">
        <f t="shared" si="26"/>
        <v>n.a.</v>
      </c>
      <c r="K92" s="31" t="str">
        <f t="shared" si="26"/>
        <v>n.a.</v>
      </c>
      <c r="L92" s="31" t="str">
        <f t="shared" si="26"/>
        <v>n.a.</v>
      </c>
      <c r="M92" s="31" t="str">
        <f t="shared" si="26"/>
        <v>n.a.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>
      <c r="A93" s="2">
        <v>-27</v>
      </c>
      <c r="B93" s="2"/>
      <c r="C93" s="2"/>
      <c r="D93" s="31" t="str">
        <f t="shared" si="25"/>
        <v>n.a.</v>
      </c>
      <c r="E93" s="31" t="str">
        <f t="shared" si="25"/>
        <v>n.a.</v>
      </c>
      <c r="F93" s="31" t="str">
        <f t="shared" si="27"/>
        <v>n.a.</v>
      </c>
      <c r="G93" s="31" t="str">
        <f t="shared" si="26"/>
        <v>n.a.</v>
      </c>
      <c r="H93" s="31" t="str">
        <f t="shared" si="26"/>
        <v>n.a.</v>
      </c>
      <c r="I93" s="31" t="str">
        <f t="shared" si="26"/>
        <v>n.a.</v>
      </c>
      <c r="J93" s="31" t="str">
        <f t="shared" si="26"/>
        <v>n.a.</v>
      </c>
      <c r="K93" s="31" t="str">
        <f t="shared" si="26"/>
        <v>n.a.</v>
      </c>
      <c r="L93" s="31" t="str">
        <f t="shared" si="26"/>
        <v>n.a.</v>
      </c>
      <c r="M93" s="31" t="str">
        <f t="shared" si="26"/>
        <v>n.a.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>
      <c r="A94" s="2">
        <v>-26</v>
      </c>
      <c r="B94" s="2"/>
      <c r="C94" s="2"/>
      <c r="D94" s="31" t="str">
        <f t="shared" si="25"/>
        <v>n.a.</v>
      </c>
      <c r="E94" s="31" t="str">
        <f t="shared" si="25"/>
        <v>n.a.</v>
      </c>
      <c r="F94" s="31" t="str">
        <f t="shared" si="27"/>
        <v>n.a.</v>
      </c>
      <c r="G94" s="31" t="str">
        <f t="shared" si="26"/>
        <v>n.a.</v>
      </c>
      <c r="H94" s="31" t="str">
        <f t="shared" si="26"/>
        <v>n.a.</v>
      </c>
      <c r="I94" s="31" t="str">
        <f t="shared" si="26"/>
        <v>n.a.</v>
      </c>
      <c r="J94" s="31" t="str">
        <f t="shared" si="26"/>
        <v>n.a.</v>
      </c>
      <c r="K94" s="31" t="str">
        <f t="shared" si="26"/>
        <v>n.a.</v>
      </c>
      <c r="L94" s="31" t="str">
        <f t="shared" si="26"/>
        <v>n.a.</v>
      </c>
      <c r="M94" s="31" t="str">
        <f t="shared" si="26"/>
        <v>n.a.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>
      <c r="A95" s="2">
        <v>-25</v>
      </c>
      <c r="B95" s="2"/>
      <c r="C95" s="2"/>
      <c r="D95" s="31" t="str">
        <f t="shared" si="25"/>
        <v>n.a.</v>
      </c>
      <c r="E95" s="31" t="str">
        <f t="shared" si="25"/>
        <v>n.a.</v>
      </c>
      <c r="F95" s="31" t="str">
        <f t="shared" si="27"/>
        <v>n.a.</v>
      </c>
      <c r="G95" s="31" t="str">
        <f t="shared" si="26"/>
        <v>n.a.</v>
      </c>
      <c r="H95" s="31" t="str">
        <f t="shared" si="26"/>
        <v>n.a.</v>
      </c>
      <c r="I95" s="31" t="str">
        <f t="shared" si="26"/>
        <v>n.a.</v>
      </c>
      <c r="J95" s="31" t="str">
        <f t="shared" si="26"/>
        <v>n.a.</v>
      </c>
      <c r="K95" s="31" t="str">
        <f t="shared" si="26"/>
        <v>n.a.</v>
      </c>
      <c r="L95" s="31" t="str">
        <f t="shared" si="26"/>
        <v>n.a.</v>
      </c>
      <c r="M95" s="31" t="str">
        <f t="shared" si="26"/>
        <v>n.a.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21">
      <c r="A98" s="1" t="s">
        <v>77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>
      <c r="A100" s="2" t="s">
        <v>78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>
      <c r="A102" s="2" t="s">
        <v>73</v>
      </c>
      <c r="B102" s="2"/>
      <c r="C102" s="2"/>
      <c r="D102" s="2">
        <v>20000</v>
      </c>
      <c r="E102" s="2">
        <v>25000</v>
      </c>
      <c r="F102" s="2">
        <v>30000</v>
      </c>
      <c r="G102" s="2">
        <v>35000</v>
      </c>
      <c r="H102" s="2">
        <v>36089</v>
      </c>
      <c r="I102" s="2">
        <v>40000</v>
      </c>
      <c r="J102" s="2">
        <v>45000</v>
      </c>
      <c r="K102" s="2">
        <v>50000</v>
      </c>
      <c r="L102" s="2">
        <v>55000</v>
      </c>
      <c r="M102" s="2">
        <v>60000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>
      <c r="A103" s="28" t="s">
        <v>74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>
      <c r="A104" s="2">
        <v>-60</v>
      </c>
      <c r="B104" s="2"/>
      <c r="C104" s="2"/>
      <c r="D104" s="32" t="str">
        <f t="shared" ref="D104:H113" si="28">IF(D16="n.a.","n.a.",(D60-D16))</f>
        <v>n.a.</v>
      </c>
      <c r="E104" s="32" t="str">
        <f t="shared" si="28"/>
        <v>n.a.</v>
      </c>
      <c r="F104" s="32" t="str">
        <f t="shared" si="28"/>
        <v>n.a.</v>
      </c>
      <c r="G104" s="32" t="str">
        <f t="shared" si="28"/>
        <v>n.a.</v>
      </c>
      <c r="H104" s="32" t="str">
        <f t="shared" si="28"/>
        <v>n.a.</v>
      </c>
      <c r="I104" s="32" t="str">
        <f t="shared" ref="I104:M104" si="29">IF(I16="n.a.","n.a.",(I60-I16))</f>
        <v>n.a.</v>
      </c>
      <c r="J104" s="32" t="str">
        <f t="shared" si="29"/>
        <v>n.a.</v>
      </c>
      <c r="K104" s="32" t="str">
        <f t="shared" si="29"/>
        <v>n.a.</v>
      </c>
      <c r="L104" s="32" t="str">
        <f t="shared" si="29"/>
        <v>n.a.</v>
      </c>
      <c r="M104" s="32">
        <f t="shared" si="29"/>
        <v>-2.7098613158439311E-2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>
      <c r="A105" s="2">
        <v>-59</v>
      </c>
      <c r="B105" s="2"/>
      <c r="C105" s="2"/>
      <c r="D105" s="32" t="str">
        <f t="shared" si="28"/>
        <v>n.a.</v>
      </c>
      <c r="E105" s="32" t="str">
        <f t="shared" si="28"/>
        <v>n.a.</v>
      </c>
      <c r="F105" s="32" t="str">
        <f t="shared" si="28"/>
        <v>n.a.</v>
      </c>
      <c r="G105" s="32" t="str">
        <f t="shared" si="28"/>
        <v>n.a.</v>
      </c>
      <c r="H105" s="32" t="str">
        <f t="shared" si="28"/>
        <v>n.a.</v>
      </c>
      <c r="I105" s="32" t="str">
        <f t="shared" ref="I105:M105" si="30">IF(I17="n.a.","n.a.",(I61-I17))</f>
        <v>n.a.</v>
      </c>
      <c r="J105" s="32" t="str">
        <f t="shared" si="30"/>
        <v>n.a.</v>
      </c>
      <c r="K105" s="32" t="str">
        <f t="shared" si="30"/>
        <v>n.a.</v>
      </c>
      <c r="L105" s="32">
        <f t="shared" si="30"/>
        <v>-5.0612861804733289E-2</v>
      </c>
      <c r="M105" s="32">
        <f t="shared" si="30"/>
        <v>-1.910950356556318E-2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>
      <c r="A106" s="2">
        <v>-58</v>
      </c>
      <c r="B106" s="2"/>
      <c r="C106" s="2"/>
      <c r="D106" s="32" t="str">
        <f t="shared" si="28"/>
        <v>n.a.</v>
      </c>
      <c r="E106" s="32" t="str">
        <f t="shared" si="28"/>
        <v>n.a.</v>
      </c>
      <c r="F106" s="32" t="str">
        <f t="shared" si="28"/>
        <v>n.a.</v>
      </c>
      <c r="G106" s="32" t="str">
        <f t="shared" si="28"/>
        <v>n.a.</v>
      </c>
      <c r="H106" s="32" t="str">
        <f t="shared" si="28"/>
        <v>n.a.</v>
      </c>
      <c r="I106" s="32" t="str">
        <f t="shared" ref="I106:M106" si="31">IF(I18="n.a.","n.a.",(I62-I18))</f>
        <v>n.a.</v>
      </c>
      <c r="J106" s="32" t="str">
        <f t="shared" si="31"/>
        <v>n.a.</v>
      </c>
      <c r="K106" s="32" t="str">
        <f t="shared" si="31"/>
        <v>n.a.</v>
      </c>
      <c r="L106" s="32">
        <f t="shared" si="31"/>
        <v>-4.9325341634235742E-2</v>
      </c>
      <c r="M106" s="32">
        <f t="shared" si="31"/>
        <v>-8.2385868471885892E-3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>
      <c r="A107" s="2">
        <v>-57</v>
      </c>
      <c r="B107" s="2"/>
      <c r="C107" s="2"/>
      <c r="D107" s="32" t="str">
        <f t="shared" si="28"/>
        <v>n.a.</v>
      </c>
      <c r="E107" s="32" t="str">
        <f t="shared" si="28"/>
        <v>n.a.</v>
      </c>
      <c r="F107" s="32" t="str">
        <f t="shared" si="28"/>
        <v>n.a.</v>
      </c>
      <c r="G107" s="32" t="str">
        <f t="shared" si="28"/>
        <v>n.a.</v>
      </c>
      <c r="H107" s="32" t="str">
        <f t="shared" si="28"/>
        <v>n.a.</v>
      </c>
      <c r="I107" s="32" t="str">
        <f t="shared" ref="I107:M107" si="32">IF(I19="n.a.","n.a.",(I63-I19))</f>
        <v>n.a.</v>
      </c>
      <c r="J107" s="32" t="str">
        <f t="shared" si="32"/>
        <v>n.a.</v>
      </c>
      <c r="K107" s="32">
        <f t="shared" si="32"/>
        <v>-6.2164313812860444E-2</v>
      </c>
      <c r="L107" s="32">
        <f t="shared" si="32"/>
        <v>-3.7746779876216552E-2</v>
      </c>
      <c r="M107" s="32">
        <f t="shared" si="32"/>
        <v>7.2642837210346034E-4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>
      <c r="A108" s="2">
        <v>-56</v>
      </c>
      <c r="B108" s="2"/>
      <c r="C108" s="2"/>
      <c r="D108" s="32" t="str">
        <f t="shared" si="28"/>
        <v>n.a.</v>
      </c>
      <c r="E108" s="32" t="str">
        <f t="shared" si="28"/>
        <v>n.a.</v>
      </c>
      <c r="F108" s="32" t="str">
        <f t="shared" si="28"/>
        <v>n.a.</v>
      </c>
      <c r="G108" s="32" t="str">
        <f t="shared" si="28"/>
        <v>n.a.</v>
      </c>
      <c r="H108" s="32" t="str">
        <f t="shared" si="28"/>
        <v>n.a.</v>
      </c>
      <c r="I108" s="32" t="str">
        <f t="shared" ref="I108:M108" si="33">IF(I20="n.a.","n.a.",(I64-I20))</f>
        <v>n.a.</v>
      </c>
      <c r="J108" s="32" t="str">
        <f t="shared" si="33"/>
        <v>n.a.</v>
      </c>
      <c r="K108" s="32">
        <f t="shared" si="33"/>
        <v>-6.0731281072937626E-2</v>
      </c>
      <c r="L108" s="32">
        <f t="shared" si="33"/>
        <v>-2.3044653753440114E-2</v>
      </c>
      <c r="M108" s="32">
        <f t="shared" si="33"/>
        <v>5.2590396873489764E-3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>
      <c r="A109" s="2">
        <v>-55</v>
      </c>
      <c r="B109" s="2"/>
      <c r="C109" s="2"/>
      <c r="D109" s="32" t="str">
        <f t="shared" si="28"/>
        <v>n.a.</v>
      </c>
      <c r="E109" s="32" t="str">
        <f t="shared" si="28"/>
        <v>n.a.</v>
      </c>
      <c r="F109" s="32" t="str">
        <f t="shared" si="28"/>
        <v>n.a.</v>
      </c>
      <c r="G109" s="32" t="str">
        <f t="shared" si="28"/>
        <v>n.a.</v>
      </c>
      <c r="H109" s="32" t="str">
        <f t="shared" si="28"/>
        <v>n.a.</v>
      </c>
      <c r="I109" s="32" t="str">
        <f t="shared" ref="I109:M109" si="34">IF(I21="n.a.","n.a.",(I65-I21))</f>
        <v>n.a.</v>
      </c>
      <c r="J109" s="32">
        <f t="shared" si="34"/>
        <v>-5.8848122150178525E-2</v>
      </c>
      <c r="K109" s="32">
        <f t="shared" si="34"/>
        <v>-4.8431392126251138E-2</v>
      </c>
      <c r="L109" s="32">
        <f t="shared" si="34"/>
        <v>-1.0025927198497375E-2</v>
      </c>
      <c r="M109" s="32">
        <f t="shared" si="34"/>
        <v>4.9519096792924877E-3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>
      <c r="A110" s="2">
        <v>-54</v>
      </c>
      <c r="B110" s="2"/>
      <c r="C110" s="2"/>
      <c r="D110" s="32" t="str">
        <f t="shared" si="28"/>
        <v>n.a.</v>
      </c>
      <c r="E110" s="32" t="str">
        <f t="shared" si="28"/>
        <v>n.a.</v>
      </c>
      <c r="F110" s="32" t="str">
        <f t="shared" si="28"/>
        <v>n.a.</v>
      </c>
      <c r="G110" s="32" t="str">
        <f t="shared" si="28"/>
        <v>n.a.</v>
      </c>
      <c r="H110" s="32" t="str">
        <f t="shared" si="28"/>
        <v>n.a.</v>
      </c>
      <c r="I110" s="32" t="str">
        <f t="shared" ref="I110:M110" si="35">IF(I22="n.a.","n.a.",(I66-I22))</f>
        <v>n.a.</v>
      </c>
      <c r="J110" s="32">
        <f t="shared" si="35"/>
        <v>-6.0510891328259209E-2</v>
      </c>
      <c r="K110" s="32">
        <f t="shared" si="35"/>
        <v>-3.2329558127738856E-2</v>
      </c>
      <c r="L110" s="32">
        <f t="shared" si="35"/>
        <v>-1.4198028470449042E-3</v>
      </c>
      <c r="M110" s="32">
        <f t="shared" si="35"/>
        <v>1.6327340570522209E-3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>
      <c r="A111" s="2">
        <v>-53</v>
      </c>
      <c r="B111" s="2"/>
      <c r="C111" s="2"/>
      <c r="D111" s="32" t="str">
        <f t="shared" si="28"/>
        <v>n.a.</v>
      </c>
      <c r="E111" s="32" t="str">
        <f t="shared" si="28"/>
        <v>n.a.</v>
      </c>
      <c r="F111" s="32" t="str">
        <f t="shared" si="28"/>
        <v>n.a.</v>
      </c>
      <c r="G111" s="32" t="str">
        <f t="shared" si="28"/>
        <v>n.a.</v>
      </c>
      <c r="H111" s="32" t="str">
        <f t="shared" si="28"/>
        <v>n.a.</v>
      </c>
      <c r="I111" s="32">
        <f t="shared" ref="I111:M111" si="36">IF(I23="n.a.","n.a.",(I67-I23))</f>
        <v>-3.9548425010809393E-2</v>
      </c>
      <c r="J111" s="32">
        <f t="shared" si="36"/>
        <v>-5.0273723751168009E-2</v>
      </c>
      <c r="K111" s="32">
        <f t="shared" si="36"/>
        <v>-1.7290882255073026E-2</v>
      </c>
      <c r="L111" s="32">
        <f t="shared" si="36"/>
        <v>1.9612864431306498E-3</v>
      </c>
      <c r="M111" s="32" t="str">
        <f t="shared" si="36"/>
        <v>n.a.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>
      <c r="A112" s="2">
        <v>-52</v>
      </c>
      <c r="B112" s="2"/>
      <c r="C112" s="2"/>
      <c r="D112" s="32" t="str">
        <f t="shared" si="28"/>
        <v>n.a.</v>
      </c>
      <c r="E112" s="32" t="str">
        <f t="shared" si="28"/>
        <v>n.a.</v>
      </c>
      <c r="F112" s="32" t="str">
        <f t="shared" si="28"/>
        <v>n.a.</v>
      </c>
      <c r="G112" s="32" t="str">
        <f t="shared" si="28"/>
        <v>n.a.</v>
      </c>
      <c r="H112" s="32" t="str">
        <f t="shared" si="28"/>
        <v>n.a.</v>
      </c>
      <c r="I112" s="32">
        <f t="shared" ref="I112:M112" si="37">IF(I24="n.a.","n.a.",(I68-I24))</f>
        <v>-4.7491764871137931E-2</v>
      </c>
      <c r="J112" s="32">
        <f t="shared" si="37"/>
        <v>-3.5162728567005308E-2</v>
      </c>
      <c r="K112" s="32">
        <f t="shared" si="37"/>
        <v>-6.2524589276901077E-3</v>
      </c>
      <c r="L112" s="32">
        <f t="shared" si="37"/>
        <v>1.2425714927478682E-3</v>
      </c>
      <c r="M112" s="32" t="str">
        <f t="shared" si="37"/>
        <v>n.a.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>
      <c r="A113" s="2">
        <v>-51</v>
      </c>
      <c r="B113" s="2"/>
      <c r="C113" s="2"/>
      <c r="D113" s="32" t="str">
        <f t="shared" si="28"/>
        <v>n.a.</v>
      </c>
      <c r="E113" s="32" t="str">
        <f t="shared" si="28"/>
        <v>n.a.</v>
      </c>
      <c r="F113" s="32" t="str">
        <f t="shared" si="28"/>
        <v>n.a.</v>
      </c>
      <c r="G113" s="32" t="str">
        <f t="shared" si="28"/>
        <v>n.a.</v>
      </c>
      <c r="H113" s="32">
        <f t="shared" si="28"/>
        <v>-2.1234494634826018E-2</v>
      </c>
      <c r="I113" s="32">
        <f t="shared" ref="I113:M113" si="38">IF(I25="n.a.","n.a.",(I69-I25))</f>
        <v>-4.2080917629034542E-2</v>
      </c>
      <c r="J113" s="32">
        <f t="shared" si="38"/>
        <v>-2.0136989514601966E-2</v>
      </c>
      <c r="K113" s="32">
        <f t="shared" si="38"/>
        <v>-3.9452219890101503E-4</v>
      </c>
      <c r="L113" s="32" t="str">
        <f t="shared" si="38"/>
        <v>n.a.</v>
      </c>
      <c r="M113" s="32" t="str">
        <f t="shared" si="38"/>
        <v>n.a.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>
      <c r="A114" s="2">
        <v>-50</v>
      </c>
      <c r="B114" s="2"/>
      <c r="C114" s="2"/>
      <c r="D114" s="32" t="str">
        <f t="shared" ref="D114:H120" si="39">IF(D26="n.a.","n.a.",(D70-D26))</f>
        <v>n.a.</v>
      </c>
      <c r="E114" s="32" t="str">
        <f t="shared" si="39"/>
        <v>n.a.</v>
      </c>
      <c r="F114" s="32" t="str">
        <f t="shared" si="39"/>
        <v>n.a.</v>
      </c>
      <c r="G114" s="32">
        <f t="shared" si="39"/>
        <v>-2.0912517623827731E-2</v>
      </c>
      <c r="H114" s="32">
        <f t="shared" si="39"/>
        <v>-2.8879572407834841E-2</v>
      </c>
      <c r="I114" s="32">
        <f t="shared" ref="I114:M114" si="40">IF(I26="n.a.","n.a.",(I70-I26))</f>
        <v>-3.0360504676161248E-2</v>
      </c>
      <c r="J114" s="32">
        <f t="shared" si="40"/>
        <v>-8.3499335146155484E-3</v>
      </c>
      <c r="K114" s="32">
        <f t="shared" si="40"/>
        <v>8.2399339468763877E-4</v>
      </c>
      <c r="L114" s="32" t="str">
        <f t="shared" si="40"/>
        <v>n.a.</v>
      </c>
      <c r="M114" s="32" t="str">
        <f t="shared" si="40"/>
        <v>n.a.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>
      <c r="A115" s="2">
        <v>-49</v>
      </c>
      <c r="B115" s="2"/>
      <c r="C115" s="2"/>
      <c r="D115" s="32" t="str">
        <f t="shared" si="39"/>
        <v>n.a.</v>
      </c>
      <c r="E115" s="32" t="str">
        <f t="shared" si="39"/>
        <v>n.a.</v>
      </c>
      <c r="F115" s="32" t="str">
        <f t="shared" si="39"/>
        <v>n.a.</v>
      </c>
      <c r="G115" s="32">
        <f t="shared" si="39"/>
        <v>-2.2960880868765354E-2</v>
      </c>
      <c r="H115" s="32">
        <f t="shared" si="39"/>
        <v>-2.5095981553518887E-2</v>
      </c>
      <c r="I115" s="32">
        <f t="shared" ref="I115:M115" si="41">IF(I27="n.a.","n.a.",(I71-I27))</f>
        <v>-1.7417370640272045E-2</v>
      </c>
      <c r="J115" s="32">
        <f t="shared" si="41"/>
        <v>-1.3255072921909417E-3</v>
      </c>
      <c r="K115" s="32">
        <f t="shared" si="41"/>
        <v>-8.7383760007719857E-5</v>
      </c>
      <c r="L115" s="32" t="str">
        <f t="shared" si="41"/>
        <v>n.a.</v>
      </c>
      <c r="M115" s="32" t="str">
        <f t="shared" si="41"/>
        <v>n.a.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>
      <c r="A116" s="2">
        <v>-48</v>
      </c>
      <c r="B116" s="2"/>
      <c r="C116" s="2"/>
      <c r="D116" s="32" t="str">
        <f t="shared" si="39"/>
        <v>n.a.</v>
      </c>
      <c r="E116" s="32" t="str">
        <f t="shared" si="39"/>
        <v>n.a.</v>
      </c>
      <c r="F116" s="32">
        <f t="shared" si="39"/>
        <v>4.0329028150754842E-3</v>
      </c>
      <c r="G116" s="32">
        <f t="shared" si="39"/>
        <v>-1.6946336820638064E-2</v>
      </c>
      <c r="H116" s="32">
        <f t="shared" si="39"/>
        <v>-1.6123553972481219E-2</v>
      </c>
      <c r="I116" s="32">
        <f t="shared" ref="I116:M116" si="42">IF(I28="n.a.","n.a.",(I72-I28))</f>
        <v>-6.6323997658334077E-3</v>
      </c>
      <c r="J116" s="32">
        <f t="shared" si="42"/>
        <v>9.712512327029188E-4</v>
      </c>
      <c r="K116" s="32" t="str">
        <f t="shared" si="42"/>
        <v>n.a.</v>
      </c>
      <c r="L116" s="32" t="str">
        <f t="shared" si="42"/>
        <v>n.a.</v>
      </c>
      <c r="M116" s="32" t="str">
        <f t="shared" si="42"/>
        <v>n.a.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>
      <c r="A117" s="2">
        <v>-47</v>
      </c>
      <c r="B117" s="2"/>
      <c r="C117" s="2"/>
      <c r="D117" s="32" t="str">
        <f t="shared" si="39"/>
        <v>n.a.</v>
      </c>
      <c r="E117" s="32" t="str">
        <f t="shared" si="39"/>
        <v>n.a.</v>
      </c>
      <c r="F117" s="32">
        <f t="shared" si="39"/>
        <v>-4.7079579820314965E-3</v>
      </c>
      <c r="G117" s="32">
        <f t="shared" si="39"/>
        <v>-8.1117151729108716E-3</v>
      </c>
      <c r="H117" s="32">
        <f t="shared" si="39"/>
        <v>-6.4305866177429838E-3</v>
      </c>
      <c r="I117" s="32">
        <f t="shared" ref="I117:M117" si="43">IF(I29="n.a.","n.a.",(I73-I29))</f>
        <v>1.4124805135895535E-4</v>
      </c>
      <c r="J117" s="32">
        <f t="shared" si="43"/>
        <v>2.5059157084261763E-4</v>
      </c>
      <c r="K117" s="32" t="str">
        <f t="shared" si="43"/>
        <v>n.a.</v>
      </c>
      <c r="L117" s="32" t="str">
        <f t="shared" si="43"/>
        <v>n.a.</v>
      </c>
      <c r="M117" s="32" t="str">
        <f t="shared" si="43"/>
        <v>n.a.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>
      <c r="A118" s="2">
        <v>-46</v>
      </c>
      <c r="B118" s="2"/>
      <c r="C118" s="2"/>
      <c r="D118" s="32" t="str">
        <f t="shared" si="39"/>
        <v>n.a.</v>
      </c>
      <c r="E118" s="32">
        <f t="shared" si="39"/>
        <v>1.9317922287894917E-2</v>
      </c>
      <c r="F118" s="32">
        <f t="shared" si="39"/>
        <v>-3.8825412812628635E-3</v>
      </c>
      <c r="G118" s="32">
        <f t="shared" si="39"/>
        <v>-7.522800777226557E-5</v>
      </c>
      <c r="H118" s="32">
        <f t="shared" si="39"/>
        <v>1.0699195217146462E-3</v>
      </c>
      <c r="I118" s="32">
        <f t="shared" ref="I118:M118" si="44">IF(I30="n.a.","n.a.",(I74-I30))</f>
        <v>2.485162386201778E-3</v>
      </c>
      <c r="J118" s="32" t="str">
        <f t="shared" si="44"/>
        <v>n.a.</v>
      </c>
      <c r="K118" s="32" t="str">
        <f t="shared" si="44"/>
        <v>n.a.</v>
      </c>
      <c r="L118" s="32" t="str">
        <f t="shared" si="44"/>
        <v>n.a.</v>
      </c>
      <c r="M118" s="32" t="str">
        <f t="shared" si="44"/>
        <v>n.a.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>
      <c r="A119" s="2">
        <v>-45</v>
      </c>
      <c r="B119" s="2"/>
      <c r="C119" s="2"/>
      <c r="D119" s="32" t="str">
        <f t="shared" si="39"/>
        <v>n.a.</v>
      </c>
      <c r="E119" s="32">
        <f t="shared" si="39"/>
        <v>6.1796351523476512E-3</v>
      </c>
      <c r="F119" s="32">
        <f t="shared" si="39"/>
        <v>1.1675889019162611E-3</v>
      </c>
      <c r="G119" s="32">
        <f t="shared" si="39"/>
        <v>4.9910001789942315E-3</v>
      </c>
      <c r="H119" s="32">
        <f t="shared" si="39"/>
        <v>4.871926539145921E-3</v>
      </c>
      <c r="I119" s="32">
        <f t="shared" ref="I119:M119" si="45">IF(I31="n.a.","n.a.",(I75-I31))</f>
        <v>1.4553817468542229E-3</v>
      </c>
      <c r="J119" s="32" t="str">
        <f t="shared" si="45"/>
        <v>n.a.</v>
      </c>
      <c r="K119" s="32" t="str">
        <f t="shared" si="45"/>
        <v>n.a.</v>
      </c>
      <c r="L119" s="32" t="str">
        <f t="shared" si="45"/>
        <v>n.a.</v>
      </c>
      <c r="M119" s="32" t="str">
        <f t="shared" si="45"/>
        <v>n.a.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>
      <c r="A120" s="2">
        <v>-44</v>
      </c>
      <c r="B120" s="2"/>
      <c r="C120" s="2"/>
      <c r="D120" s="32">
        <f t="shared" si="39"/>
        <v>2.4930382796958847E-2</v>
      </c>
      <c r="E120" s="32">
        <f t="shared" si="39"/>
        <v>3.6391940393080136E-3</v>
      </c>
      <c r="F120" s="32">
        <f t="shared" si="39"/>
        <v>6.6467684424494911E-3</v>
      </c>
      <c r="G120" s="32">
        <f t="shared" si="39"/>
        <v>6.2533238657114243E-3</v>
      </c>
      <c r="H120" s="32">
        <f t="shared" si="39"/>
        <v>4.8107959853362914E-3</v>
      </c>
      <c r="I120" s="32">
        <f t="shared" ref="I120:M120" si="46">IF(I32="n.a.","n.a.",(I76-I32))</f>
        <v>-3.4326976310339319E-5</v>
      </c>
      <c r="J120" s="32" t="str">
        <f t="shared" si="46"/>
        <v>n.a.</v>
      </c>
      <c r="K120" s="32" t="str">
        <f t="shared" si="46"/>
        <v>n.a.</v>
      </c>
      <c r="L120" s="32" t="str">
        <f t="shared" si="46"/>
        <v>n.a.</v>
      </c>
      <c r="M120" s="32" t="str">
        <f t="shared" si="46"/>
        <v>n.a.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>
      <c r="A121" s="2">
        <v>-43</v>
      </c>
      <c r="B121" s="2"/>
      <c r="C121" s="2"/>
      <c r="D121" s="32">
        <f t="shared" ref="D121:G124" si="47">IF(D33="n.a.","n.a.",(D77-D33))</f>
        <v>9.4976550859726672E-3</v>
      </c>
      <c r="E121" s="32">
        <f t="shared" si="47"/>
        <v>6.3410233116036885E-3</v>
      </c>
      <c r="F121" s="32">
        <f t="shared" si="47"/>
        <v>1.0129365546092339E-2</v>
      </c>
      <c r="G121" s="32">
        <f t="shared" si="47"/>
        <v>4.2083545492445085E-3</v>
      </c>
      <c r="H121" s="32" t="s">
        <v>69</v>
      </c>
      <c r="I121" s="32" t="s">
        <v>69</v>
      </c>
      <c r="J121" s="32" t="s">
        <v>69</v>
      </c>
      <c r="K121" s="32" t="s">
        <v>69</v>
      </c>
      <c r="L121" s="32" t="s">
        <v>69</v>
      </c>
      <c r="M121" s="32" t="s">
        <v>69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>
      <c r="A122" s="2">
        <v>-42</v>
      </c>
      <c r="B122" s="2"/>
      <c r="C122" s="2"/>
      <c r="D122" s="32">
        <f t="shared" si="47"/>
        <v>5.2842544322432294E-3</v>
      </c>
      <c r="E122" s="32">
        <f t="shared" si="47"/>
        <v>1.0393807027899604E-2</v>
      </c>
      <c r="F122" s="32">
        <f t="shared" si="47"/>
        <v>1.0444094688746963E-2</v>
      </c>
      <c r="G122" s="32">
        <f t="shared" si="47"/>
        <v>8.841245288316868E-4</v>
      </c>
      <c r="H122" s="32" t="s">
        <v>69</v>
      </c>
      <c r="I122" s="32" t="s">
        <v>69</v>
      </c>
      <c r="J122" s="32" t="s">
        <v>69</v>
      </c>
      <c r="K122" s="32" t="s">
        <v>69</v>
      </c>
      <c r="L122" s="32" t="s">
        <v>69</v>
      </c>
      <c r="M122" s="32" t="s">
        <v>69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>
      <c r="A123" s="2">
        <v>-41</v>
      </c>
      <c r="B123" s="2"/>
      <c r="C123" s="2"/>
      <c r="D123" s="32">
        <f t="shared" si="47"/>
        <v>6.9894651469601943E-3</v>
      </c>
      <c r="E123" s="32">
        <f t="shared" si="47"/>
        <v>1.3200131143358829E-2</v>
      </c>
      <c r="F123" s="32">
        <f t="shared" si="47"/>
        <v>7.6358473855268061E-3</v>
      </c>
      <c r="G123" s="32" t="str">
        <f t="shared" si="47"/>
        <v>n.a.</v>
      </c>
      <c r="H123" s="32" t="str">
        <f t="shared" ref="H123:I139" si="48">IF(H35="n.a.","n.a.",(H79-H35))</f>
        <v>n.a.</v>
      </c>
      <c r="I123" s="32" t="str">
        <f t="shared" si="48"/>
        <v>n.a.</v>
      </c>
      <c r="J123" s="32" t="str">
        <f t="shared" ref="J123:M123" si="49">IF(J35="n.a.","n.a.",(J79-J35))</f>
        <v>n.a.</v>
      </c>
      <c r="K123" s="32" t="str">
        <f t="shared" si="49"/>
        <v>n.a.</v>
      </c>
      <c r="L123" s="32" t="str">
        <f t="shared" si="49"/>
        <v>n.a.</v>
      </c>
      <c r="M123" s="32" t="str">
        <f t="shared" si="49"/>
        <v>n.a.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>
      <c r="A124" s="2">
        <v>-40</v>
      </c>
      <c r="B124" s="2"/>
      <c r="C124" s="2"/>
      <c r="D124" s="32">
        <f t="shared" si="47"/>
        <v>1.0693744706292807E-2</v>
      </c>
      <c r="E124" s="32">
        <f t="shared" si="47"/>
        <v>1.3337856527629977E-2</v>
      </c>
      <c r="F124" s="32">
        <f t="shared" si="47"/>
        <v>3.0675460330369386E-3</v>
      </c>
      <c r="G124" s="32" t="str">
        <f t="shared" si="47"/>
        <v>n.a.</v>
      </c>
      <c r="H124" s="32" t="str">
        <f t="shared" si="48"/>
        <v>n.a.</v>
      </c>
      <c r="I124" s="32" t="str">
        <f t="shared" si="48"/>
        <v>n.a.</v>
      </c>
      <c r="J124" s="32" t="str">
        <f t="shared" ref="J124:M124" si="50">IF(J36="n.a.","n.a.",(J80-J36))</f>
        <v>n.a.</v>
      </c>
      <c r="K124" s="32" t="str">
        <f t="shared" si="50"/>
        <v>n.a.</v>
      </c>
      <c r="L124" s="32" t="str">
        <f t="shared" si="50"/>
        <v>n.a.</v>
      </c>
      <c r="M124" s="32" t="str">
        <f t="shared" si="50"/>
        <v>n.a.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>
      <c r="A125" s="2">
        <v>-39</v>
      </c>
      <c r="B125" s="2"/>
      <c r="C125" s="2"/>
      <c r="D125" s="32">
        <f t="shared" ref="D125:E139" si="51">IF(D37="n.a.","n.a.",(D81-D37))</f>
        <v>1.3695787642927448E-2</v>
      </c>
      <c r="E125" s="32">
        <f t="shared" si="51"/>
        <v>1.0503790620780218E-2</v>
      </c>
      <c r="F125" s="32" t="s">
        <v>69</v>
      </c>
      <c r="G125" s="32" t="str">
        <f t="shared" ref="G125:G139" si="52">IF(G37="n.a.","n.a.",(G81-G37))</f>
        <v>n.a.</v>
      </c>
      <c r="H125" s="32" t="str">
        <f t="shared" si="48"/>
        <v>n.a.</v>
      </c>
      <c r="I125" s="32" t="str">
        <f t="shared" si="48"/>
        <v>n.a.</v>
      </c>
      <c r="J125" s="32" t="str">
        <f t="shared" ref="J125:M125" si="53">IF(J37="n.a.","n.a.",(J81-J37))</f>
        <v>n.a.</v>
      </c>
      <c r="K125" s="32" t="str">
        <f t="shared" si="53"/>
        <v>n.a.</v>
      </c>
      <c r="L125" s="32" t="str">
        <f t="shared" si="53"/>
        <v>n.a.</v>
      </c>
      <c r="M125" s="32" t="str">
        <f t="shared" si="53"/>
        <v>n.a.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>
      <c r="A126" s="2">
        <v>-38</v>
      </c>
      <c r="B126" s="2"/>
      <c r="C126" s="2"/>
      <c r="D126" s="32">
        <f t="shared" si="51"/>
        <v>1.4394473429367727E-2</v>
      </c>
      <c r="E126" s="32">
        <f t="shared" si="51"/>
        <v>5.5570618160057927E-3</v>
      </c>
      <c r="F126" s="32" t="str">
        <f t="shared" ref="F126:F139" si="54">IF(F38="n.a.","n.a.",(F82-F38))</f>
        <v>n.a.</v>
      </c>
      <c r="G126" s="32" t="str">
        <f t="shared" si="52"/>
        <v>n.a.</v>
      </c>
      <c r="H126" s="32" t="str">
        <f t="shared" si="48"/>
        <v>n.a.</v>
      </c>
      <c r="I126" s="32" t="str">
        <f t="shared" si="48"/>
        <v>n.a.</v>
      </c>
      <c r="J126" s="32" t="str">
        <f t="shared" ref="J126:M126" si="55">IF(J38="n.a.","n.a.",(J82-J38))</f>
        <v>n.a.</v>
      </c>
      <c r="K126" s="32" t="str">
        <f t="shared" si="55"/>
        <v>n.a.</v>
      </c>
      <c r="L126" s="32" t="str">
        <f t="shared" si="55"/>
        <v>n.a.</v>
      </c>
      <c r="M126" s="32" t="str">
        <f t="shared" si="55"/>
        <v>n.a.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>
      <c r="A127" s="2">
        <v>-37</v>
      </c>
      <c r="B127" s="2"/>
      <c r="C127" s="2"/>
      <c r="D127" s="32">
        <f t="shared" si="51"/>
        <v>1.2222045543825222E-2</v>
      </c>
      <c r="E127" s="32">
        <f t="shared" si="51"/>
        <v>8.1698526797047144E-4</v>
      </c>
      <c r="F127" s="32" t="str">
        <f t="shared" si="54"/>
        <v>n.a.</v>
      </c>
      <c r="G127" s="32" t="str">
        <f t="shared" si="52"/>
        <v>n.a.</v>
      </c>
      <c r="H127" s="32" t="str">
        <f t="shared" si="48"/>
        <v>n.a.</v>
      </c>
      <c r="I127" s="32" t="str">
        <f t="shared" si="48"/>
        <v>n.a.</v>
      </c>
      <c r="J127" s="32" t="str">
        <f t="shared" ref="J127:M127" si="56">IF(J39="n.a.","n.a.",(J83-J39))</f>
        <v>n.a.</v>
      </c>
      <c r="K127" s="32" t="str">
        <f t="shared" si="56"/>
        <v>n.a.</v>
      </c>
      <c r="L127" s="32" t="str">
        <f t="shared" si="56"/>
        <v>n.a.</v>
      </c>
      <c r="M127" s="32" t="str">
        <f t="shared" si="56"/>
        <v>n.a.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>
      <c r="A128" s="2">
        <v>-36</v>
      </c>
      <c r="B128" s="2"/>
      <c r="C128" s="2"/>
      <c r="D128" s="32">
        <f t="shared" si="51"/>
        <v>7.651674547228815E-3</v>
      </c>
      <c r="E128" s="32" t="str">
        <f t="shared" si="51"/>
        <v>n.a.</v>
      </c>
      <c r="F128" s="32" t="str">
        <f t="shared" si="54"/>
        <v>n.a.</v>
      </c>
      <c r="G128" s="32" t="str">
        <f t="shared" si="52"/>
        <v>n.a.</v>
      </c>
      <c r="H128" s="32" t="str">
        <f t="shared" si="48"/>
        <v>n.a.</v>
      </c>
      <c r="I128" s="32" t="str">
        <f t="shared" si="48"/>
        <v>n.a.</v>
      </c>
      <c r="J128" s="32" t="str">
        <f t="shared" ref="J128:M128" si="57">IF(J40="n.a.","n.a.",(J84-J40))</f>
        <v>n.a.</v>
      </c>
      <c r="K128" s="32" t="str">
        <f t="shared" si="57"/>
        <v>n.a.</v>
      </c>
      <c r="L128" s="32" t="str">
        <f t="shared" si="57"/>
        <v>n.a.</v>
      </c>
      <c r="M128" s="32" t="str">
        <f t="shared" si="57"/>
        <v>n.a.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>
      <c r="A129" s="2">
        <v>-35</v>
      </c>
      <c r="B129" s="2"/>
      <c r="C129" s="2"/>
      <c r="D129" s="32">
        <f t="shared" si="51"/>
        <v>2.3628679417622145E-3</v>
      </c>
      <c r="E129" s="32" t="str">
        <f t="shared" si="51"/>
        <v>n.a.</v>
      </c>
      <c r="F129" s="32" t="str">
        <f t="shared" si="54"/>
        <v>n.a.</v>
      </c>
      <c r="G129" s="32" t="str">
        <f t="shared" si="52"/>
        <v>n.a.</v>
      </c>
      <c r="H129" s="32" t="str">
        <f t="shared" si="48"/>
        <v>n.a.</v>
      </c>
      <c r="I129" s="32" t="str">
        <f t="shared" si="48"/>
        <v>n.a.</v>
      </c>
      <c r="J129" s="32" t="str">
        <f t="shared" ref="J129:M129" si="58">IF(J41="n.a.","n.a.",(J85-J41))</f>
        <v>n.a.</v>
      </c>
      <c r="K129" s="32" t="str">
        <f t="shared" si="58"/>
        <v>n.a.</v>
      </c>
      <c r="L129" s="32" t="str">
        <f t="shared" si="58"/>
        <v>n.a.</v>
      </c>
      <c r="M129" s="32" t="str">
        <f t="shared" si="58"/>
        <v>n.a.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>
      <c r="A130" s="2">
        <v>-34</v>
      </c>
      <c r="B130" s="2"/>
      <c r="C130" s="2"/>
      <c r="D130" s="32" t="str">
        <f t="shared" si="51"/>
        <v>n.a.</v>
      </c>
      <c r="E130" s="32" t="str">
        <f t="shared" si="51"/>
        <v>n.a.</v>
      </c>
      <c r="F130" s="32" t="str">
        <f t="shared" si="54"/>
        <v>n.a.</v>
      </c>
      <c r="G130" s="32" t="str">
        <f t="shared" si="52"/>
        <v>n.a.</v>
      </c>
      <c r="H130" s="32" t="str">
        <f t="shared" si="48"/>
        <v>n.a.</v>
      </c>
      <c r="I130" s="32" t="str">
        <f t="shared" si="48"/>
        <v>n.a.</v>
      </c>
      <c r="J130" s="32" t="str">
        <f t="shared" ref="J130:M130" si="59">IF(J42="n.a.","n.a.",(J86-J42))</f>
        <v>n.a.</v>
      </c>
      <c r="K130" s="32" t="str">
        <f t="shared" si="59"/>
        <v>n.a.</v>
      </c>
      <c r="L130" s="32" t="str">
        <f t="shared" si="59"/>
        <v>n.a.</v>
      </c>
      <c r="M130" s="32" t="str">
        <f t="shared" si="59"/>
        <v>n.a.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>
      <c r="A131" s="2">
        <v>-33</v>
      </c>
      <c r="B131" s="2"/>
      <c r="C131" s="2"/>
      <c r="D131" s="32" t="str">
        <f t="shared" si="51"/>
        <v>n.a.</v>
      </c>
      <c r="E131" s="32" t="str">
        <f t="shared" si="51"/>
        <v>n.a.</v>
      </c>
      <c r="F131" s="32" t="str">
        <f t="shared" si="54"/>
        <v>n.a.</v>
      </c>
      <c r="G131" s="32" t="str">
        <f t="shared" si="52"/>
        <v>n.a.</v>
      </c>
      <c r="H131" s="32" t="str">
        <f t="shared" si="48"/>
        <v>n.a.</v>
      </c>
      <c r="I131" s="32" t="str">
        <f t="shared" si="48"/>
        <v>n.a.</v>
      </c>
      <c r="J131" s="32" t="str">
        <f t="shared" ref="J131:M131" si="60">IF(J43="n.a.","n.a.",(J87-J43))</f>
        <v>n.a.</v>
      </c>
      <c r="K131" s="32" t="str">
        <f t="shared" si="60"/>
        <v>n.a.</v>
      </c>
      <c r="L131" s="32" t="str">
        <f t="shared" si="60"/>
        <v>n.a.</v>
      </c>
      <c r="M131" s="32" t="str">
        <f t="shared" si="60"/>
        <v>n.a.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>
      <c r="A132" s="2">
        <v>-32</v>
      </c>
      <c r="B132" s="2"/>
      <c r="C132" s="2"/>
      <c r="D132" s="32" t="str">
        <f t="shared" si="51"/>
        <v>n.a.</v>
      </c>
      <c r="E132" s="32" t="str">
        <f t="shared" si="51"/>
        <v>n.a.</v>
      </c>
      <c r="F132" s="32" t="str">
        <f t="shared" si="54"/>
        <v>n.a.</v>
      </c>
      <c r="G132" s="32" t="str">
        <f t="shared" si="52"/>
        <v>n.a.</v>
      </c>
      <c r="H132" s="32" t="str">
        <f t="shared" si="48"/>
        <v>n.a.</v>
      </c>
      <c r="I132" s="32" t="str">
        <f t="shared" si="48"/>
        <v>n.a.</v>
      </c>
      <c r="J132" s="32" t="str">
        <f t="shared" ref="J132:M132" si="61">IF(J44="n.a.","n.a.",(J88-J44))</f>
        <v>n.a.</v>
      </c>
      <c r="K132" s="32" t="str">
        <f t="shared" si="61"/>
        <v>n.a.</v>
      </c>
      <c r="L132" s="32" t="str">
        <f t="shared" si="61"/>
        <v>n.a.</v>
      </c>
      <c r="M132" s="32" t="str">
        <f t="shared" si="61"/>
        <v>n.a.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>
      <c r="A133" s="2">
        <v>-31</v>
      </c>
      <c r="B133" s="2"/>
      <c r="C133" s="2"/>
      <c r="D133" s="32" t="str">
        <f t="shared" si="51"/>
        <v>n.a.</v>
      </c>
      <c r="E133" s="32" t="str">
        <f t="shared" si="51"/>
        <v>n.a.</v>
      </c>
      <c r="F133" s="32" t="str">
        <f t="shared" si="54"/>
        <v>n.a.</v>
      </c>
      <c r="G133" s="32" t="str">
        <f t="shared" si="52"/>
        <v>n.a.</v>
      </c>
      <c r="H133" s="32" t="str">
        <f t="shared" si="48"/>
        <v>n.a.</v>
      </c>
      <c r="I133" s="32" t="str">
        <f t="shared" si="48"/>
        <v>n.a.</v>
      </c>
      <c r="J133" s="32" t="str">
        <f t="shared" ref="J133:M133" si="62">IF(J45="n.a.","n.a.",(J89-J45))</f>
        <v>n.a.</v>
      </c>
      <c r="K133" s="32" t="str">
        <f t="shared" si="62"/>
        <v>n.a.</v>
      </c>
      <c r="L133" s="32" t="str">
        <f t="shared" si="62"/>
        <v>n.a.</v>
      </c>
      <c r="M133" s="32" t="str">
        <f t="shared" si="62"/>
        <v>n.a.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>
      <c r="A134" s="2">
        <v>-30</v>
      </c>
      <c r="B134" s="2"/>
      <c r="C134" s="2"/>
      <c r="D134" s="32" t="str">
        <f t="shared" si="51"/>
        <v>n.a.</v>
      </c>
      <c r="E134" s="32" t="str">
        <f t="shared" si="51"/>
        <v>n.a.</v>
      </c>
      <c r="F134" s="32" t="str">
        <f t="shared" si="54"/>
        <v>n.a.</v>
      </c>
      <c r="G134" s="32" t="str">
        <f t="shared" si="52"/>
        <v>n.a.</v>
      </c>
      <c r="H134" s="32" t="str">
        <f t="shared" si="48"/>
        <v>n.a.</v>
      </c>
      <c r="I134" s="32" t="str">
        <f t="shared" si="48"/>
        <v>n.a.</v>
      </c>
      <c r="J134" s="32" t="str">
        <f t="shared" ref="J134:M134" si="63">IF(J46="n.a.","n.a.",(J90-J46))</f>
        <v>n.a.</v>
      </c>
      <c r="K134" s="32" t="str">
        <f t="shared" si="63"/>
        <v>n.a.</v>
      </c>
      <c r="L134" s="32" t="str">
        <f t="shared" si="63"/>
        <v>n.a.</v>
      </c>
      <c r="M134" s="32" t="str">
        <f t="shared" si="63"/>
        <v>n.a.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>
      <c r="A135" s="2">
        <v>-29</v>
      </c>
      <c r="B135" s="2"/>
      <c r="C135" s="2"/>
      <c r="D135" s="32" t="str">
        <f t="shared" si="51"/>
        <v>n.a.</v>
      </c>
      <c r="E135" s="32" t="str">
        <f t="shared" si="51"/>
        <v>n.a.</v>
      </c>
      <c r="F135" s="32" t="str">
        <f t="shared" si="54"/>
        <v>n.a.</v>
      </c>
      <c r="G135" s="32" t="str">
        <f t="shared" si="52"/>
        <v>n.a.</v>
      </c>
      <c r="H135" s="32" t="str">
        <f t="shared" si="48"/>
        <v>n.a.</v>
      </c>
      <c r="I135" s="32" t="str">
        <f t="shared" si="48"/>
        <v>n.a.</v>
      </c>
      <c r="J135" s="32" t="str">
        <f t="shared" ref="J135:M135" si="64">IF(J47="n.a.","n.a.",(J91-J47))</f>
        <v>n.a.</v>
      </c>
      <c r="K135" s="32" t="str">
        <f t="shared" si="64"/>
        <v>n.a.</v>
      </c>
      <c r="L135" s="32" t="str">
        <f t="shared" si="64"/>
        <v>n.a.</v>
      </c>
      <c r="M135" s="32" t="str">
        <f t="shared" si="64"/>
        <v>n.a.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>
      <c r="A136" s="2">
        <v>-28</v>
      </c>
      <c r="B136" s="2"/>
      <c r="C136" s="2"/>
      <c r="D136" s="32" t="str">
        <f t="shared" si="51"/>
        <v>n.a.</v>
      </c>
      <c r="E136" s="32" t="str">
        <f t="shared" si="51"/>
        <v>n.a.</v>
      </c>
      <c r="F136" s="32" t="str">
        <f t="shared" si="54"/>
        <v>n.a.</v>
      </c>
      <c r="G136" s="32" t="str">
        <f t="shared" si="52"/>
        <v>n.a.</v>
      </c>
      <c r="H136" s="32" t="str">
        <f t="shared" si="48"/>
        <v>n.a.</v>
      </c>
      <c r="I136" s="32" t="str">
        <f t="shared" si="48"/>
        <v>n.a.</v>
      </c>
      <c r="J136" s="32" t="str">
        <f t="shared" ref="J136:M136" si="65">IF(J48="n.a.","n.a.",(J92-J48))</f>
        <v>n.a.</v>
      </c>
      <c r="K136" s="32" t="str">
        <f t="shared" si="65"/>
        <v>n.a.</v>
      </c>
      <c r="L136" s="32" t="str">
        <f t="shared" si="65"/>
        <v>n.a.</v>
      </c>
      <c r="M136" s="32" t="str">
        <f t="shared" si="65"/>
        <v>n.a.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>
      <c r="A137" s="2">
        <v>-27</v>
      </c>
      <c r="B137" s="2"/>
      <c r="C137" s="2"/>
      <c r="D137" s="32" t="str">
        <f t="shared" si="51"/>
        <v>n.a.</v>
      </c>
      <c r="E137" s="32" t="str">
        <f t="shared" si="51"/>
        <v>n.a.</v>
      </c>
      <c r="F137" s="32" t="str">
        <f t="shared" si="54"/>
        <v>n.a.</v>
      </c>
      <c r="G137" s="32" t="str">
        <f t="shared" si="52"/>
        <v>n.a.</v>
      </c>
      <c r="H137" s="32" t="str">
        <f t="shared" si="48"/>
        <v>n.a.</v>
      </c>
      <c r="I137" s="32" t="str">
        <f t="shared" si="48"/>
        <v>n.a.</v>
      </c>
      <c r="J137" s="32" t="str">
        <f t="shared" ref="J137:M137" si="66">IF(J49="n.a.","n.a.",(J93-J49))</f>
        <v>n.a.</v>
      </c>
      <c r="K137" s="32" t="str">
        <f t="shared" si="66"/>
        <v>n.a.</v>
      </c>
      <c r="L137" s="32" t="str">
        <f t="shared" si="66"/>
        <v>n.a.</v>
      </c>
      <c r="M137" s="32" t="str">
        <f t="shared" si="66"/>
        <v>n.a.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>
      <c r="A138" s="2">
        <v>-26</v>
      </c>
      <c r="B138" s="2"/>
      <c r="C138" s="2"/>
      <c r="D138" s="32" t="str">
        <f t="shared" si="51"/>
        <v>n.a.</v>
      </c>
      <c r="E138" s="32" t="str">
        <f t="shared" si="51"/>
        <v>n.a.</v>
      </c>
      <c r="F138" s="32" t="str">
        <f t="shared" si="54"/>
        <v>n.a.</v>
      </c>
      <c r="G138" s="32" t="str">
        <f t="shared" si="52"/>
        <v>n.a.</v>
      </c>
      <c r="H138" s="32" t="str">
        <f t="shared" si="48"/>
        <v>n.a.</v>
      </c>
      <c r="I138" s="32" t="str">
        <f t="shared" si="48"/>
        <v>n.a.</v>
      </c>
      <c r="J138" s="32" t="str">
        <f t="shared" ref="J138:M138" si="67">IF(J50="n.a.","n.a.",(J94-J50))</f>
        <v>n.a.</v>
      </c>
      <c r="K138" s="32" t="str">
        <f t="shared" si="67"/>
        <v>n.a.</v>
      </c>
      <c r="L138" s="32" t="str">
        <f t="shared" si="67"/>
        <v>n.a.</v>
      </c>
      <c r="M138" s="32" t="str">
        <f t="shared" si="67"/>
        <v>n.a.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>
      <c r="A139" s="2">
        <v>-25</v>
      </c>
      <c r="B139" s="2"/>
      <c r="C139" s="2"/>
      <c r="D139" s="32" t="str">
        <f t="shared" si="51"/>
        <v>n.a.</v>
      </c>
      <c r="E139" s="32" t="str">
        <f t="shared" si="51"/>
        <v>n.a.</v>
      </c>
      <c r="F139" s="32" t="str">
        <f t="shared" si="54"/>
        <v>n.a.</v>
      </c>
      <c r="G139" s="32" t="str">
        <f t="shared" si="52"/>
        <v>n.a.</v>
      </c>
      <c r="H139" s="32" t="str">
        <f t="shared" si="48"/>
        <v>n.a.</v>
      </c>
      <c r="I139" s="32" t="str">
        <f t="shared" si="48"/>
        <v>n.a.</v>
      </c>
      <c r="J139" s="32" t="str">
        <f t="shared" ref="J139:M139" si="68">IF(J51="n.a.","n.a.",(J95-J51))</f>
        <v>n.a.</v>
      </c>
      <c r="K139" s="32" t="str">
        <f t="shared" si="68"/>
        <v>n.a.</v>
      </c>
      <c r="L139" s="32" t="str">
        <f t="shared" si="68"/>
        <v>n.a.</v>
      </c>
      <c r="M139" s="32" t="str">
        <f t="shared" si="68"/>
        <v>n.a.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21">
      <c r="A142" s="1" t="s">
        <v>79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>
      <c r="A144" s="4" t="s">
        <v>80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>
      <c r="A146" s="2"/>
      <c r="B146" s="2"/>
      <c r="C146" s="2"/>
      <c r="D146" s="2"/>
      <c r="E146" s="16" t="s">
        <v>81</v>
      </c>
      <c r="F146" s="2">
        <v>8</v>
      </c>
      <c r="G146" s="2">
        <v>10</v>
      </c>
      <c r="H146" s="2">
        <v>12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>
      <c r="A147" s="33" t="s">
        <v>82</v>
      </c>
      <c r="B147" s="22"/>
      <c r="C147" s="34" t="s">
        <v>83</v>
      </c>
      <c r="D147" s="35">
        <v>3.08445825837715E-3</v>
      </c>
      <c r="E147" s="16" t="s">
        <v>84</v>
      </c>
      <c r="F147" s="36">
        <f>1/(F$146^b_t)</f>
        <v>4.4931122664851643E-3</v>
      </c>
      <c r="G147" s="36">
        <f>1/(G$146^b_t)</f>
        <v>2.5156117144778433E-3</v>
      </c>
      <c r="H147" s="36">
        <f>1/(H$146^b_t)</f>
        <v>1.5661138505692618E-3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>
      <c r="A148" s="37" t="s">
        <v>85</v>
      </c>
      <c r="B148" s="2"/>
      <c r="C148" s="34" t="s">
        <v>86</v>
      </c>
      <c r="D148" s="38">
        <v>2.5993563915546996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>
      <c r="A149" s="17" t="s">
        <v>87</v>
      </c>
      <c r="B149" s="17" t="s">
        <v>67</v>
      </c>
      <c r="C149" s="17" t="s">
        <v>88</v>
      </c>
      <c r="D149" s="69" t="s">
        <v>200</v>
      </c>
      <c r="E149" s="17" t="s">
        <v>89</v>
      </c>
      <c r="F149" s="69" t="s">
        <v>197</v>
      </c>
      <c r="G149" s="69" t="s">
        <v>199</v>
      </c>
      <c r="H149" s="69" t="s">
        <v>198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>
      <c r="A150" s="16">
        <v>12</v>
      </c>
      <c r="B150" s="16"/>
      <c r="C150" s="16"/>
      <c r="D150" s="7">
        <f t="shared" ref="D150:D162" si="69">a_t*A150^b_t</f>
        <v>1.9694981033824521</v>
      </c>
      <c r="E150" s="27">
        <f t="shared" ref="E150:E162" si="70">(D150-C150)^2</f>
        <v>3.878922779227076</v>
      </c>
      <c r="F150" s="7">
        <f t="shared" ref="F150:F162" si="71">(1/F$146^b_t)*$A150^b_t</f>
        <v>2.8689563436604417</v>
      </c>
      <c r="G150" s="7">
        <f t="shared" ref="G150:G162" si="72">(1/G$146^b_t)*$A150^b_t</f>
        <v>1.6062763978260275</v>
      </c>
      <c r="H150" s="7">
        <f t="shared" ref="H150:H162" si="73">(1/H$146^b_t)*$A150^b_t</f>
        <v>1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>
      <c r="A151" s="2">
        <v>11</v>
      </c>
      <c r="B151" s="2"/>
      <c r="C151" s="16"/>
      <c r="D151" s="7">
        <f t="shared" si="69"/>
        <v>1.5708316013521977</v>
      </c>
      <c r="E151" s="27">
        <f t="shared" si="70"/>
        <v>2.4675119198067099</v>
      </c>
      <c r="F151" s="7">
        <f t="shared" si="71"/>
        <v>2.2882211867997633</v>
      </c>
      <c r="G151" s="7">
        <f t="shared" si="72"/>
        <v>1.2811333617828451</v>
      </c>
      <c r="H151" s="7">
        <f t="shared" si="73"/>
        <v>0.79757964663912229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>
      <c r="A152" s="2">
        <v>10</v>
      </c>
      <c r="B152" s="2"/>
      <c r="C152" s="16"/>
      <c r="D152" s="7">
        <f t="shared" si="69"/>
        <v>1.2261265284405707</v>
      </c>
      <c r="E152" s="27">
        <f t="shared" si="70"/>
        <v>1.5033862637457256</v>
      </c>
      <c r="F152" s="7">
        <f t="shared" si="71"/>
        <v>1.786091327459804</v>
      </c>
      <c r="G152" s="7">
        <f t="shared" si="72"/>
        <v>1</v>
      </c>
      <c r="H152" s="7">
        <f t="shared" si="73"/>
        <v>0.62255786199275776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>
      <c r="A153" s="2">
        <v>9</v>
      </c>
      <c r="B153" s="100">
        <v>5.9499827378707001E-2</v>
      </c>
      <c r="C153" s="27">
        <f t="shared" ref="C153:C162" si="74">1-B153</f>
        <v>0.94050017262129304</v>
      </c>
      <c r="D153" s="7">
        <f t="shared" si="69"/>
        <v>0.93238496842637664</v>
      </c>
      <c r="E153" s="27">
        <f t="shared" si="70"/>
        <v>6.5856539125188788E-5</v>
      </c>
      <c r="F153" s="7">
        <f t="shared" si="71"/>
        <v>1.3581997186524062</v>
      </c>
      <c r="G153" s="7">
        <f t="shared" si="72"/>
        <v>0.76043128241602886</v>
      </c>
      <c r="H153" s="7">
        <f t="shared" si="73"/>
        <v>0.47341247337333392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>
      <c r="A154" s="2">
        <v>8</v>
      </c>
      <c r="B154" s="100">
        <v>0.32043368353772339</v>
      </c>
      <c r="C154" s="27">
        <f t="shared" si="74"/>
        <v>0.67956631646227661</v>
      </c>
      <c r="D154" s="7">
        <f t="shared" si="69"/>
        <v>0.68648590897329942</v>
      </c>
      <c r="E154" s="27">
        <f t="shared" si="70"/>
        <v>4.788076051860295E-5</v>
      </c>
      <c r="F154" s="7">
        <f t="shared" si="71"/>
        <v>0.99999999999999989</v>
      </c>
      <c r="G154" s="7">
        <f t="shared" si="72"/>
        <v>0.55988178466898975</v>
      </c>
      <c r="H154" s="7">
        <f t="shared" si="73"/>
        <v>0.3485588068322158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>
      <c r="A155" s="2">
        <v>7</v>
      </c>
      <c r="B155" s="100">
        <v>0.52323654755237825</v>
      </c>
      <c r="C155" s="27">
        <f t="shared" si="74"/>
        <v>0.47676345244762175</v>
      </c>
      <c r="D155" s="7">
        <f t="shared" si="69"/>
        <v>0.48516547592035714</v>
      </c>
      <c r="E155" s="27">
        <f t="shared" si="70"/>
        <v>7.0593998436396419E-5</v>
      </c>
      <c r="F155" s="7">
        <f t="shared" si="71"/>
        <v>0.70673770514236056</v>
      </c>
      <c r="G155" s="7">
        <f t="shared" si="72"/>
        <v>0.39568956764797109</v>
      </c>
      <c r="H155" s="7">
        <f t="shared" si="73"/>
        <v>0.24633965124775956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>
      <c r="A156" s="2">
        <v>6</v>
      </c>
      <c r="B156" s="100">
        <v>0.67830817602952742</v>
      </c>
      <c r="C156" s="27">
        <f t="shared" si="74"/>
        <v>0.32169182397047258</v>
      </c>
      <c r="D156" s="7">
        <f t="shared" si="69"/>
        <v>0.32499099210299104</v>
      </c>
      <c r="E156" s="27">
        <f t="shared" si="70"/>
        <v>1.0884510366625341E-5</v>
      </c>
      <c r="F156" s="7">
        <f t="shared" si="71"/>
        <v>0.47341247337333386</v>
      </c>
      <c r="G156" s="7">
        <f t="shared" si="72"/>
        <v>0.26505502047682278</v>
      </c>
      <c r="H156" s="7">
        <f t="shared" si="73"/>
        <v>0.16501208685849739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>
      <c r="A157" s="2">
        <v>5</v>
      </c>
      <c r="B157" s="100">
        <v>0.7942838072551841</v>
      </c>
      <c r="C157" s="27">
        <f t="shared" si="74"/>
        <v>0.2057161927448159</v>
      </c>
      <c r="D157" s="7">
        <f t="shared" si="69"/>
        <v>0.20232569721054314</v>
      </c>
      <c r="E157" s="27">
        <f t="shared" si="70"/>
        <v>1.1495459967923517E-5</v>
      </c>
      <c r="F157" s="7">
        <f t="shared" si="71"/>
        <v>0.29472665726400582</v>
      </c>
      <c r="G157" s="7">
        <f t="shared" si="72"/>
        <v>0.16501208685849725</v>
      </c>
      <c r="H157" s="7">
        <f t="shared" si="73"/>
        <v>0.10272957199758928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>
      <c r="A158" s="2">
        <v>4</v>
      </c>
      <c r="B158" s="100">
        <v>0.87833182285490496</v>
      </c>
      <c r="C158" s="27">
        <f t="shared" si="74"/>
        <v>0.12166817714509504</v>
      </c>
      <c r="D158" s="7">
        <f t="shared" si="69"/>
        <v>0.11327847243863676</v>
      </c>
      <c r="E158" s="27">
        <f t="shared" si="70"/>
        <v>7.0387145061568188E-5</v>
      </c>
      <c r="F158" s="7">
        <f t="shared" si="71"/>
        <v>0.16501208685849758</v>
      </c>
      <c r="G158" s="7">
        <f t="shared" si="72"/>
        <v>9.2387261682289973E-2</v>
      </c>
      <c r="H158" s="7">
        <f t="shared" si="73"/>
        <v>5.7516416108291876E-2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>
      <c r="A159" s="2">
        <v>3</v>
      </c>
      <c r="B159" s="100">
        <v>0.93640055959669732</v>
      </c>
      <c r="C159" s="27">
        <f t="shared" si="74"/>
        <v>6.3599440403302676E-2</v>
      </c>
      <c r="D159" s="7">
        <f t="shared" si="69"/>
        <v>5.3627441817128065E-2</v>
      </c>
      <c r="E159" s="27">
        <f t="shared" si="70"/>
        <v>9.9440755802668453E-5</v>
      </c>
      <c r="F159" s="7">
        <f t="shared" si="71"/>
        <v>7.8118780176176739E-2</v>
      </c>
      <c r="G159" s="7">
        <f t="shared" si="72"/>
        <v>4.373728206120233E-2</v>
      </c>
      <c r="H159" s="7">
        <f t="shared" si="73"/>
        <v>2.722898880939632E-2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>
      <c r="A160" s="2">
        <v>2</v>
      </c>
      <c r="B160" s="100">
        <v>0.9734231398295099</v>
      </c>
      <c r="C160" s="27">
        <f t="shared" si="74"/>
        <v>2.6576860170490102E-2</v>
      </c>
      <c r="D160" s="7">
        <f t="shared" si="69"/>
        <v>1.8692317133242244E-2</v>
      </c>
      <c r="E160" s="27">
        <f t="shared" si="70"/>
        <v>6.2166018906213686E-5</v>
      </c>
      <c r="F160" s="7">
        <f t="shared" si="71"/>
        <v>2.7228988809396337E-2</v>
      </c>
      <c r="G160" s="7">
        <f t="shared" si="72"/>
        <v>1.524501484933677E-2</v>
      </c>
      <c r="H160" s="7">
        <f t="shared" si="73"/>
        <v>9.490903850650944E-3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>
      <c r="A161" s="2">
        <v>1</v>
      </c>
      <c r="B161" s="100">
        <v>0.99348760412674186</v>
      </c>
      <c r="C161" s="27">
        <f t="shared" si="74"/>
        <v>6.5123958732581366E-3</v>
      </c>
      <c r="D161" s="7">
        <f t="shared" si="69"/>
        <v>3.08445825837715E-3</v>
      </c>
      <c r="E161" s="27">
        <f t="shared" si="70"/>
        <v>1.1750756291515947E-5</v>
      </c>
      <c r="F161" s="7">
        <f t="shared" si="71"/>
        <v>4.4931122664851643E-3</v>
      </c>
      <c r="G161" s="7">
        <f t="shared" si="72"/>
        <v>2.5156117144778433E-3</v>
      </c>
      <c r="H161" s="7">
        <f t="shared" si="73"/>
        <v>1.5661138505692618E-3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>
      <c r="A162" s="29">
        <v>0</v>
      </c>
      <c r="B162" s="101">
        <v>0.99997833548047843</v>
      </c>
      <c r="C162" s="70">
        <f t="shared" si="74"/>
        <v>2.1664519521569225E-5</v>
      </c>
      <c r="D162" s="40">
        <f t="shared" si="69"/>
        <v>0</v>
      </c>
      <c r="E162" s="39">
        <f t="shared" si="70"/>
        <v>4.6935140610045409E-10</v>
      </c>
      <c r="F162" s="40">
        <f t="shared" si="71"/>
        <v>0</v>
      </c>
      <c r="G162" s="40">
        <f t="shared" si="72"/>
        <v>0</v>
      </c>
      <c r="H162" s="40">
        <f t="shared" si="73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>
      <c r="A163" s="2"/>
      <c r="B163" s="16" t="s">
        <v>233</v>
      </c>
      <c r="C163" s="2"/>
      <c r="D163" s="16" t="s">
        <v>90</v>
      </c>
      <c r="E163" s="38">
        <f>SUM(E153:E162)</f>
        <v>4.5045641382810938E-4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>
      <c r="A164" s="2"/>
      <c r="B164" s="16" t="s">
        <v>234</v>
      </c>
      <c r="C164" s="2"/>
      <c r="D164" s="8" t="s">
        <v>161</v>
      </c>
      <c r="E164" s="8"/>
      <c r="F164" s="8"/>
      <c r="G164" s="58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>
      <c r="A166" s="2"/>
      <c r="B166" s="21" t="s">
        <v>91</v>
      </c>
      <c r="C166" s="21"/>
      <c r="D166" s="21"/>
      <c r="E166" s="21"/>
      <c r="F166" s="16"/>
      <c r="G166" s="2"/>
      <c r="H166" s="16" t="s">
        <v>92</v>
      </c>
      <c r="I166" s="7">
        <f>(1/a_t)^(1/b_t)</f>
        <v>9.2456943980527324</v>
      </c>
      <c r="J166" s="2" t="s">
        <v>7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>
      <c r="A167" s="2"/>
      <c r="B167" s="2"/>
      <c r="C167" s="2"/>
      <c r="D167" s="2"/>
      <c r="E167" s="2"/>
      <c r="F167" s="16"/>
      <c r="G167" s="2"/>
      <c r="H167" s="41" t="s">
        <v>93</v>
      </c>
      <c r="I167" s="42">
        <f>(1/a_t)^(1/b_t)</f>
        <v>9.2456943980527324</v>
      </c>
      <c r="J167" s="21" t="s">
        <v>7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>
      <c r="A168" s="2"/>
      <c r="B168" s="2" t="s">
        <v>94</v>
      </c>
      <c r="C168" s="2"/>
      <c r="D168" s="2"/>
      <c r="E168" s="2"/>
      <c r="F168" s="16"/>
      <c r="G168" s="2"/>
      <c r="H168" s="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>
      <c r="A169" s="2"/>
      <c r="B169" s="21" t="s">
        <v>95</v>
      </c>
      <c r="C169" s="21"/>
      <c r="D169" s="21"/>
      <c r="E169" s="21"/>
      <c r="F169" s="37" t="s">
        <v>96</v>
      </c>
      <c r="G169" s="16"/>
      <c r="H169" s="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>
      <c r="A170" s="2"/>
      <c r="B170" s="21" t="s">
        <v>97</v>
      </c>
      <c r="C170" s="21"/>
      <c r="D170" s="21"/>
      <c r="E170" s="2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>
      <c r="A171" s="2"/>
      <c r="B171" s="21" t="s">
        <v>98</v>
      </c>
      <c r="C171" s="21"/>
      <c r="D171" s="21"/>
      <c r="E171" s="21"/>
      <c r="F171" s="2" t="s">
        <v>99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>
      <c r="A172" s="2"/>
      <c r="B172" s="21" t="s">
        <v>100</v>
      </c>
      <c r="C172" s="21"/>
      <c r="D172" s="21"/>
      <c r="E172" s="2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>
      <c r="A174" s="2"/>
      <c r="B174" s="2" t="s">
        <v>101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>
      <c r="A175" s="2"/>
      <c r="B175" s="4" t="s">
        <v>102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>
      <c r="A177" s="2"/>
      <c r="B177" s="43" t="s">
        <v>103</v>
      </c>
      <c r="C177" s="44" t="s">
        <v>7</v>
      </c>
      <c r="D177" s="45">
        <f>D11</f>
        <v>-34.171657846038833</v>
      </c>
      <c r="E177" s="45">
        <f t="shared" ref="E177:O177" si="75">E11</f>
        <v>-36.556995939242505</v>
      </c>
      <c r="F177" s="45">
        <f t="shared" si="75"/>
        <v>-38.983215462422002</v>
      </c>
      <c r="G177" s="45">
        <f t="shared" si="75"/>
        <v>-41.453686614326799</v>
      </c>
      <c r="H177" s="45">
        <f t="shared" si="75"/>
        <v>-41.997060149801399</v>
      </c>
      <c r="I177" s="45">
        <f t="shared" si="75"/>
        <v>-43.936149738567622</v>
      </c>
      <c r="J177" s="45">
        <f t="shared" si="75"/>
        <v>-46.358686546546537</v>
      </c>
      <c r="K177" s="45">
        <f t="shared" si="75"/>
        <v>-48.720135430706478</v>
      </c>
      <c r="L177" s="45">
        <f t="shared" si="75"/>
        <v>-51.022841943746812</v>
      </c>
      <c r="M177" s="45">
        <f t="shared" si="75"/>
        <v>-53.26904401732731</v>
      </c>
      <c r="N177" s="45">
        <f t="shared" si="75"/>
        <v>-55.460885188547678</v>
      </c>
      <c r="O177" s="45">
        <f t="shared" si="75"/>
        <v>-57.600302356601937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>
      <c r="A178" s="2"/>
      <c r="B178" s="46" t="s">
        <v>110</v>
      </c>
      <c r="C178" s="29" t="s">
        <v>34</v>
      </c>
      <c r="D178" s="29">
        <f>D8</f>
        <v>20000</v>
      </c>
      <c r="E178" s="29">
        <f t="shared" ref="E178:O178" si="76">E8</f>
        <v>25000</v>
      </c>
      <c r="F178" s="29">
        <f t="shared" si="76"/>
        <v>30000</v>
      </c>
      <c r="G178" s="29">
        <f t="shared" si="76"/>
        <v>35000</v>
      </c>
      <c r="H178" s="29">
        <f t="shared" si="76"/>
        <v>36089</v>
      </c>
      <c r="I178" s="29">
        <f t="shared" si="76"/>
        <v>40000</v>
      </c>
      <c r="J178" s="29">
        <f t="shared" si="76"/>
        <v>45000</v>
      </c>
      <c r="K178" s="29">
        <f t="shared" si="76"/>
        <v>50000</v>
      </c>
      <c r="L178" s="29">
        <f t="shared" si="76"/>
        <v>55000</v>
      </c>
      <c r="M178" s="29">
        <f t="shared" si="76"/>
        <v>60000</v>
      </c>
      <c r="N178" s="29">
        <f t="shared" si="76"/>
        <v>65000</v>
      </c>
      <c r="O178" s="29">
        <f t="shared" si="76"/>
        <v>70000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>
      <c r="A181" s="2"/>
      <c r="B181" s="4" t="s">
        <v>104</v>
      </c>
      <c r="C181" s="47">
        <v>-2118.8000000000002</v>
      </c>
      <c r="D181" s="2" t="s">
        <v>105</v>
      </c>
      <c r="E181" s="2" t="s">
        <v>205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>
      <c r="A182" s="2"/>
      <c r="B182" s="4" t="s">
        <v>106</v>
      </c>
      <c r="C182" s="48">
        <v>-52772</v>
      </c>
      <c r="D182" s="2" t="s">
        <v>34</v>
      </c>
      <c r="E182" s="2" t="s">
        <v>205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>
      <c r="A185" s="2"/>
      <c r="B185" s="21" t="s">
        <v>160</v>
      </c>
      <c r="C185" s="21"/>
      <c r="D185" s="2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>
      <c r="A195" s="2"/>
      <c r="B195" s="2" t="s">
        <v>107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>
      <c r="A196" s="2"/>
      <c r="B196" s="21" t="s">
        <v>108</v>
      </c>
      <c r="C196" s="21"/>
      <c r="D196" s="21"/>
      <c r="E196" s="21"/>
      <c r="F196" s="2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>
      <c r="A198" s="2"/>
      <c r="B198" s="2" t="s">
        <v>109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>
      <c r="A199" s="2"/>
      <c r="B199" s="2" t="s">
        <v>237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>
      <c r="A203" s="74" t="s">
        <v>110</v>
      </c>
      <c r="B203" s="75"/>
      <c r="C203" s="76" t="s">
        <v>34</v>
      </c>
      <c r="D203" s="75">
        <v>20000</v>
      </c>
      <c r="E203" s="75">
        <v>25000</v>
      </c>
      <c r="F203" s="75">
        <v>30000</v>
      </c>
      <c r="G203" s="75">
        <v>35000</v>
      </c>
      <c r="H203" s="75">
        <f>H_T</f>
        <v>36089</v>
      </c>
      <c r="I203" s="75">
        <v>40000</v>
      </c>
      <c r="J203" s="75">
        <v>45000</v>
      </c>
      <c r="K203" s="75">
        <v>50000</v>
      </c>
      <c r="L203" s="75">
        <v>55000</v>
      </c>
      <c r="M203" s="75">
        <v>60000</v>
      </c>
      <c r="N203" s="75">
        <v>65000</v>
      </c>
      <c r="O203" s="77">
        <v>70000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>
      <c r="A204" s="78" t="s">
        <v>111</v>
      </c>
      <c r="B204" s="59"/>
      <c r="C204" s="60" t="s">
        <v>7</v>
      </c>
      <c r="D204" s="79">
        <f t="shared" ref="D204:O204" si="77">D13</f>
        <v>10.191807796994766</v>
      </c>
      <c r="E204" s="79">
        <f t="shared" si="77"/>
        <v>9.9604385777602431</v>
      </c>
      <c r="F204" s="79">
        <f t="shared" si="77"/>
        <v>9.7278255152540041</v>
      </c>
      <c r="G204" s="79">
        <f t="shared" si="77"/>
        <v>9.4938003329852094</v>
      </c>
      <c r="H204" s="79">
        <f t="shared" si="77"/>
        <v>9.442709030448718</v>
      </c>
      <c r="I204" s="79">
        <f t="shared" si="77"/>
        <v>9.2615056131735756</v>
      </c>
      <c r="J204" s="79">
        <f t="shared" si="77"/>
        <v>9.0375911897456547</v>
      </c>
      <c r="K204" s="79">
        <f t="shared" si="77"/>
        <v>8.8219585861894672</v>
      </c>
      <c r="L204" s="79">
        <f t="shared" si="77"/>
        <v>8.6142027697986165</v>
      </c>
      <c r="M204" s="79">
        <f t="shared" si="77"/>
        <v>8.4139301957811696</v>
      </c>
      <c r="N204" s="79">
        <f t="shared" si="77"/>
        <v>8.2207515673014058</v>
      </c>
      <c r="O204" s="80">
        <f t="shared" si="77"/>
        <v>8.0343996169108394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>
      <c r="A205" s="81" t="s">
        <v>203</v>
      </c>
      <c r="B205" s="2"/>
      <c r="C205" s="16" t="s">
        <v>7</v>
      </c>
      <c r="D205" s="10">
        <f t="shared" ref="D205:O205" si="78">a_tot*D203+b_tot</f>
        <v>10.15428</v>
      </c>
      <c r="E205" s="10">
        <f t="shared" si="78"/>
        <v>9.9373500000000003</v>
      </c>
      <c r="F205" s="10">
        <f t="shared" si="78"/>
        <v>9.7204200000000007</v>
      </c>
      <c r="G205" s="10">
        <f t="shared" si="78"/>
        <v>9.5034899999999993</v>
      </c>
      <c r="H205" s="10">
        <f t="shared" si="78"/>
        <v>9.4562426459999998</v>
      </c>
      <c r="I205" s="10">
        <f t="shared" si="78"/>
        <v>9.2865599999999997</v>
      </c>
      <c r="J205" s="10">
        <f t="shared" si="78"/>
        <v>9.0696300000000001</v>
      </c>
      <c r="K205" s="10">
        <f t="shared" si="78"/>
        <v>8.8527000000000005</v>
      </c>
      <c r="L205" s="10">
        <f t="shared" si="78"/>
        <v>8.6357700000000008</v>
      </c>
      <c r="M205" s="10">
        <f t="shared" si="78"/>
        <v>8.4188399999999994</v>
      </c>
      <c r="N205" s="10">
        <f t="shared" si="78"/>
        <v>8.2019099999999998</v>
      </c>
      <c r="O205" s="10">
        <f t="shared" si="78"/>
        <v>7.9849800000000002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>
      <c r="A206" s="81" t="s">
        <v>202</v>
      </c>
      <c r="B206" s="2"/>
      <c r="C206" s="16" t="s">
        <v>7</v>
      </c>
      <c r="D206" s="10">
        <f t="shared" ref="D206:O206" si="79">t_SAC_0_100-t_SAC_0_0-(L_SAC_100-L_SAC_0)*D$203</f>
        <v>10.154199999999998</v>
      </c>
      <c r="E206" s="10">
        <f t="shared" si="79"/>
        <v>9.937249999999997</v>
      </c>
      <c r="F206" s="10">
        <f t="shared" si="79"/>
        <v>9.7202999999999982</v>
      </c>
      <c r="G206" s="10">
        <f t="shared" si="79"/>
        <v>9.5033499999999975</v>
      </c>
      <c r="H206" s="10">
        <f t="shared" si="79"/>
        <v>9.4560982899999981</v>
      </c>
      <c r="I206" s="10">
        <f t="shared" si="79"/>
        <v>9.2863999999999969</v>
      </c>
      <c r="J206" s="10">
        <f t="shared" si="79"/>
        <v>9.0694499999999962</v>
      </c>
      <c r="K206" s="10">
        <f t="shared" si="79"/>
        <v>8.8524999999999974</v>
      </c>
      <c r="L206" s="10">
        <f t="shared" si="79"/>
        <v>8.6355499999999967</v>
      </c>
      <c r="M206" s="10">
        <f t="shared" si="79"/>
        <v>8.4185999999999961</v>
      </c>
      <c r="N206" s="10">
        <f t="shared" si="79"/>
        <v>8.2016499999999972</v>
      </c>
      <c r="O206" s="10">
        <f t="shared" si="79"/>
        <v>7.9846999999999966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>
      <c r="A208" s="2"/>
      <c r="B208" s="2"/>
      <c r="C208" s="4" t="s">
        <v>112</v>
      </c>
      <c r="D208" s="47">
        <v>-4.3386000000000001E-5</v>
      </c>
      <c r="E208" s="2" t="s">
        <v>26</v>
      </c>
      <c r="F208" s="2" t="s">
        <v>205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>
      <c r="A209" s="2"/>
      <c r="B209" s="2"/>
      <c r="C209" s="4" t="s">
        <v>113</v>
      </c>
      <c r="D209" s="72">
        <v>11.022</v>
      </c>
      <c r="E209" s="2" t="s">
        <v>7</v>
      </c>
      <c r="F209" s="2" t="s">
        <v>205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>
      <c r="A211" s="81" t="s">
        <v>203</v>
      </c>
      <c r="B211" s="2"/>
      <c r="C211" s="21" t="s">
        <v>95</v>
      </c>
      <c r="D211" s="21"/>
      <c r="E211" s="21"/>
      <c r="F211" s="8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>
      <c r="A213" s="81" t="s">
        <v>202</v>
      </c>
      <c r="B213" s="2"/>
      <c r="C213" s="83" t="s">
        <v>204</v>
      </c>
      <c r="D213" s="82"/>
      <c r="E213" s="82"/>
      <c r="F213" s="8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21">
      <c r="A222" s="1" t="s">
        <v>114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>
      <c r="A223" s="2" t="s">
        <v>115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>
      <c r="A225" s="74" t="s">
        <v>110</v>
      </c>
      <c r="B225" s="75"/>
      <c r="C225" s="76" t="s">
        <v>34</v>
      </c>
      <c r="D225" s="75">
        <f>D8</f>
        <v>20000</v>
      </c>
      <c r="E225" s="75">
        <f t="shared" ref="E225:O225" si="80">E8</f>
        <v>25000</v>
      </c>
      <c r="F225" s="75">
        <f t="shared" si="80"/>
        <v>30000</v>
      </c>
      <c r="G225" s="75">
        <f t="shared" si="80"/>
        <v>35000</v>
      </c>
      <c r="H225" s="75">
        <f t="shared" si="80"/>
        <v>36089</v>
      </c>
      <c r="I225" s="75">
        <f t="shared" si="80"/>
        <v>40000</v>
      </c>
      <c r="J225" s="75">
        <f t="shared" si="80"/>
        <v>45000</v>
      </c>
      <c r="K225" s="75">
        <f t="shared" si="80"/>
        <v>50000</v>
      </c>
      <c r="L225" s="75">
        <f t="shared" si="80"/>
        <v>55000</v>
      </c>
      <c r="M225" s="75">
        <f t="shared" si="80"/>
        <v>60000</v>
      </c>
      <c r="N225" s="75">
        <f t="shared" si="80"/>
        <v>65000</v>
      </c>
      <c r="O225" s="77">
        <f t="shared" si="80"/>
        <v>70000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>
      <c r="A226" s="84" t="s">
        <v>64</v>
      </c>
      <c r="B226" s="2"/>
      <c r="C226" s="16" t="s">
        <v>7</v>
      </c>
      <c r="D226" s="12">
        <f>D11</f>
        <v>-34.171657846038833</v>
      </c>
      <c r="E226" s="12">
        <f t="shared" ref="E226:O226" si="81">E11</f>
        <v>-36.556995939242505</v>
      </c>
      <c r="F226" s="12">
        <f t="shared" si="81"/>
        <v>-38.983215462422002</v>
      </c>
      <c r="G226" s="12">
        <f t="shared" si="81"/>
        <v>-41.453686614326799</v>
      </c>
      <c r="H226" s="12">
        <f t="shared" si="81"/>
        <v>-41.997060149801399</v>
      </c>
      <c r="I226" s="12">
        <f t="shared" si="81"/>
        <v>-43.936149738567622</v>
      </c>
      <c r="J226" s="12">
        <f t="shared" si="81"/>
        <v>-46.358686546546537</v>
      </c>
      <c r="K226" s="12">
        <f t="shared" si="81"/>
        <v>-48.720135430706478</v>
      </c>
      <c r="L226" s="12">
        <f t="shared" si="81"/>
        <v>-51.022841943746812</v>
      </c>
      <c r="M226" s="12">
        <f t="shared" si="81"/>
        <v>-53.26904401732731</v>
      </c>
      <c r="N226" s="12">
        <f t="shared" si="81"/>
        <v>-55.460885188547678</v>
      </c>
      <c r="O226" s="85">
        <f t="shared" si="81"/>
        <v>-57.600302356601937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>
      <c r="A227" s="78" t="s">
        <v>65</v>
      </c>
      <c r="B227" s="59"/>
      <c r="C227" s="60" t="s">
        <v>7</v>
      </c>
      <c r="D227" s="86">
        <f>D12</f>
        <v>-44.363465643033599</v>
      </c>
      <c r="E227" s="86">
        <f t="shared" ref="E227:O227" si="82">E12</f>
        <v>-46.517434517002748</v>
      </c>
      <c r="F227" s="86">
        <f t="shared" si="82"/>
        <v>-48.711040977676006</v>
      </c>
      <c r="G227" s="86">
        <f t="shared" si="82"/>
        <v>-50.947486947312008</v>
      </c>
      <c r="H227" s="86">
        <f t="shared" si="82"/>
        <v>-51.439769180250117</v>
      </c>
      <c r="I227" s="86">
        <f t="shared" si="82"/>
        <v>-53.197655351741197</v>
      </c>
      <c r="J227" s="86">
        <f t="shared" si="82"/>
        <v>-55.396277736292191</v>
      </c>
      <c r="K227" s="86">
        <f t="shared" si="82"/>
        <v>-57.542094016895945</v>
      </c>
      <c r="L227" s="86">
        <f t="shared" si="82"/>
        <v>-59.637044713545428</v>
      </c>
      <c r="M227" s="86">
        <f t="shared" si="82"/>
        <v>-61.68297421310848</v>
      </c>
      <c r="N227" s="86">
        <f t="shared" si="82"/>
        <v>-63.681636755849084</v>
      </c>
      <c r="O227" s="87">
        <f t="shared" si="82"/>
        <v>-65.634701973512776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>
      <c r="A228" s="2" t="s">
        <v>66</v>
      </c>
      <c r="B228" s="2"/>
      <c r="C228" s="16" t="s">
        <v>7</v>
      </c>
      <c r="D228" s="12">
        <f t="shared" ref="D228:O228" si="83">D226-D227</f>
        <v>10.191807796994766</v>
      </c>
      <c r="E228" s="12">
        <f t="shared" si="83"/>
        <v>9.9604385777602431</v>
      </c>
      <c r="F228" s="12">
        <f t="shared" si="83"/>
        <v>9.7278255152540041</v>
      </c>
      <c r="G228" s="12">
        <f t="shared" si="83"/>
        <v>9.4938003329852094</v>
      </c>
      <c r="H228" s="12">
        <f t="shared" si="83"/>
        <v>9.442709030448718</v>
      </c>
      <c r="I228" s="12">
        <f t="shared" si="83"/>
        <v>9.2615056131735756</v>
      </c>
      <c r="J228" s="12">
        <f t="shared" si="83"/>
        <v>9.0375911897456547</v>
      </c>
      <c r="K228" s="12">
        <f t="shared" si="83"/>
        <v>8.8219585861894672</v>
      </c>
      <c r="L228" s="12">
        <f t="shared" si="83"/>
        <v>8.6142027697986165</v>
      </c>
      <c r="M228" s="12">
        <f t="shared" si="83"/>
        <v>8.4139301957811696</v>
      </c>
      <c r="N228" s="12">
        <f t="shared" si="83"/>
        <v>8.2207515673014058</v>
      </c>
      <c r="O228" s="12">
        <f t="shared" si="83"/>
        <v>8.0343996169108394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>
      <c r="A229" s="2" t="s">
        <v>116</v>
      </c>
      <c r="B229" s="2"/>
      <c r="C229" s="16" t="s">
        <v>7</v>
      </c>
      <c r="D229" s="12">
        <f>AVERAGE(D228:O228)</f>
        <v>9.1017433993619736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>
      <c r="A230" s="2" t="s">
        <v>117</v>
      </c>
      <c r="B230" s="2"/>
      <c r="C230" s="16" t="s">
        <v>7</v>
      </c>
      <c r="D230" s="12">
        <f t="shared" ref="D230:O230" si="84">IF(D$225&lt;H_T,t_0-L*D$225,t_0-L*H_T)</f>
        <v>-24.623999999999995</v>
      </c>
      <c r="E230" s="12">
        <f t="shared" si="84"/>
        <v>-34.529999999999994</v>
      </c>
      <c r="F230" s="12">
        <f t="shared" si="84"/>
        <v>-44.435999999999993</v>
      </c>
      <c r="G230" s="12">
        <f t="shared" si="84"/>
        <v>-54.341999999999999</v>
      </c>
      <c r="H230" s="12">
        <f t="shared" si="84"/>
        <v>-56.499526799999998</v>
      </c>
      <c r="I230" s="12">
        <f t="shared" si="84"/>
        <v>-56.499526799999998</v>
      </c>
      <c r="J230" s="12">
        <f t="shared" si="84"/>
        <v>-56.499526799999998</v>
      </c>
      <c r="K230" s="12">
        <f t="shared" si="84"/>
        <v>-56.499526799999998</v>
      </c>
      <c r="L230" s="12">
        <f t="shared" si="84"/>
        <v>-56.499526799999998</v>
      </c>
      <c r="M230" s="12">
        <f t="shared" si="84"/>
        <v>-56.499526799999998</v>
      </c>
      <c r="N230" s="12">
        <f t="shared" si="84"/>
        <v>-56.499526799999998</v>
      </c>
      <c r="O230" s="12">
        <f t="shared" si="84"/>
        <v>-56.499526799999998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>
      <c r="A231" s="2" t="s">
        <v>118</v>
      </c>
      <c r="B231" s="2"/>
      <c r="C231" s="16" t="s">
        <v>7</v>
      </c>
      <c r="D231" s="12">
        <f t="shared" ref="D231:O231" si="85">IF(D$225&lt;H_T_pole,t_0-L*D$225,t_T_pole)</f>
        <v>-24.623999999999995</v>
      </c>
      <c r="E231" s="12">
        <f t="shared" si="85"/>
        <v>-34.529999999999994</v>
      </c>
      <c r="F231" s="12">
        <f t="shared" si="85"/>
        <v>-44.435999999999993</v>
      </c>
      <c r="G231" s="12">
        <f t="shared" si="85"/>
        <v>-44.435999999999993</v>
      </c>
      <c r="H231" s="12">
        <f t="shared" si="85"/>
        <v>-44.435999999999993</v>
      </c>
      <c r="I231" s="12">
        <f t="shared" si="85"/>
        <v>-44.435999999999993</v>
      </c>
      <c r="J231" s="12">
        <f t="shared" si="85"/>
        <v>-44.435999999999993</v>
      </c>
      <c r="K231" s="12">
        <f t="shared" si="85"/>
        <v>-44.435999999999993</v>
      </c>
      <c r="L231" s="12">
        <f t="shared" si="85"/>
        <v>-44.435999999999993</v>
      </c>
      <c r="M231" s="12">
        <f t="shared" si="85"/>
        <v>-44.435999999999993</v>
      </c>
      <c r="N231" s="12">
        <f t="shared" si="85"/>
        <v>-44.435999999999993</v>
      </c>
      <c r="O231" s="12">
        <f t="shared" si="85"/>
        <v>-44.435999999999993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>
      <c r="A232" s="2" t="s">
        <v>119</v>
      </c>
      <c r="B232" s="2"/>
      <c r="C232" s="16" t="s">
        <v>7</v>
      </c>
      <c r="D232" s="12">
        <f t="shared" ref="D232:O232" si="86">t_0_lat-L*D$225</f>
        <v>-19.623999999999995</v>
      </c>
      <c r="E232" s="12">
        <f t="shared" si="86"/>
        <v>-29.529999999999994</v>
      </c>
      <c r="F232" s="12">
        <f t="shared" si="86"/>
        <v>-39.435999999999993</v>
      </c>
      <c r="G232" s="12">
        <f t="shared" si="86"/>
        <v>-49.341999999999999</v>
      </c>
      <c r="H232" s="12">
        <f t="shared" si="86"/>
        <v>-51.499526799999998</v>
      </c>
      <c r="I232" s="12">
        <f t="shared" si="86"/>
        <v>-59.24799999999999</v>
      </c>
      <c r="J232" s="12">
        <f t="shared" si="86"/>
        <v>-69.153999999999996</v>
      </c>
      <c r="K232" s="12">
        <f t="shared" si="86"/>
        <v>-79.059999999999988</v>
      </c>
      <c r="L232" s="12">
        <f t="shared" si="86"/>
        <v>-88.965999999999994</v>
      </c>
      <c r="M232" s="12">
        <f t="shared" si="86"/>
        <v>-98.871999999999986</v>
      </c>
      <c r="N232" s="12">
        <f t="shared" si="86"/>
        <v>-108.77799999999999</v>
      </c>
      <c r="O232" s="12">
        <f t="shared" si="86"/>
        <v>-118.684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>
      <c r="A233" s="2" t="s">
        <v>120</v>
      </c>
      <c r="B233" s="2"/>
      <c r="C233" s="16" t="s">
        <v>7</v>
      </c>
      <c r="D233" s="12">
        <f t="shared" ref="D233:O233" si="87">t_T_lat</f>
        <v>-53.648335677208834</v>
      </c>
      <c r="E233" s="12">
        <f t="shared" si="87"/>
        <v>-53.648335677208834</v>
      </c>
      <c r="F233" s="12">
        <f t="shared" si="87"/>
        <v>-53.648335677208834</v>
      </c>
      <c r="G233" s="12">
        <f t="shared" si="87"/>
        <v>-53.648335677208834</v>
      </c>
      <c r="H233" s="12">
        <f t="shared" si="87"/>
        <v>-53.648335677208834</v>
      </c>
      <c r="I233" s="12">
        <f t="shared" si="87"/>
        <v>-53.648335677208834</v>
      </c>
      <c r="J233" s="12">
        <f t="shared" si="87"/>
        <v>-53.648335677208834</v>
      </c>
      <c r="K233" s="12">
        <f t="shared" si="87"/>
        <v>-53.648335677208834</v>
      </c>
      <c r="L233" s="12">
        <f t="shared" si="87"/>
        <v>-53.648335677208834</v>
      </c>
      <c r="M233" s="12">
        <f t="shared" si="87"/>
        <v>-53.648335677208834</v>
      </c>
      <c r="N233" s="12">
        <f t="shared" si="87"/>
        <v>-53.648335677208834</v>
      </c>
      <c r="O233" s="12">
        <f t="shared" si="87"/>
        <v>-53.648335677208834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>
      <c r="A234" s="2" t="s">
        <v>121</v>
      </c>
      <c r="B234" s="2"/>
      <c r="C234" s="16" t="s">
        <v>7</v>
      </c>
      <c r="D234" s="12">
        <f t="shared" ref="D234:O234" si="88">IF(D$225&lt;H_T_equator,t_0-L*D$225,t_T_equator)</f>
        <v>-24.623999999999995</v>
      </c>
      <c r="E234" s="12">
        <f t="shared" si="88"/>
        <v>-34.529999999999994</v>
      </c>
      <c r="F234" s="12">
        <f t="shared" si="88"/>
        <v>-44.435999999999993</v>
      </c>
      <c r="G234" s="12">
        <f t="shared" si="88"/>
        <v>-54.341999999999999</v>
      </c>
      <c r="H234" s="12">
        <f t="shared" si="88"/>
        <v>-56.499526799999998</v>
      </c>
      <c r="I234" s="12">
        <f t="shared" si="88"/>
        <v>-64.24799999999999</v>
      </c>
      <c r="J234" s="12">
        <f t="shared" si="88"/>
        <v>-74.153999999999996</v>
      </c>
      <c r="K234" s="12">
        <f t="shared" si="88"/>
        <v>-84.059999999999988</v>
      </c>
      <c r="L234" s="12">
        <f t="shared" si="88"/>
        <v>-84.059999999999988</v>
      </c>
      <c r="M234" s="12">
        <f t="shared" si="88"/>
        <v>-84.059999999999988</v>
      </c>
      <c r="N234" s="12">
        <f t="shared" si="88"/>
        <v>-84.059999999999988</v>
      </c>
      <c r="O234" s="12">
        <f t="shared" si="88"/>
        <v>-84.059999999999988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>
      <c r="A236" s="29" t="s">
        <v>122</v>
      </c>
      <c r="B236" s="29">
        <v>0.30480000000000002</v>
      </c>
      <c r="C236" s="2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>
      <c r="A237" s="2" t="s">
        <v>123</v>
      </c>
      <c r="B237" s="68">
        <v>20</v>
      </c>
      <c r="C237" s="2" t="s">
        <v>7</v>
      </c>
      <c r="D237" s="2">
        <v>15</v>
      </c>
      <c r="E237" s="2" t="s">
        <v>201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>
      <c r="A238" s="2" t="s">
        <v>124</v>
      </c>
      <c r="B238" s="4">
        <v>30000</v>
      </c>
      <c r="C238" s="2" t="s">
        <v>34</v>
      </c>
      <c r="D238" s="10">
        <f>H_T_pole*m_ft/1000</f>
        <v>9.1440000000000001</v>
      </c>
      <c r="E238" s="2" t="s">
        <v>125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>
      <c r="A239" s="2" t="s">
        <v>169</v>
      </c>
      <c r="B239" s="68">
        <v>53.5</v>
      </c>
      <c r="C239" s="2" t="s">
        <v>168</v>
      </c>
      <c r="D239" s="62">
        <v>53.5</v>
      </c>
      <c r="E239" s="62" t="s">
        <v>178</v>
      </c>
      <c r="F239" s="6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>
      <c r="A240" s="2" t="s">
        <v>170</v>
      </c>
      <c r="B240" s="23">
        <f>D240/m_ft*1000</f>
        <v>37173.599675554637</v>
      </c>
      <c r="C240" s="2" t="s">
        <v>34</v>
      </c>
      <c r="D240" s="10">
        <f>a_lat*(1+COS(2*B*PI()/180))+b_lat</f>
        <v>11.330513181109053</v>
      </c>
      <c r="E240" s="2" t="s">
        <v>125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>
      <c r="A241" s="2" t="s">
        <v>126</v>
      </c>
      <c r="B241" s="23">
        <f>B240</f>
        <v>37173.599675554637</v>
      </c>
      <c r="C241" s="2" t="s">
        <v>34</v>
      </c>
      <c r="D241" s="10">
        <f>H_T_lat*m_ft/1000</f>
        <v>11.330513181109055</v>
      </c>
      <c r="E241" s="2" t="s">
        <v>125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>
      <c r="A242" s="29" t="s">
        <v>127</v>
      </c>
      <c r="B242" s="91">
        <v>50000</v>
      </c>
      <c r="C242" s="29" t="s">
        <v>34</v>
      </c>
      <c r="D242" s="2">
        <f>H_T_equator*m_ft/1000</f>
        <v>15.24</v>
      </c>
      <c r="E242" s="2" t="s">
        <v>125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>
      <c r="A243" s="2" t="s">
        <v>128</v>
      </c>
      <c r="B243" s="12">
        <f>t_0-L*H_T_pole</f>
        <v>-44.435999999999993</v>
      </c>
      <c r="C243" s="2" t="s">
        <v>7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>
      <c r="A244" s="2" t="s">
        <v>129</v>
      </c>
      <c r="B244" s="12">
        <f>t_0-L*H_T</f>
        <v>-56.499526799999998</v>
      </c>
      <c r="C244" s="2" t="s">
        <v>7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>
      <c r="A245" s="2" t="s">
        <v>130</v>
      </c>
      <c r="B245" s="12">
        <f>t_0_lat-L*H_T_lat</f>
        <v>-53.648335677208834</v>
      </c>
      <c r="C245" s="2" t="s">
        <v>7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>
      <c r="A246" s="29" t="s">
        <v>131</v>
      </c>
      <c r="B246" s="30">
        <f>t_0-L*H_T_equator</f>
        <v>-84.059999999999988</v>
      </c>
      <c r="C246" s="29" t="s">
        <v>7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>
      <c r="A247" s="2" t="s">
        <v>132</v>
      </c>
      <c r="B247" s="88">
        <v>4.2831999999999999E-4</v>
      </c>
      <c r="C247" s="2" t="s">
        <v>26</v>
      </c>
      <c r="D247" s="2" t="s">
        <v>205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>
      <c r="A248" s="2" t="s">
        <v>133</v>
      </c>
      <c r="B248" s="88">
        <v>4.7171000000000002E-4</v>
      </c>
      <c r="C248" s="2" t="s">
        <v>26</v>
      </c>
      <c r="D248" s="2" t="s">
        <v>205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>
      <c r="A249" s="2" t="s">
        <v>134</v>
      </c>
      <c r="B249" s="89">
        <v>-35.94</v>
      </c>
      <c r="C249" s="2" t="s">
        <v>7</v>
      </c>
      <c r="D249" s="2" t="s">
        <v>205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>
      <c r="A250" s="29" t="s">
        <v>135</v>
      </c>
      <c r="B250" s="90">
        <v>-24.917999999999999</v>
      </c>
      <c r="C250" s="29" t="s">
        <v>7</v>
      </c>
      <c r="D250" s="2" t="s">
        <v>205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>
      <c r="A251" s="21" t="s">
        <v>136</v>
      </c>
      <c r="B251" s="21"/>
      <c r="C251" s="2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>
      <c r="A252" s="50" t="s">
        <v>137</v>
      </c>
      <c r="B252" s="50"/>
      <c r="C252" s="50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8.75">
      <c r="A255" s="51" t="s">
        <v>138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>
      <c r="A257" s="2" t="s">
        <v>139</v>
      </c>
      <c r="B257" s="2"/>
      <c r="C257" s="2"/>
      <c r="D257" s="2" t="s">
        <v>140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>
      <c r="A258" s="2" t="s">
        <v>141</v>
      </c>
      <c r="B258" s="23">
        <f>(t_0-t_SAC_0_100)/(L-L_SAC_100)</f>
        <v>26444.693240763438</v>
      </c>
      <c r="C258" s="2" t="s">
        <v>34</v>
      </c>
      <c r="D258" s="2">
        <f>ROUND(B258/1000,0)*10</f>
        <v>260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>
      <c r="A259" s="2" t="s">
        <v>142</v>
      </c>
      <c r="B259" s="23">
        <f>(t_0_lat-t_SAC_0_100)/(L-L_SAC_100)</f>
        <v>29757.070268766274</v>
      </c>
      <c r="C259" s="2" t="s">
        <v>34</v>
      </c>
      <c r="D259" s="2">
        <f>ROUND(B259/1000,0)*10</f>
        <v>300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>
      <c r="A260" s="2" t="s">
        <v>143</v>
      </c>
      <c r="B260" s="23">
        <f>(t_0-t_SAC_0_0)/(L-L_SAC_0)</f>
        <v>32803.564988923812</v>
      </c>
      <c r="C260" s="2" t="s">
        <v>34</v>
      </c>
      <c r="D260" s="2">
        <f>ROUND(B260/1000,0)*10</f>
        <v>330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>
      <c r="A261" s="29" t="s">
        <v>144</v>
      </c>
      <c r="B261" s="52">
        <f>(t_0_lat-t_SAC_0_0)/(L-L_SAC_0)</f>
        <v>36023.388800164859</v>
      </c>
      <c r="C261" s="29" t="s">
        <v>34</v>
      </c>
      <c r="D261" s="29">
        <f>ROUND(B261/1000,0)*10</f>
        <v>360</v>
      </c>
      <c r="E261" s="29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>
      <c r="A262" s="2" t="s">
        <v>145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>
      <c r="A263" s="2" t="s">
        <v>146</v>
      </c>
      <c r="B263" s="53" t="str">
        <f>IF((t_SAC_0_0-t_T_pole)/L_SAC_0&gt;H_SAC_0,(t_SAC_0_0-t_T_pole)/L_SAC_0,"n.a.")</f>
        <v>n.a.</v>
      </c>
      <c r="C263" s="2" t="s">
        <v>34</v>
      </c>
      <c r="D263" s="16" t="str">
        <f t="shared" ref="D263:D270" si="89">IF(B263="n.a.","n.a.",ROUND(B263/1000,0)*10)</f>
        <v>n.a.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>
      <c r="A264" s="2" t="s">
        <v>147</v>
      </c>
      <c r="B264" s="53">
        <f>IF((t_SAC_0_100-t_T_pole)/L_SAC_100&gt;H_SAC_100,(t_SAC_0_100-t_T_pole)/L_SAC_100,"n.a.")</f>
        <v>41377.117296644108</v>
      </c>
      <c r="C264" s="2" t="s">
        <v>34</v>
      </c>
      <c r="D264" s="16">
        <f t="shared" si="89"/>
        <v>410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>
      <c r="A265" s="2" t="s">
        <v>148</v>
      </c>
      <c r="B265" s="53">
        <f>(t_SAC_0_0-t_T)/L_SAC_0</f>
        <v>48000.389428464703</v>
      </c>
      <c r="C265" s="2" t="s">
        <v>34</v>
      </c>
      <c r="D265" s="16">
        <f t="shared" si="89"/>
        <v>480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>
      <c r="A266" s="2" t="s">
        <v>149</v>
      </c>
      <c r="B266" s="53">
        <f>(t_SAC_0_100-t_T)/L_SAC_100</f>
        <v>66951.149647028884</v>
      </c>
      <c r="C266" s="2" t="s">
        <v>34</v>
      </c>
      <c r="D266" s="16">
        <f t="shared" si="89"/>
        <v>670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>
      <c r="A267" s="2" t="s">
        <v>144</v>
      </c>
      <c r="B267" s="53">
        <f>IF((t_SAC_0_0-t_T_lat)/L_SAC_0&gt;H_SAC_lat_0,(t_SAC_0_0-t_T_lat)/L_SAC_0,"n.a.")</f>
        <v>41343.704887021006</v>
      </c>
      <c r="C267" s="2" t="s">
        <v>34</v>
      </c>
      <c r="D267" s="16">
        <f t="shared" si="89"/>
        <v>410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>
      <c r="A268" s="2" t="s">
        <v>142</v>
      </c>
      <c r="B268" s="53">
        <f>IF((t_SAC_0_100-t_T_lat)/L_SAC_100&gt;H_SAC_lat_100,(t_SAC_0_100-t_T_lat)/L_SAC_100,"n.a.")</f>
        <v>60906.77678490775</v>
      </c>
      <c r="C268" s="2" t="s">
        <v>34</v>
      </c>
      <c r="D268" s="16">
        <f t="shared" si="89"/>
        <v>610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>
      <c r="A269" s="2" t="s">
        <v>150</v>
      </c>
      <c r="B269" s="53">
        <f>IF((t_SAC_0_0-t_T_equator)/L_SAC_0&gt;H_SAC_100,(t_SAC_0_0-t_T_equator)/L_SAC_0,"n.a.")</f>
        <v>112345.90960029882</v>
      </c>
      <c r="C269" s="2" t="s">
        <v>34</v>
      </c>
      <c r="D269" s="16">
        <f t="shared" si="89"/>
        <v>1120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>
      <c r="A270" s="2" t="s">
        <v>151</v>
      </c>
      <c r="B270" s="53">
        <f>IF((t_SAC_0_100-t_T_equator)/L_SAC_100&gt;H_SAC_100,(t_SAC_0_100-t_T_equator)/L_SAC_100,"n.a.")</f>
        <v>125377.88047741193</v>
      </c>
      <c r="C270" s="2" t="s">
        <v>34</v>
      </c>
      <c r="D270" s="16">
        <f t="shared" si="89"/>
        <v>1250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21">
      <c r="A273" s="1" t="s">
        <v>152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>
      <c r="A275" s="2" t="s">
        <v>37</v>
      </c>
      <c r="B275" s="2" t="s">
        <v>34</v>
      </c>
      <c r="C275" s="2">
        <v>20000</v>
      </c>
      <c r="D275" s="2">
        <v>70000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>
      <c r="A276" s="2" t="s">
        <v>153</v>
      </c>
      <c r="B276" s="2" t="s">
        <v>7</v>
      </c>
      <c r="C276" s="12">
        <f>a_tot*C$275+b_tot</f>
        <v>10.15428</v>
      </c>
      <c r="D276" s="12">
        <f>a_tot*D$275+b_tot</f>
        <v>7.9849800000000002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>
      <c r="A277" s="2" t="s">
        <v>154</v>
      </c>
      <c r="B277" s="2" t="s">
        <v>155</v>
      </c>
      <c r="C277" s="36">
        <f>1/C$276^b_t</f>
        <v>2.4174646800060196E-3</v>
      </c>
      <c r="D277" s="36">
        <f>1/D$276^b_t</f>
        <v>4.5151142698865035E-3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>
      <c r="A278" s="54" t="s">
        <v>156</v>
      </c>
      <c r="B278" s="55" t="s">
        <v>157</v>
      </c>
      <c r="C278" s="55" t="s">
        <v>158</v>
      </c>
      <c r="D278" s="55" t="s">
        <v>158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>
      <c r="A279" s="56">
        <v>0.5</v>
      </c>
      <c r="B279" s="57">
        <f>1-$A279</f>
        <v>0.5</v>
      </c>
      <c r="C279" s="12">
        <f t="shared" ref="C279:D281" si="90">($B279/C$277)^(1/b_t)</f>
        <v>7.77749426416998</v>
      </c>
      <c r="D279" s="12">
        <f t="shared" si="90"/>
        <v>6.1159566359714299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>
      <c r="A280" s="56">
        <v>0.8</v>
      </c>
      <c r="B280" s="57">
        <f>1-$A280</f>
        <v>0.19999999999999996</v>
      </c>
      <c r="C280" s="12">
        <f t="shared" si="90"/>
        <v>5.4669858951467312</v>
      </c>
      <c r="D280" s="12">
        <f t="shared" si="90"/>
        <v>4.2990515362023425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>
      <c r="A281" s="56">
        <v>0.95</v>
      </c>
      <c r="B281" s="57">
        <f>1-$A281</f>
        <v>5.0000000000000044E-2</v>
      </c>
      <c r="C281" s="12">
        <f t="shared" si="90"/>
        <v>3.2072224478916929</v>
      </c>
      <c r="D281" s="12">
        <f t="shared" si="90"/>
        <v>2.5220505148534604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>
      <c r="A283" s="49" t="s">
        <v>64</v>
      </c>
      <c r="B283" s="2" t="s">
        <v>7</v>
      </c>
      <c r="C283" s="12">
        <f>D226</f>
        <v>-34.171657846038833</v>
      </c>
      <c r="D283" s="12">
        <f>O226</f>
        <v>-57.600302356601937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>
      <c r="A284" s="54" t="s">
        <v>156</v>
      </c>
      <c r="B284" s="55" t="s">
        <v>157</v>
      </c>
      <c r="C284" s="54" t="s">
        <v>159</v>
      </c>
      <c r="D284" s="54" t="s">
        <v>159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>
      <c r="A285" s="56">
        <f>A279</f>
        <v>0.5</v>
      </c>
      <c r="B285" s="57">
        <f>1-$A285</f>
        <v>0.5</v>
      </c>
      <c r="C285" s="12">
        <f t="shared" ref="C285:D287" si="91">C$283-C279</f>
        <v>-41.949152110208814</v>
      </c>
      <c r="D285" s="12">
        <f t="shared" si="91"/>
        <v>-63.716258992573366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>
      <c r="A286" s="56">
        <f>A280</f>
        <v>0.8</v>
      </c>
      <c r="B286" s="57">
        <f>1-$A286</f>
        <v>0.19999999999999996</v>
      </c>
      <c r="C286" s="12">
        <f t="shared" si="91"/>
        <v>-39.638643741185561</v>
      </c>
      <c r="D286" s="12">
        <f t="shared" si="91"/>
        <v>-61.899353892804278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>
      <c r="A287" s="56">
        <f>A281</f>
        <v>0.95</v>
      </c>
      <c r="B287" s="57">
        <f>1-$A287</f>
        <v>5.0000000000000044E-2</v>
      </c>
      <c r="C287" s="12">
        <f t="shared" si="91"/>
        <v>-37.378880293930528</v>
      </c>
      <c r="D287" s="12">
        <f t="shared" si="91"/>
        <v>-60.122352871455398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8">
      <c r="A289" s="2" t="s">
        <v>64</v>
      </c>
      <c r="B289" s="2"/>
      <c r="C289" s="2">
        <f>t_SAC_0_100-L_SAC_100*C$275</f>
        <v>-34.352199999999996</v>
      </c>
      <c r="D289" s="2">
        <f>t_SAC_0_100-L_SAC_100*D$275</f>
        <v>-57.9377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8">
      <c r="A290" s="2" t="s">
        <v>65</v>
      </c>
      <c r="B290" s="2"/>
      <c r="C290" s="2">
        <f>t_SAC_0_0-L_SAC_0*C$275</f>
        <v>-44.506399999999999</v>
      </c>
      <c r="D290" s="2">
        <f>t_SAC_0_0-L_SAC_0*D$275</f>
        <v>-65.922399999999996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</row>
    <row r="296" spans="1:7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</row>
    <row r="297" spans="1:7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</row>
    <row r="298" spans="1:7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</row>
    <row r="299" spans="1:7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</row>
    <row r="300" spans="1:7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</row>
    <row r="301" spans="1:7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</row>
    <row r="302" spans="1:7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</row>
    <row r="303" spans="1:7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</row>
    <row r="304" spans="1:7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</row>
    <row r="305" spans="1:7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</row>
    <row r="306" spans="1:78" ht="21">
      <c r="A306" s="1" t="s">
        <v>223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</row>
    <row r="307" spans="1:78" ht="21">
      <c r="A307" s="1" t="s">
        <v>222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</row>
    <row r="308" spans="1:7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</row>
    <row r="309" spans="1:78">
      <c r="A309" s="96"/>
      <c r="B309" s="97" t="s">
        <v>167</v>
      </c>
      <c r="C309" s="98"/>
      <c r="D309" s="82"/>
      <c r="E309" s="61" t="s">
        <v>177</v>
      </c>
      <c r="F309" s="59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</row>
    <row r="310" spans="1:78">
      <c r="A310" s="2" t="s">
        <v>176</v>
      </c>
      <c r="B310" s="2" t="s">
        <v>162</v>
      </c>
      <c r="C310" s="95">
        <v>4</v>
      </c>
      <c r="D310" s="2" t="s">
        <v>125</v>
      </c>
      <c r="E310" s="10">
        <v>3.5</v>
      </c>
      <c r="F310" s="2" t="s">
        <v>125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</row>
    <row r="311" spans="1:78">
      <c r="A311" s="2" t="s">
        <v>124</v>
      </c>
      <c r="B311" s="2" t="s">
        <v>163</v>
      </c>
      <c r="C311" s="95">
        <v>8.5</v>
      </c>
      <c r="D311" s="2" t="s">
        <v>125</v>
      </c>
      <c r="E311" s="10">
        <v>9</v>
      </c>
      <c r="F311" s="2" t="s">
        <v>125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</row>
    <row r="312" spans="1:7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</row>
    <row r="313" spans="1:78">
      <c r="A313" s="60" t="s">
        <v>166</v>
      </c>
      <c r="B313" s="60" t="s">
        <v>164</v>
      </c>
      <c r="C313" s="60" t="s">
        <v>165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</row>
    <row r="314" spans="1:78">
      <c r="A314" s="2">
        <v>-90</v>
      </c>
      <c r="B314" s="12">
        <v>9</v>
      </c>
      <c r="C314" s="10">
        <f t="shared" ref="C314:C332" si="92">a_lat*(1+COS(2*A314*PI()/180))+b_lat</f>
        <v>8.5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</row>
    <row r="315" spans="1:78">
      <c r="A315" s="2">
        <v>-80</v>
      </c>
      <c r="B315" s="12">
        <v>9</v>
      </c>
      <c r="C315" s="10">
        <f t="shared" si="92"/>
        <v>8.7412295168563663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</row>
    <row r="316" spans="1:78">
      <c r="A316" s="2">
        <v>-70</v>
      </c>
      <c r="B316" s="12">
        <v>9.5</v>
      </c>
      <c r="C316" s="10">
        <f t="shared" si="92"/>
        <v>9.4358222275240884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</row>
    <row r="317" spans="1:78">
      <c r="A317" s="2">
        <v>-60</v>
      </c>
      <c r="B317" s="12">
        <v>10</v>
      </c>
      <c r="C317" s="10">
        <f t="shared" si="92"/>
        <v>10.5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</row>
    <row r="318" spans="1:78">
      <c r="A318" s="2">
        <v>-50</v>
      </c>
      <c r="B318" s="12">
        <v>11</v>
      </c>
      <c r="C318" s="10">
        <f t="shared" si="92"/>
        <v>11.80540728933228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</row>
    <row r="319" spans="1:78">
      <c r="A319" s="2">
        <v>-40</v>
      </c>
      <c r="B319" s="12">
        <v>13</v>
      </c>
      <c r="C319" s="10">
        <f t="shared" si="92"/>
        <v>13.194592710667722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</row>
    <row r="320" spans="1:78">
      <c r="A320" s="2">
        <v>-30</v>
      </c>
      <c r="B320" s="12">
        <v>15.2</v>
      </c>
      <c r="C320" s="10">
        <f t="shared" si="92"/>
        <v>14.5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</row>
    <row r="321" spans="1:78">
      <c r="A321" s="2">
        <v>-20</v>
      </c>
      <c r="B321" s="12">
        <v>16</v>
      </c>
      <c r="C321" s="10">
        <f t="shared" si="92"/>
        <v>15.564177772475912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</row>
    <row r="322" spans="1:78">
      <c r="A322" s="2">
        <v>-10</v>
      </c>
      <c r="B322" s="12">
        <v>16.8</v>
      </c>
      <c r="C322" s="10">
        <f t="shared" si="92"/>
        <v>16.258770483143635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</row>
    <row r="323" spans="1:78">
      <c r="A323" s="2">
        <v>0</v>
      </c>
      <c r="B323" s="12">
        <v>16.399999999999999</v>
      </c>
      <c r="C323" s="10">
        <f t="shared" si="92"/>
        <v>16.5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</row>
    <row r="324" spans="1:78">
      <c r="A324" s="2">
        <v>10</v>
      </c>
      <c r="B324" s="12">
        <v>16.399999999999999</v>
      </c>
      <c r="C324" s="10">
        <f t="shared" si="92"/>
        <v>16.258770483143635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</row>
    <row r="325" spans="1:78">
      <c r="A325" s="2">
        <v>20</v>
      </c>
      <c r="B325" s="12">
        <v>15.8</v>
      </c>
      <c r="C325" s="10">
        <f t="shared" si="92"/>
        <v>15.564177772475912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</row>
    <row r="326" spans="1:78">
      <c r="A326" s="2">
        <v>30</v>
      </c>
      <c r="B326" s="12">
        <v>13</v>
      </c>
      <c r="C326" s="10">
        <f t="shared" si="92"/>
        <v>14.5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</row>
    <row r="327" spans="1:78">
      <c r="A327" s="2">
        <v>40</v>
      </c>
      <c r="B327" s="12">
        <v>10.4</v>
      </c>
      <c r="C327" s="10">
        <f t="shared" si="92"/>
        <v>13.194592710667722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</row>
    <row r="328" spans="1:78">
      <c r="A328" s="2">
        <v>50</v>
      </c>
      <c r="B328" s="12">
        <v>9.6999999999999993</v>
      </c>
      <c r="C328" s="10">
        <f t="shared" si="92"/>
        <v>11.80540728933228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</row>
    <row r="329" spans="1:78">
      <c r="A329" s="2">
        <v>60</v>
      </c>
      <c r="B329" s="12">
        <v>8.9</v>
      </c>
      <c r="C329" s="10">
        <f t="shared" si="92"/>
        <v>10.5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 t="s">
        <v>179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</row>
    <row r="330" spans="1:78">
      <c r="A330" s="2">
        <v>70</v>
      </c>
      <c r="B330" s="12">
        <v>8.4</v>
      </c>
      <c r="C330" s="10">
        <f t="shared" si="92"/>
        <v>9.4358222275240884</v>
      </c>
      <c r="D330" s="2"/>
      <c r="E330" s="2"/>
      <c r="F330" s="2"/>
      <c r="G330" s="2" t="s">
        <v>173</v>
      </c>
      <c r="H330" s="2"/>
      <c r="I330" s="2"/>
      <c r="J330" s="2"/>
      <c r="K330" s="2"/>
      <c r="L330" s="2"/>
      <c r="M330" s="2"/>
      <c r="N330" s="2"/>
      <c r="O330" s="2"/>
      <c r="P330" s="2"/>
      <c r="Q330" s="2" t="s">
        <v>180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</row>
    <row r="331" spans="1:78">
      <c r="A331" s="2">
        <v>80</v>
      </c>
      <c r="B331" s="12">
        <v>8</v>
      </c>
      <c r="C331" s="10">
        <f t="shared" si="92"/>
        <v>8.7412295168563663</v>
      </c>
      <c r="D331" s="2"/>
      <c r="E331" s="2"/>
      <c r="F331" s="2"/>
      <c r="G331" s="3" t="s">
        <v>174</v>
      </c>
      <c r="H331" s="2"/>
      <c r="I331" s="2"/>
      <c r="J331" s="2"/>
      <c r="K331" s="2"/>
      <c r="L331" s="2"/>
      <c r="M331" s="2"/>
      <c r="N331" s="2"/>
      <c r="O331" s="2"/>
      <c r="P331" s="2"/>
      <c r="Q331" s="4" t="s">
        <v>172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</row>
    <row r="332" spans="1:78">
      <c r="A332" s="2">
        <v>90</v>
      </c>
      <c r="B332" s="12">
        <v>8</v>
      </c>
      <c r="C332" s="10">
        <f t="shared" si="92"/>
        <v>8.5</v>
      </c>
      <c r="D332" s="2"/>
      <c r="E332" s="2"/>
      <c r="F332" s="2"/>
      <c r="G332" s="3" t="s">
        <v>175</v>
      </c>
      <c r="H332" s="2"/>
      <c r="I332" s="2"/>
      <c r="J332" s="2"/>
      <c r="K332" s="2"/>
      <c r="L332" s="2"/>
      <c r="M332" s="2"/>
      <c r="N332" s="2"/>
      <c r="O332" s="2"/>
      <c r="P332" s="2"/>
      <c r="Q332" s="63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</row>
    <row r="333" spans="1:7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 t="s">
        <v>181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</row>
    <row r="334" spans="1:7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3" t="s">
        <v>171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</row>
    <row r="335" spans="1:7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</row>
    <row r="336" spans="1:7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</row>
    <row r="337" spans="1:7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</row>
    <row r="338" spans="1:7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</row>
    <row r="339" spans="1:7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</row>
    <row r="340" spans="1:7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</row>
    <row r="341" spans="1:7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</row>
    <row r="342" spans="1:7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</row>
    <row r="343" spans="1:7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</row>
    <row r="344" spans="1:7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</row>
    <row r="345" spans="1:7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</row>
    <row r="346" spans="1:7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</row>
    <row r="347" spans="1:7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</row>
    <row r="348" spans="1:7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</row>
    <row r="349" spans="1:7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</row>
    <row r="350" spans="1:7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</row>
    <row r="351" spans="1:7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</row>
    <row r="352" spans="1:7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</row>
    <row r="353" spans="1:7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</row>
    <row r="354" spans="1:7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</row>
    <row r="355" spans="1:7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</row>
    <row r="356" spans="1:7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</row>
    <row r="357" spans="1:7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</row>
    <row r="358" spans="1:7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</row>
    <row r="359" spans="1:7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</row>
    <row r="360" spans="1:7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</row>
    <row r="361" spans="1:7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</row>
    <row r="362" spans="1:7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</row>
    <row r="363" spans="1:7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</row>
    <row r="364" spans="1:7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</row>
    <row r="365" spans="1:7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</row>
    <row r="366" spans="1:7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</row>
    <row r="367" spans="1:7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</row>
    <row r="368" spans="1:7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</row>
    <row r="369" spans="1:7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</row>
    <row r="370" spans="1:7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</row>
    <row r="371" spans="1:7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</row>
    <row r="372" spans="1:7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</row>
    <row r="373" spans="1:7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</row>
    <row r="374" spans="1:7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</row>
    <row r="375" spans="1:7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</row>
    <row r="376" spans="1:7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</row>
    <row r="377" spans="1:7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</row>
    <row r="378" spans="1: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</row>
    <row r="379" spans="1:7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</row>
    <row r="380" spans="1:7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</row>
    <row r="381" spans="1:7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</row>
    <row r="382" spans="1:7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</row>
    <row r="383" spans="1:7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</row>
    <row r="384" spans="1:7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</row>
    <row r="385" spans="1:7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</row>
    <row r="386" spans="1:7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</row>
    <row r="387" spans="1:7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</row>
    <row r="388" spans="1:7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</row>
    <row r="389" spans="1:7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</row>
    <row r="390" spans="1:7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</row>
    <row r="391" spans="1:7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</row>
    <row r="392" spans="1:7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</row>
    <row r="393" spans="1:7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</row>
    <row r="394" spans="1:7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</row>
    <row r="395" spans="1:7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</row>
    <row r="396" spans="1:7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</row>
    <row r="397" spans="1:7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</row>
    <row r="398" spans="1:7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</row>
    <row r="399" spans="1:7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</row>
  </sheetData>
  <conditionalFormatting sqref="D16:M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:M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4:M139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Q334" r:id="rId1" xr:uid="{2CB4C32A-F85D-468E-AEFD-EEE1B6BB6511}"/>
    <hyperlink ref="G331" r:id="rId2" xr:uid="{A0DBBC63-C713-4FD3-961C-BC2DCF3C6DEF}"/>
    <hyperlink ref="G332" r:id="rId3" xr:uid="{F4EB29E7-0784-4244-B1B9-0DD7DACB813B}"/>
  </hyperlinks>
  <pageMargins left="0.70000000000000007" right="0.70000000000000007" top="0.78740157500000008" bottom="0.78740157500000008" header="0.30000000000000004" footer="0.30000000000000004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59C7-C5D6-4530-A05A-AC8BA15FA56E}">
  <sheetPr codeName="Tabelle3"/>
  <dimension ref="A1:BZ202"/>
  <sheetViews>
    <sheetView workbookViewId="0">
      <selection activeCell="A2" sqref="A2"/>
    </sheetView>
  </sheetViews>
  <sheetFormatPr baseColWidth="10" defaultRowHeight="15"/>
  <sheetData>
    <row r="1" spans="1:78" ht="21">
      <c r="A1" s="1" t="s">
        <v>182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</row>
    <row r="2" spans="1:78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</row>
    <row r="3" spans="1:78">
      <c r="A3" s="2" t="s">
        <v>181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</row>
    <row r="4" spans="1:78">
      <c r="A4" s="3" t="s">
        <v>171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</row>
    <row r="5" spans="1:78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</row>
    <row r="6" spans="1:78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</row>
    <row r="7" spans="1:78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</row>
    <row r="8" spans="1:78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</row>
    <row r="9" spans="1:78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</row>
    <row r="10" spans="1:78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</row>
    <row r="11" spans="1:78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</row>
    <row r="12" spans="1:78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</row>
    <row r="13" spans="1:78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</row>
    <row r="14" spans="1:78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</row>
    <row r="15" spans="1:78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</row>
    <row r="16" spans="1:78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</row>
    <row r="17" spans="1:78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</row>
    <row r="18" spans="1:78">
      <c r="A18" s="6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</row>
    <row r="19" spans="1:78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</row>
    <row r="20" spans="1:78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</row>
    <row r="21" spans="1:78">
      <c r="A21" s="63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</row>
    <row r="22" spans="1:78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</row>
    <row r="23" spans="1:78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</row>
    <row r="24" spans="1:78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</row>
    <row r="25" spans="1:78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</row>
    <row r="26" spans="1:78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</row>
    <row r="27" spans="1:78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</row>
    <row r="28" spans="1:78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</row>
    <row r="29" spans="1:78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</row>
    <row r="30" spans="1:78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</row>
    <row r="31" spans="1:78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</row>
    <row r="32" spans="1:78">
      <c r="A32" s="63" t="s">
        <v>185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</row>
    <row r="33" spans="1:78">
      <c r="A33" s="63" t="s">
        <v>183</v>
      </c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</row>
    <row r="34" spans="1:78">
      <c r="A34" s="4" t="s">
        <v>184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</row>
    <row r="35" spans="1:78">
      <c r="A35" s="66"/>
      <c r="B35" s="66"/>
      <c r="C35" s="66"/>
      <c r="D35" s="66"/>
      <c r="E35" s="66"/>
      <c r="F35" s="66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</row>
    <row r="36" spans="1:78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</row>
    <row r="37" spans="1:78">
      <c r="A37" s="2" t="s">
        <v>192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</row>
    <row r="38" spans="1:78">
      <c r="A38" s="65" t="s">
        <v>193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</row>
    <row r="39" spans="1:78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</row>
    <row r="40" spans="1:78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</row>
    <row r="41" spans="1:78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</row>
    <row r="42" spans="1:78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</row>
    <row r="43" spans="1:78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</row>
    <row r="44" spans="1:78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</row>
    <row r="45" spans="1:78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</row>
    <row r="46" spans="1:78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</row>
    <row r="47" spans="1:78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</row>
    <row r="48" spans="1:7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</row>
    <row r="49" spans="1:78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</row>
    <row r="50" spans="1:78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</row>
    <row r="51" spans="1:78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</row>
    <row r="52" spans="1:78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</row>
    <row r="53" spans="1:78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</row>
    <row r="54" spans="1:78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</row>
    <row r="55" spans="1:78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</row>
    <row r="56" spans="1:78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</row>
    <row r="57" spans="1:78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</row>
    <row r="58" spans="1:7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</row>
    <row r="59" spans="1:78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</row>
    <row r="60" spans="1:78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</row>
    <row r="61" spans="1:78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</row>
    <row r="62" spans="1:78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</row>
    <row r="63" spans="1:78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</row>
    <row r="64" spans="1:78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</row>
    <row r="65" spans="1:78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</row>
    <row r="66" spans="1:78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</row>
    <row r="67" spans="1:78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</row>
    <row r="68" spans="1:7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</row>
    <row r="69" spans="1:78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</row>
    <row r="70" spans="1:78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</row>
    <row r="71" spans="1:78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</row>
    <row r="72" spans="1:78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</row>
    <row r="73" spans="1:78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</row>
    <row r="74" spans="1:78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</row>
    <row r="75" spans="1:78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</row>
    <row r="76" spans="1:78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</row>
    <row r="77" spans="1:78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</row>
    <row r="78" spans="1: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</row>
    <row r="79" spans="1:78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</row>
    <row r="80" spans="1:78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</row>
    <row r="81" spans="1:78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</row>
    <row r="82" spans="1:78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</row>
    <row r="83" spans="1:78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</row>
    <row r="84" spans="1:78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</row>
    <row r="85" spans="1:78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</row>
    <row r="86" spans="1:78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</row>
    <row r="87" spans="1:78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</row>
    <row r="88" spans="1:7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</row>
    <row r="89" spans="1:78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</row>
    <row r="90" spans="1:78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</row>
    <row r="91" spans="1:78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</row>
    <row r="92" spans="1:78">
      <c r="A92" s="63" t="s">
        <v>186</v>
      </c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</row>
    <row r="93" spans="1:78">
      <c r="A93" s="63" t="s">
        <v>187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</row>
    <row r="94" spans="1:78">
      <c r="A94" s="63" t="s">
        <v>188</v>
      </c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</row>
    <row r="95" spans="1:78">
      <c r="A95" s="64" t="s">
        <v>172</v>
      </c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</row>
    <row r="96" spans="1:78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</row>
    <row r="97" spans="1:78"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</row>
    <row r="98" spans="1:7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</row>
    <row r="99" spans="1:78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</row>
    <row r="100" spans="1:78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</row>
    <row r="101" spans="1:78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</row>
    <row r="102" spans="1:78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</row>
    <row r="103" spans="1:78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</row>
    <row r="104" spans="1:78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</row>
    <row r="105" spans="1:78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</row>
    <row r="106" spans="1:78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</row>
    <row r="107" spans="1:78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</row>
    <row r="108" spans="1:7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</row>
    <row r="109" spans="1:78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</row>
    <row r="110" spans="1:78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</row>
    <row r="111" spans="1:78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</row>
    <row r="112" spans="1:78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</row>
    <row r="113" spans="1:78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</row>
    <row r="114" spans="1:78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</row>
    <row r="115" spans="1:78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</row>
    <row r="116" spans="1:78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</row>
    <row r="117" spans="1:78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</row>
    <row r="118" spans="1:7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</row>
    <row r="119" spans="1:78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</row>
    <row r="120" spans="1:78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</row>
    <row r="121" spans="1:78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</row>
    <row r="122" spans="1:78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</row>
    <row r="123" spans="1:78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</row>
    <row r="124" spans="1:78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</row>
    <row r="125" spans="1:78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</row>
    <row r="126" spans="1:78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</row>
    <row r="127" spans="1:78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</row>
    <row r="128" spans="1:7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</row>
    <row r="129" spans="1:78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</row>
    <row r="130" spans="1:78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</row>
    <row r="131" spans="1:78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</row>
    <row r="132" spans="1:78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</row>
    <row r="133" spans="1:78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</row>
    <row r="134" spans="1:78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</row>
    <row r="135" spans="1:78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</row>
    <row r="136" spans="1:78">
      <c r="A136" s="63" t="s">
        <v>194</v>
      </c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</row>
    <row r="137" spans="1:78">
      <c r="A137" s="64" t="s">
        <v>189</v>
      </c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</row>
    <row r="138" spans="1:7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</row>
    <row r="139" spans="1:78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</row>
    <row r="140" spans="1:78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</row>
    <row r="141" spans="1:78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</row>
    <row r="142" spans="1:78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</row>
    <row r="143" spans="1:78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</row>
    <row r="144" spans="1:78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</row>
    <row r="145" spans="1:78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</row>
    <row r="146" spans="1:78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</row>
    <row r="147" spans="1:78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</row>
    <row r="148" spans="1:7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</row>
    <row r="149" spans="1:78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</row>
    <row r="150" spans="1:78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</row>
    <row r="151" spans="1:78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</row>
    <row r="152" spans="1:78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</row>
    <row r="153" spans="1:78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</row>
    <row r="154" spans="1:78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</row>
    <row r="155" spans="1:78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</row>
    <row r="156" spans="1:78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</row>
    <row r="157" spans="1:78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</row>
    <row r="158" spans="1:7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</row>
    <row r="159" spans="1:78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</row>
    <row r="160" spans="1:78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</row>
    <row r="161" spans="1:78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</row>
    <row r="162" spans="1:78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</row>
    <row r="163" spans="1:78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</row>
    <row r="164" spans="1:78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</row>
    <row r="165" spans="1:78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</row>
    <row r="166" spans="1:78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</row>
    <row r="167" spans="1:78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</row>
    <row r="168" spans="1:7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</row>
    <row r="169" spans="1:78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</row>
    <row r="170" spans="1:78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</row>
    <row r="171" spans="1:78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</row>
    <row r="172" spans="1:78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</row>
    <row r="173" spans="1:78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</row>
    <row r="174" spans="1:78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</row>
    <row r="175" spans="1:78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</row>
    <row r="176" spans="1:78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</row>
    <row r="177" spans="1:78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</row>
    <row r="178" spans="1: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</row>
    <row r="179" spans="1:78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</row>
    <row r="180" spans="1:78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</row>
    <row r="181" spans="1:78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</row>
    <row r="182" spans="1:78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</row>
    <row r="183" spans="1:78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</row>
    <row r="184" spans="1:78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</row>
    <row r="185" spans="1:78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</row>
    <row r="186" spans="1:78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</row>
    <row r="187" spans="1:78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</row>
    <row r="188" spans="1:7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</row>
    <row r="189" spans="1:78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</row>
    <row r="190" spans="1:78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</row>
    <row r="191" spans="1:78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</row>
    <row r="192" spans="1:78">
      <c r="A192" s="63" t="s">
        <v>195</v>
      </c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</row>
    <row r="193" spans="1:78">
      <c r="A193" s="63" t="s">
        <v>190</v>
      </c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</row>
    <row r="194" spans="1:78">
      <c r="A194" s="64" t="s">
        <v>191</v>
      </c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</row>
    <row r="195" spans="1:78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</row>
    <row r="196" spans="1:78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</row>
    <row r="197" spans="1:78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</row>
    <row r="198" spans="1:7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</row>
    <row r="199" spans="1:78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</row>
    <row r="200" spans="1:78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</row>
    <row r="201" spans="1:78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</row>
    <row r="202" spans="1:78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</row>
  </sheetData>
  <hyperlinks>
    <hyperlink ref="A4" r:id="rId1" xr:uid="{11B18CBE-282D-4C1A-A314-B0070B7BD33A}"/>
    <hyperlink ref="A38" r:id="rId2" xr:uid="{08E9CB43-9528-4B18-A862-AAB85D75AA76}"/>
  </hyperlinks>
  <pageMargins left="0.7" right="0.7" top="0.78740157499999996" bottom="0.78740157499999996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64</vt:i4>
      </vt:variant>
    </vt:vector>
  </HeadingPairs>
  <TitlesOfParts>
    <vt:vector size="68" baseType="lpstr">
      <vt:lpstr>SAC</vt:lpstr>
      <vt:lpstr>t_SAC</vt:lpstr>
      <vt:lpstr>SAD</vt:lpstr>
      <vt:lpstr>RH</vt:lpstr>
      <vt:lpstr>a_H</vt:lpstr>
      <vt:lpstr>a_i</vt:lpstr>
      <vt:lpstr>a_lat</vt:lpstr>
      <vt:lpstr>a_SLZ</vt:lpstr>
      <vt:lpstr>a_t</vt:lpstr>
      <vt:lpstr>a_tot</vt:lpstr>
      <vt:lpstr>a_w</vt:lpstr>
      <vt:lpstr>B</vt:lpstr>
      <vt:lpstr>b_H</vt:lpstr>
      <vt:lpstr>b_i</vt:lpstr>
      <vt:lpstr>b_lat</vt:lpstr>
      <vt:lpstr>b_SLZ</vt:lpstr>
      <vt:lpstr>b_t</vt:lpstr>
      <vt:lpstr>b_tot</vt:lpstr>
      <vt:lpstr>b_w</vt:lpstr>
      <vt:lpstr>c_i</vt:lpstr>
      <vt:lpstr>c_p</vt:lpstr>
      <vt:lpstr>c_SLZ</vt:lpstr>
      <vt:lpstr>c_w</vt:lpstr>
      <vt:lpstr>Dt_tot_40k</vt:lpstr>
      <vt:lpstr>E_w</vt:lpstr>
      <vt:lpstr>E_w_strich</vt:lpstr>
      <vt:lpstr>EI_H2O</vt:lpstr>
      <vt:lpstr>eps</vt:lpstr>
      <vt:lpstr>eta</vt:lpstr>
      <vt:lpstr>f_of_t</vt:lpstr>
      <vt:lpstr>G</vt:lpstr>
      <vt:lpstr>G0</vt:lpstr>
      <vt:lpstr>H</vt:lpstr>
      <vt:lpstr>H_SAC_0</vt:lpstr>
      <vt:lpstr>H_SAC_100</vt:lpstr>
      <vt:lpstr>H_SAC_lat_0</vt:lpstr>
      <vt:lpstr>H_SAC_lat_100</vt:lpstr>
      <vt:lpstr>H_T</vt:lpstr>
      <vt:lpstr>H_T_equator</vt:lpstr>
      <vt:lpstr>H_T_lat</vt:lpstr>
      <vt:lpstr>H_T_pole</vt:lpstr>
      <vt:lpstr>k_a</vt:lpstr>
      <vt:lpstr>k_b</vt:lpstr>
      <vt:lpstr>k_exp</vt:lpstr>
      <vt:lpstr>L</vt:lpstr>
      <vt:lpstr>L_SAC_0</vt:lpstr>
      <vt:lpstr>L_SAC_100</vt:lpstr>
      <vt:lpstr>m_ft</vt:lpstr>
      <vt:lpstr>p</vt:lpstr>
      <vt:lpstr>p_0</vt:lpstr>
      <vt:lpstr>p_T</vt:lpstr>
      <vt:lpstr>Q</vt:lpstr>
      <vt:lpstr>RH_a</vt:lpstr>
      <vt:lpstr>RH_b</vt:lpstr>
      <vt:lpstr>t</vt:lpstr>
      <vt:lpstr>t_0</vt:lpstr>
      <vt:lpstr>t_0_lat</vt:lpstr>
      <vt:lpstr>t_init</vt:lpstr>
      <vt:lpstr>t_SAC_0_0</vt:lpstr>
      <vt:lpstr>t_SAC_0_100</vt:lpstr>
      <vt:lpstr>t_T</vt:lpstr>
      <vt:lpstr>t_T_equator</vt:lpstr>
      <vt:lpstr>t_T_lat</vt:lpstr>
      <vt:lpstr>t_T_pole</vt:lpstr>
      <vt:lpstr>W_x</vt:lpstr>
      <vt:lpstr>W0</vt:lpstr>
      <vt:lpstr>Wminus1</vt:lpstr>
      <vt:lpstr>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Scholz, Dieter</dc:creator>
  <cp:lastModifiedBy>Scholz, Dieter</cp:lastModifiedBy>
  <dcterms:created xsi:type="dcterms:W3CDTF">2023-10-20T03:28:38Z</dcterms:created>
  <dcterms:modified xsi:type="dcterms:W3CDTF">2025-11-09T22:32:15Z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2023-10-23T04:59:53Z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2c6cac8d-ab61-47b3-8209-4df2e46aefbc</vt:lpwstr>
  </property>
  <property fmtid="{D5CDD505-2E9C-101B-9397-08002B2CF9AE}" pid="7" name="MSIP_Label_defa4170-0d19-0005-0004-bc88714345d2_ActionId">
    <vt:lpwstr>9bbf925e-ff39-446c-a1be-3dae04d47282</vt:lpwstr>
  </property>
  <property fmtid="{D5CDD505-2E9C-101B-9397-08002B2CF9AE}" pid="8" name="MSIP_Label_defa4170-0d19-0005-0004-bc88714345d2_ContentBits">
    <vt:lpwstr>0</vt:lpwstr>
  </property>
</Properties>
</file>