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70" windowHeight="7410" activeTab="0"/>
  </bookViews>
  <sheets>
    <sheet name="Tabelle1" sheetId="1" r:id="rId1"/>
    <sheet name="Tabelle2" sheetId="2" r:id="rId2"/>
    <sheet name="Tabelle3" sheetId="3" r:id="rId3"/>
  </sheets>
  <definedNames>
    <definedName name="A">'Tabelle1'!$B$17</definedName>
    <definedName name="a0">'Tabelle1'!$B$28</definedName>
    <definedName name="ae">'Tabelle1'!$B$13</definedName>
    <definedName name="aref">'Tabelle1'!$B$10</definedName>
    <definedName name="B">'Tabelle1'!$B$18</definedName>
    <definedName name="BB">'Tabelle1'!$B$18</definedName>
    <definedName name="be">'Tabelle1'!$B$14</definedName>
    <definedName name="c_1">'Tabelle1'!$B$30</definedName>
    <definedName name="c_2">'Tabelle1'!$B$31</definedName>
    <definedName name="c_corr">'Tabelle1'!$B$32</definedName>
    <definedName name="C_Lref">'Tabelle1'!$B$8</definedName>
    <definedName name="CD0">'Tabelle1'!$B$16</definedName>
    <definedName name="CD0Wref">'Tabelle1'!$B$21</definedName>
    <definedName name="Eref">'Tabelle1'!$B$6</definedName>
    <definedName name="exp">'Tabelle1'!$B$23</definedName>
    <definedName name="g">'Tabelle1'!$B$34</definedName>
    <definedName name="href">'Tabelle1'!$B$9</definedName>
    <definedName name="k_e_Mref">'Tabelle1'!$B$15</definedName>
    <definedName name="ka">'Tabelle1'!$B$24</definedName>
    <definedName name="L">'Tabelle1'!$B$27</definedName>
    <definedName name="Mcrit">'Tabelle1'!$B$20</definedName>
    <definedName name="Mref">'Tabelle1'!$B$7</definedName>
    <definedName name="phi">'Tabelle1'!$B$19</definedName>
    <definedName name="R">'Tabelle1'!$B$4</definedName>
    <definedName name="rho0">'Tabelle1'!$B$25</definedName>
    <definedName name="rhoref">'Tabelle1'!$B$11</definedName>
    <definedName name="T0">'Tabelle1'!$B$26</definedName>
    <definedName name="Tref">'Tabelle1'!#REF!</definedName>
    <definedName name="Vref">'Tabelle1'!$B$36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<sst xmlns="http://schemas.openxmlformats.org/spreadsheetml/2006/main" count="63" uniqueCount="51">
  <si>
    <t>Eref</t>
  </si>
  <si>
    <t>Mref</t>
  </si>
  <si>
    <t>href</t>
  </si>
  <si>
    <t>ae</t>
  </si>
  <si>
    <t>be</t>
  </si>
  <si>
    <t>M</t>
  </si>
  <si>
    <t>c</t>
  </si>
  <si>
    <t>V</t>
  </si>
  <si>
    <t>aref</t>
  </si>
  <si>
    <t>rhoref</t>
  </si>
  <si>
    <t>m</t>
  </si>
  <si>
    <t>rho</t>
  </si>
  <si>
    <t>exp</t>
  </si>
  <si>
    <t>ka</t>
  </si>
  <si>
    <t>1/m</t>
  </si>
  <si>
    <t>kg/m³</t>
  </si>
  <si>
    <t>K</t>
  </si>
  <si>
    <t>Vref</t>
  </si>
  <si>
    <t>m/s</t>
  </si>
  <si>
    <t>h</t>
  </si>
  <si>
    <t>rho0</t>
  </si>
  <si>
    <t>T0</t>
  </si>
  <si>
    <t>L</t>
  </si>
  <si>
    <t>K/m</t>
  </si>
  <si>
    <t>T</t>
  </si>
  <si>
    <t>a</t>
  </si>
  <si>
    <t>a0</t>
  </si>
  <si>
    <t>k_e_Mref</t>
  </si>
  <si>
    <t>k_e_M</t>
  </si>
  <si>
    <t>E</t>
  </si>
  <si>
    <t>c_corr</t>
  </si>
  <si>
    <t>c_1</t>
  </si>
  <si>
    <t>c_2</t>
  </si>
  <si>
    <t>Bs</t>
  </si>
  <si>
    <t>g</t>
  </si>
  <si>
    <t>Mff</t>
  </si>
  <si>
    <t>R</t>
  </si>
  <si>
    <t>NM</t>
  </si>
  <si>
    <t>m_F/m_TO</t>
  </si>
  <si>
    <t>kg/N/s</t>
  </si>
  <si>
    <t>fuel saving</t>
  </si>
  <si>
    <t>Kraftstoff sparen durch langsameres Fliegen?</t>
  </si>
  <si>
    <t>Für den Plot:</t>
  </si>
  <si>
    <t>CD0</t>
  </si>
  <si>
    <t>CD0W</t>
  </si>
  <si>
    <t>A</t>
  </si>
  <si>
    <t>B</t>
  </si>
  <si>
    <t>phi</t>
  </si>
  <si>
    <t>CD0Wref</t>
  </si>
  <si>
    <t>Mcrit</t>
  </si>
  <si>
    <t>°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</si>
</sst>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%"/>
    <numFmt numFmtId="171" formatCode="0.000E+00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0" fontId="0" fillId="2" borderId="0" xfId="17" applyNumberFormat="1" applyFill="1" applyAlignment="1">
      <alignment/>
    </xf>
    <xf numFmtId="2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10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Tabelle1!$A$55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Tabelle1!$C$54:$K$54</c:f>
              <c:numCache/>
            </c:numRef>
          </c:xVal>
          <c:yVal>
            <c:numRef>
              <c:f>Tabelle1!$C$55:$K$55</c:f>
              <c:numCache/>
            </c:numRef>
          </c:yVal>
          <c:smooth val="1"/>
        </c:ser>
        <c:axId val="45611016"/>
        <c:axId val="56072297"/>
      </c:scatterChart>
      <c:valAx>
        <c:axId val="4561101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2297"/>
        <c:crossesAt val="-2.5"/>
        <c:crossBetween val="midCat"/>
        <c:dispUnits/>
      </c:valAx>
      <c:valAx>
        <c:axId val="56072297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m_F / m_F,ref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10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</xdr:row>
      <xdr:rowOff>123825</xdr:rowOff>
    </xdr:from>
    <xdr:to>
      <xdr:col>12</xdr:col>
      <xdr:colOff>342900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076450" y="1028700"/>
        <a:ext cx="5886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2" sqref="A2"/>
    </sheetView>
  </sheetViews>
  <sheetFormatPr defaultColWidth="11.421875" defaultRowHeight="12.75"/>
  <cols>
    <col min="6" max="6" width="0" style="0" hidden="1" customWidth="1"/>
    <col min="8" max="8" width="0" style="0" hidden="1" customWidth="1"/>
  </cols>
  <sheetData>
    <row r="1" ht="20.25">
      <c r="A1" s="8" t="s">
        <v>41</v>
      </c>
    </row>
    <row r="3" spans="1:3" ht="12.75">
      <c r="A3" t="s">
        <v>36</v>
      </c>
      <c r="B3">
        <v>1510</v>
      </c>
      <c r="C3" t="s">
        <v>37</v>
      </c>
    </row>
    <row r="4" spans="1:3" ht="12.75">
      <c r="A4" t="s">
        <v>36</v>
      </c>
      <c r="B4">
        <f>B3*1852</f>
        <v>2796520</v>
      </c>
      <c r="C4" t="s">
        <v>10</v>
      </c>
    </row>
    <row r="6" spans="1:2" ht="12.75">
      <c r="A6" t="s">
        <v>0</v>
      </c>
      <c r="B6">
        <v>17.9</v>
      </c>
    </row>
    <row r="7" spans="1:2" ht="12.75">
      <c r="A7" t="s">
        <v>1</v>
      </c>
      <c r="B7">
        <v>0.76</v>
      </c>
    </row>
    <row r="9" spans="1:3" ht="12.75">
      <c r="A9" t="s">
        <v>2</v>
      </c>
      <c r="B9">
        <v>11000</v>
      </c>
      <c r="C9" t="s">
        <v>10</v>
      </c>
    </row>
    <row r="10" spans="1:2" ht="12.75">
      <c r="A10" t="s">
        <v>8</v>
      </c>
      <c r="B10" s="5">
        <v>295.07</v>
      </c>
    </row>
    <row r="11" spans="1:3" ht="12.75">
      <c r="A11" t="s">
        <v>9</v>
      </c>
      <c r="B11">
        <v>0.36392</v>
      </c>
      <c r="C11" t="s">
        <v>15</v>
      </c>
    </row>
    <row r="13" spans="1:2" ht="12.75">
      <c r="A13" t="s">
        <v>3</v>
      </c>
      <c r="B13">
        <v>-0.00152</v>
      </c>
    </row>
    <row r="14" spans="1:2" ht="12.75">
      <c r="A14" t="s">
        <v>4</v>
      </c>
      <c r="B14">
        <v>10.82</v>
      </c>
    </row>
    <row r="15" spans="1:2" ht="12.75">
      <c r="A15" t="s">
        <v>27</v>
      </c>
      <c r="B15" s="6">
        <f>ae*(Mref/0.3-1)^be+1</f>
        <v>0.8449644298724281</v>
      </c>
    </row>
    <row r="16" spans="1:2" ht="12.75">
      <c r="A16" t="s">
        <v>43</v>
      </c>
      <c r="B16" s="6">
        <v>0.0179</v>
      </c>
    </row>
    <row r="17" spans="1:2" ht="12.75">
      <c r="A17" t="s">
        <v>45</v>
      </c>
      <c r="B17" s="6">
        <v>0.001</v>
      </c>
    </row>
    <row r="18" spans="1:2" ht="12.75">
      <c r="A18" t="s">
        <v>46</v>
      </c>
      <c r="B18" s="6">
        <v>3.734</v>
      </c>
    </row>
    <row r="19" spans="1:3" ht="12.75">
      <c r="A19" t="s">
        <v>47</v>
      </c>
      <c r="B19" s="5">
        <v>25</v>
      </c>
      <c r="C19" t="s">
        <v>50</v>
      </c>
    </row>
    <row r="20" spans="1:2" ht="12.75">
      <c r="A20" t="s">
        <v>49</v>
      </c>
      <c r="B20" s="4">
        <v>0.6</v>
      </c>
    </row>
    <row r="21" spans="1:2" ht="12.75">
      <c r="A21" t="s">
        <v>48</v>
      </c>
      <c r="B21" s="6">
        <f>COS(phi*PI()/180)^3*A*TAN(B*Mref/Mcrit-B)</f>
        <v>0.0011485811796189919</v>
      </c>
    </row>
    <row r="23" spans="1:2" ht="12.75">
      <c r="A23" t="s">
        <v>12</v>
      </c>
      <c r="B23">
        <v>4.25588</v>
      </c>
    </row>
    <row r="24" spans="1:3" ht="12.75">
      <c r="A24" t="s">
        <v>13</v>
      </c>
      <c r="B24" s="1">
        <v>2.25588E-05</v>
      </c>
      <c r="C24" t="s">
        <v>14</v>
      </c>
    </row>
    <row r="25" spans="1:3" ht="12.75">
      <c r="A25" t="s">
        <v>20</v>
      </c>
      <c r="B25">
        <v>1.225</v>
      </c>
      <c r="C25" t="s">
        <v>15</v>
      </c>
    </row>
    <row r="26" spans="1:3" ht="12.75">
      <c r="A26" t="s">
        <v>21</v>
      </c>
      <c r="B26">
        <v>288.15</v>
      </c>
      <c r="C26" t="s">
        <v>16</v>
      </c>
    </row>
    <row r="27" spans="1:3" ht="12.75">
      <c r="A27" t="s">
        <v>22</v>
      </c>
      <c r="B27">
        <v>0.0065</v>
      </c>
      <c r="C27" t="s">
        <v>23</v>
      </c>
    </row>
    <row r="28" spans="1:3" ht="12.75">
      <c r="A28" t="s">
        <v>26</v>
      </c>
      <c r="B28">
        <v>340.294</v>
      </c>
      <c r="C28" t="s">
        <v>18</v>
      </c>
    </row>
    <row r="30" spans="1:2" ht="12.75">
      <c r="A30" t="s">
        <v>31</v>
      </c>
      <c r="B30" s="1">
        <v>1.13E-05</v>
      </c>
    </row>
    <row r="31" spans="1:2" ht="12.75">
      <c r="A31" t="s">
        <v>32</v>
      </c>
      <c r="B31" s="1">
        <v>1.25E-05</v>
      </c>
    </row>
    <row r="32" spans="1:2" ht="12.75">
      <c r="A32" t="s">
        <v>30</v>
      </c>
      <c r="B32" s="3">
        <v>0.92</v>
      </c>
    </row>
    <row r="33" ht="12.75">
      <c r="B33" s="3"/>
    </row>
    <row r="34" spans="1:3" ht="12.75">
      <c r="A34" t="s">
        <v>34</v>
      </c>
      <c r="B34" s="3">
        <v>9.81</v>
      </c>
      <c r="C34" t="s">
        <v>18</v>
      </c>
    </row>
    <row r="36" spans="1:3" ht="12.75">
      <c r="A36" t="s">
        <v>17</v>
      </c>
      <c r="B36" s="5">
        <f>Mref*aref</f>
        <v>224.2532</v>
      </c>
      <c r="C36" t="s">
        <v>18</v>
      </c>
    </row>
    <row r="38" spans="1:12" ht="12.75">
      <c r="A38" s="10" t="s">
        <v>7</v>
      </c>
      <c r="B38" s="10" t="s">
        <v>18</v>
      </c>
      <c r="C38" s="11">
        <f>Vref</f>
        <v>224.2532</v>
      </c>
      <c r="D38" s="10">
        <v>220</v>
      </c>
      <c r="E38" s="10">
        <v>215</v>
      </c>
      <c r="F38" s="10">
        <v>212.5</v>
      </c>
      <c r="G38" s="10">
        <v>210</v>
      </c>
      <c r="H38" s="10">
        <v>207.5</v>
      </c>
      <c r="I38" s="10">
        <v>205</v>
      </c>
      <c r="J38" s="10">
        <v>200</v>
      </c>
      <c r="K38" s="10">
        <v>190</v>
      </c>
      <c r="L38" s="10">
        <v>180</v>
      </c>
    </row>
    <row r="39" spans="1:12" ht="12.75">
      <c r="A39" t="s">
        <v>11</v>
      </c>
      <c r="B39" t="s">
        <v>15</v>
      </c>
      <c r="C39" s="2">
        <f aca="true" t="shared" si="0" ref="C39:L39">rhoref*Vref^2/C38^2</f>
        <v>0.36392</v>
      </c>
      <c r="D39" s="2">
        <f t="shared" si="0"/>
        <v>0.3781271488989781</v>
      </c>
      <c r="E39" s="2">
        <f t="shared" si="0"/>
        <v>0.3959189617460365</v>
      </c>
      <c r="F39" s="2">
        <f t="shared" si="0"/>
        <v>0.40528950049462786</v>
      </c>
      <c r="G39" s="2">
        <f t="shared" si="0"/>
        <v>0.41499668949457</v>
      </c>
      <c r="H39" s="2">
        <f t="shared" si="0"/>
        <v>0.4250568502066608</v>
      </c>
      <c r="I39" s="2">
        <f t="shared" si="0"/>
        <v>0.43548730533517044</v>
      </c>
      <c r="J39" s="2">
        <f t="shared" si="0"/>
        <v>0.4575338501677635</v>
      </c>
      <c r="K39" s="2">
        <f t="shared" si="0"/>
        <v>0.5069627148673279</v>
      </c>
      <c r="L39" s="2">
        <f t="shared" si="0"/>
        <v>0.564856605145387</v>
      </c>
    </row>
    <row r="40" spans="1:12" ht="12.75">
      <c r="A40" t="s">
        <v>19</v>
      </c>
      <c r="B40" t="s">
        <v>10</v>
      </c>
      <c r="C40" s="5">
        <f aca="true" t="shared" si="1" ref="C40:L40">1/ka*(1-(C39/rho0)^(1/exp))</f>
        <v>10999.410354565496</v>
      </c>
      <c r="D40" s="5">
        <f t="shared" si="1"/>
        <v>10698.14490385545</v>
      </c>
      <c r="E40" s="5">
        <f t="shared" si="1"/>
        <v>10332.843519026092</v>
      </c>
      <c r="F40" s="5">
        <f t="shared" si="1"/>
        <v>10145.474305865655</v>
      </c>
      <c r="G40" s="5">
        <f t="shared" si="1"/>
        <v>9954.836532420137</v>
      </c>
      <c r="H40" s="5">
        <f t="shared" si="1"/>
        <v>9760.833239410804</v>
      </c>
      <c r="I40" s="5">
        <f t="shared" si="1"/>
        <v>9563.363377700764</v>
      </c>
      <c r="J40" s="5">
        <f t="shared" si="1"/>
        <v>9157.597937198</v>
      </c>
      <c r="K40" s="5">
        <f t="shared" si="1"/>
        <v>8299.512123507224</v>
      </c>
      <c r="L40" s="5">
        <f t="shared" si="1"/>
        <v>7372.3473130602315</v>
      </c>
    </row>
    <row r="41" spans="1:12" ht="12.75">
      <c r="A41" t="s">
        <v>24</v>
      </c>
      <c r="B41" t="s">
        <v>16</v>
      </c>
      <c r="C41" s="5">
        <f aca="true" t="shared" si="2" ref="C41:L41">T0-L*C40</f>
        <v>216.65383269532424</v>
      </c>
      <c r="D41" s="5">
        <f t="shared" si="2"/>
        <v>218.61205812493955</v>
      </c>
      <c r="E41" s="5">
        <f t="shared" si="2"/>
        <v>220.9865171263304</v>
      </c>
      <c r="F41" s="5">
        <f t="shared" si="2"/>
        <v>222.2044170118732</v>
      </c>
      <c r="G41" s="5">
        <f t="shared" si="2"/>
        <v>223.4435625392691</v>
      </c>
      <c r="H41" s="5">
        <f t="shared" si="2"/>
        <v>224.70458394382976</v>
      </c>
      <c r="I41" s="5">
        <f t="shared" si="2"/>
        <v>225.988138044945</v>
      </c>
      <c r="J41" s="5">
        <f t="shared" si="2"/>
        <v>228.62561340821298</v>
      </c>
      <c r="K41" s="5">
        <f t="shared" si="2"/>
        <v>234.20317119720303</v>
      </c>
      <c r="L41" s="5">
        <f t="shared" si="2"/>
        <v>240.22974246510847</v>
      </c>
    </row>
    <row r="42" spans="1:12" ht="12.75">
      <c r="A42" t="s">
        <v>25</v>
      </c>
      <c r="B42" t="s">
        <v>18</v>
      </c>
      <c r="C42" s="7">
        <f aca="true" t="shared" si="3" ref="C42:L42">a0*SQRT(C41/T0)</f>
        <v>295.0721138766834</v>
      </c>
      <c r="D42" s="7">
        <f t="shared" si="3"/>
        <v>296.40261868712486</v>
      </c>
      <c r="E42" s="7">
        <f t="shared" si="3"/>
        <v>298.00796266409304</v>
      </c>
      <c r="F42" s="7">
        <f t="shared" si="3"/>
        <v>298.828024398938</v>
      </c>
      <c r="G42" s="7">
        <f t="shared" si="3"/>
        <v>299.66008842219617</v>
      </c>
      <c r="H42" s="7">
        <f t="shared" si="3"/>
        <v>300.5044764516774</v>
      </c>
      <c r="I42" s="7">
        <f t="shared" si="3"/>
        <v>301.36152283882075</v>
      </c>
      <c r="J42" s="7">
        <f t="shared" si="3"/>
        <v>303.1149952475747</v>
      </c>
      <c r="K42" s="7">
        <f t="shared" si="3"/>
        <v>306.7901172804745</v>
      </c>
      <c r="L42" s="7">
        <f t="shared" si="3"/>
        <v>310.7122441127867</v>
      </c>
    </row>
    <row r="43" spans="1:12" ht="12.75">
      <c r="A43" s="10" t="s">
        <v>5</v>
      </c>
      <c r="B43" s="10"/>
      <c r="C43" s="13">
        <f aca="true" t="shared" si="4" ref="C43:L43">C38/C42</f>
        <v>0.7599945554113594</v>
      </c>
      <c r="D43" s="13">
        <f t="shared" si="4"/>
        <v>0.7422336583072717</v>
      </c>
      <c r="E43" s="13">
        <f t="shared" si="4"/>
        <v>0.7214572324778533</v>
      </c>
      <c r="F43" s="13">
        <f t="shared" si="4"/>
        <v>0.7111113505081125</v>
      </c>
      <c r="G43" s="13">
        <f t="shared" si="4"/>
        <v>0.7007940266777452</v>
      </c>
      <c r="H43" s="13">
        <f t="shared" si="4"/>
        <v>0.6905055207500944</v>
      </c>
      <c r="I43" s="13">
        <f t="shared" si="4"/>
        <v>0.6802460980051576</v>
      </c>
      <c r="J43" s="13">
        <f t="shared" si="4"/>
        <v>0.659815591889957</v>
      </c>
      <c r="K43" s="13">
        <f t="shared" si="4"/>
        <v>0.6193159078403353</v>
      </c>
      <c r="L43" s="13">
        <f t="shared" si="4"/>
        <v>0.5793141513105645</v>
      </c>
    </row>
    <row r="44" spans="1:12" ht="12.75">
      <c r="A44" t="s">
        <v>28</v>
      </c>
      <c r="C44" s="6">
        <f aca="true" t="shared" si="5" ref="C44:L44">ae*(C43/0.3-1)^be+1</f>
        <v>0.8449842835339552</v>
      </c>
      <c r="D44" s="6">
        <f t="shared" si="5"/>
        <v>0.8987618924695535</v>
      </c>
      <c r="E44" s="6">
        <f t="shared" si="5"/>
        <v>0.9398515277337199</v>
      </c>
      <c r="F44" s="6">
        <f t="shared" si="5"/>
        <v>0.9540343876109103</v>
      </c>
      <c r="G44" s="6">
        <f t="shared" si="5"/>
        <v>0.9650860141179249</v>
      </c>
      <c r="H44" s="6">
        <f t="shared" si="5"/>
        <v>0.9736489649535848</v>
      </c>
      <c r="I44" s="6">
        <f t="shared" si="5"/>
        <v>0.9802443018765605</v>
      </c>
      <c r="J44" s="6">
        <f t="shared" si="5"/>
        <v>0.989131315516499</v>
      </c>
      <c r="K44" s="6">
        <f t="shared" si="5"/>
        <v>0.9970142185416321</v>
      </c>
      <c r="L44" s="6">
        <f t="shared" si="5"/>
        <v>0.9992983553501148</v>
      </c>
    </row>
    <row r="45" spans="1:12" ht="12.75">
      <c r="A45" t="s">
        <v>44</v>
      </c>
      <c r="C45" s="6">
        <f>COS(phi*PI()/180)^3*A*TAN(B*C43/Mcrit-B)</f>
        <v>0.001148495913957261</v>
      </c>
      <c r="D45" s="6">
        <f>COS(phi*PI()/180)^3*A*TAN(B*D43/Mcrit-B)</f>
        <v>0.000910052616128819</v>
      </c>
      <c r="E45" s="6">
        <f>COS(phi*PI()/180)^3*A*TAN(B*E43/Mcrit-B)</f>
        <v>0.000701719216564172</v>
      </c>
      <c r="F45" s="6">
        <f>COS(phi*PI()/180)^3*A*TAN(B*F43/Mcrit-B)</f>
        <v>0.0006162678389112622</v>
      </c>
      <c r="G45" s="6">
        <f>COS(phi*PI()/180)^3*A*TAN(B*G43/Mcrit-B)</f>
        <v>0.000539677917004657</v>
      </c>
      <c r="H45" s="6">
        <f>COS(phi*PI()/180)^3*A*TAN(B*H43/Mcrit-B)</f>
        <v>0.0004700967127279036</v>
      </c>
      <c r="I45" s="6">
        <f>COS(phi*PI()/180)^3*A*TAN(B*I43/Mcrit-B)</f>
        <v>0.0004061055240510051</v>
      </c>
      <c r="J45" s="6">
        <f>COS(phi*PI()/180)^3*A*TAN(B*J43/Mcrit-B)</f>
        <v>0.00029066982351510866</v>
      </c>
      <c r="K45" s="6">
        <f>COS(phi*PI()/180)^3*A*TAN(B*K43/Mcrit-B)</f>
        <v>8.992165620089724E-05</v>
      </c>
      <c r="L45" s="6">
        <f>COS(phi*PI()/180)^3*A*TAN(B*L43/Mcrit-B)</f>
        <v>-9.636781313472102E-05</v>
      </c>
    </row>
    <row r="46" spans="1:12" ht="12.75">
      <c r="A46" t="s">
        <v>29</v>
      </c>
      <c r="C46" s="4">
        <f>Eref*SQRT(C44/k_e_Mref*(CD0+CD0Wref)/(CD0+C45))</f>
        <v>17.90025035474531</v>
      </c>
      <c r="D46" s="4">
        <f>Eref*SQRT(D44/k_e_Mref*(CD0+CD0Wref)/(CD0+D45))</f>
        <v>18.57772174809613</v>
      </c>
      <c r="E46" s="4">
        <f>Eref*SQRT(E44/k_e_Mref*(CD0+CD0Wref)/(CD0+E45))</f>
        <v>19.103732028063966</v>
      </c>
      <c r="F46" s="4">
        <f>Eref*SQRT(F44/k_e_Mref*(CD0+CD0Wref)/(CD0+F45))</f>
        <v>19.291696518514353</v>
      </c>
      <c r="G46" s="4">
        <f>Eref*SQRT(G44/k_e_Mref*(CD0+CD0Wref)/(CD0+G45))</f>
        <v>19.443367258319572</v>
      </c>
      <c r="H46" s="4">
        <f>Eref*SQRT(H44/k_e_Mref*(CD0+CD0Wref)/(CD0+H45))</f>
        <v>19.566385954717664</v>
      </c>
      <c r="I46" s="4">
        <f>Eref*SQRT(I44/k_e_Mref*(CD0+CD0Wref)/(CD0+I45))</f>
        <v>19.666827859660078</v>
      </c>
      <c r="J46" s="4">
        <f>Eref*SQRT(J44/k_e_Mref*(CD0+CD0Wref)/(CD0+J45))</f>
        <v>19.81836233680084</v>
      </c>
      <c r="K46" s="4">
        <f>Eref*SQRT(K44/k_e_Mref*(CD0+CD0Wref)/(CD0+K45))</f>
        <v>20.00788460440749</v>
      </c>
      <c r="L46" s="4">
        <f>Eref*SQRT(L44/k_e_Mref*(CD0+CD0Wref)/(CD0+L45))</f>
        <v>20.1353143261212</v>
      </c>
    </row>
    <row r="47" spans="1:12" ht="12.75">
      <c r="A47" s="10" t="s">
        <v>6</v>
      </c>
      <c r="B47" s="10" t="s">
        <v>39</v>
      </c>
      <c r="C47" s="14">
        <f aca="true" t="shared" si="6" ref="C47:L47">c_corr*(c_1+c_2*C43)*SQRT(C41/T0)</f>
        <v>1.6592950495342264E-05</v>
      </c>
      <c r="D47" s="14">
        <f t="shared" si="6"/>
        <v>1.6489863541147803E-05</v>
      </c>
      <c r="E47" s="14">
        <f t="shared" si="6"/>
        <v>1.6369935349597446E-05</v>
      </c>
      <c r="F47" s="14">
        <f>c_corr*(c_1+c_2*F43)*SQRT(F41/T0)</f>
        <v>1.6310502511508755E-05</v>
      </c>
      <c r="G47" s="14">
        <f t="shared" si="6"/>
        <v>1.625143634397654E-05</v>
      </c>
      <c r="H47" s="14">
        <f>c_corr*(c_1+c_2*H43)*SQRT(H41/T0)</f>
        <v>1.6192746675497185E-05</v>
      </c>
      <c r="I47" s="14">
        <f t="shared" si="6"/>
        <v>1.6134443720525134E-05</v>
      </c>
      <c r="J47" s="14">
        <f t="shared" si="6"/>
        <v>1.601904086053174E-05</v>
      </c>
      <c r="K47" s="14">
        <f t="shared" si="6"/>
        <v>1.579337296351923E-05</v>
      </c>
      <c r="L47" s="14">
        <f t="shared" si="6"/>
        <v>1.557525107641196E-05</v>
      </c>
    </row>
    <row r="48" spans="1:12" ht="12.75">
      <c r="A48" t="s">
        <v>33</v>
      </c>
      <c r="B48" t="s">
        <v>10</v>
      </c>
      <c r="C48" s="1">
        <f aca="true" t="shared" si="7" ref="C48:L48">C38*C46/C47/g</f>
        <v>24660684.62411029</v>
      </c>
      <c r="D48" s="1">
        <f t="shared" si="7"/>
        <v>25265567.966130394</v>
      </c>
      <c r="E48" s="1">
        <f t="shared" si="7"/>
        <v>25576475.99539599</v>
      </c>
      <c r="F48" s="1">
        <f t="shared" si="7"/>
        <v>25620818.912022106</v>
      </c>
      <c r="G48" s="1">
        <f t="shared" si="7"/>
        <v>25611205.19833128</v>
      </c>
      <c r="H48" s="1">
        <f t="shared" si="7"/>
        <v>25558725.158192106</v>
      </c>
      <c r="I48" s="1">
        <f t="shared" si="7"/>
        <v>25472124.788107514</v>
      </c>
      <c r="J48" s="1">
        <f t="shared" si="7"/>
        <v>25222738.855354622</v>
      </c>
      <c r="K48" s="1">
        <f t="shared" si="7"/>
        <v>24536401.866155755</v>
      </c>
      <c r="L48" s="1">
        <f t="shared" si="7"/>
        <v>23720664.72146268</v>
      </c>
    </row>
    <row r="49" spans="1:12" ht="12.75">
      <c r="A49" t="s">
        <v>35</v>
      </c>
      <c r="C49" s="2">
        <f aca="true" t="shared" si="8" ref="C49:L49">EXP(-R/C48)</f>
        <v>0.8927935305363293</v>
      </c>
      <c r="D49" s="2">
        <f t="shared" si="8"/>
        <v>0.8952206774377003</v>
      </c>
      <c r="E49" s="2">
        <f t="shared" si="8"/>
        <v>0.8964259975486794</v>
      </c>
      <c r="F49" s="2">
        <f t="shared" si="8"/>
        <v>0.8965956515114736</v>
      </c>
      <c r="G49" s="2">
        <f t="shared" si="8"/>
        <v>0.896558917037739</v>
      </c>
      <c r="H49" s="2">
        <f t="shared" si="8"/>
        <v>0.8963579276928849</v>
      </c>
      <c r="I49" s="2">
        <f t="shared" si="8"/>
        <v>0.896024551943103</v>
      </c>
      <c r="J49" s="2">
        <f t="shared" si="8"/>
        <v>0.8950524390988797</v>
      </c>
      <c r="K49" s="2">
        <f t="shared" si="8"/>
        <v>0.89228085910371</v>
      </c>
      <c r="L49" s="2">
        <f t="shared" si="8"/>
        <v>0.8887904110139507</v>
      </c>
    </row>
    <row r="50" spans="1:12" ht="12.75">
      <c r="A50" t="s">
        <v>38</v>
      </c>
      <c r="C50" s="6">
        <f aca="true" t="shared" si="9" ref="C50:L50">1-C49</f>
        <v>0.10720646946367074</v>
      </c>
      <c r="D50" s="6">
        <f t="shared" si="9"/>
        <v>0.10477932256229971</v>
      </c>
      <c r="E50" s="6">
        <f t="shared" si="9"/>
        <v>0.10357400245132065</v>
      </c>
      <c r="F50" s="6">
        <f t="shared" si="9"/>
        <v>0.10340434848852642</v>
      </c>
      <c r="G50" s="6">
        <f t="shared" si="9"/>
        <v>0.10344108296226096</v>
      </c>
      <c r="H50" s="6">
        <f t="shared" si="9"/>
        <v>0.10364207230711509</v>
      </c>
      <c r="I50" s="6">
        <f t="shared" si="9"/>
        <v>0.10397544805689696</v>
      </c>
      <c r="J50" s="6">
        <f t="shared" si="9"/>
        <v>0.10494756090112034</v>
      </c>
      <c r="K50" s="6">
        <f t="shared" si="9"/>
        <v>0.10771914089628998</v>
      </c>
      <c r="L50" s="6">
        <f t="shared" si="9"/>
        <v>0.11120958898604927</v>
      </c>
    </row>
    <row r="51" spans="1:12" ht="12.75">
      <c r="A51" s="10" t="s">
        <v>40</v>
      </c>
      <c r="B51" s="10"/>
      <c r="C51" s="12">
        <f aca="true" t="shared" si="10" ref="C51:L51">(C50-$C$50)/$C$50</f>
        <v>0</v>
      </c>
      <c r="D51" s="12">
        <f t="shared" si="10"/>
        <v>-0.022639929413900868</v>
      </c>
      <c r="E51" s="12">
        <f t="shared" si="10"/>
        <v>-0.033882908657681655</v>
      </c>
      <c r="F51" s="12">
        <f t="shared" si="10"/>
        <v>-0.03546540609130637</v>
      </c>
      <c r="G51" s="12">
        <f t="shared" si="10"/>
        <v>-0.03512275444054025</v>
      </c>
      <c r="H51" s="12">
        <f t="shared" si="10"/>
        <v>-0.03324796697799593</v>
      </c>
      <c r="I51" s="12">
        <f t="shared" si="10"/>
        <v>-0.03013830623224361</v>
      </c>
      <c r="J51" s="12">
        <f t="shared" si="10"/>
        <v>-0.021070636630897352</v>
      </c>
      <c r="K51" s="12">
        <f t="shared" si="10"/>
        <v>0.004782094170100138</v>
      </c>
      <c r="L51" s="12">
        <f t="shared" si="10"/>
        <v>0.03734027939176818</v>
      </c>
    </row>
    <row r="53" ht="12.75">
      <c r="A53" t="s">
        <v>42</v>
      </c>
    </row>
    <row r="54" spans="1:12" ht="12.75">
      <c r="A54" t="s">
        <v>5</v>
      </c>
      <c r="C54" s="3">
        <f aca="true" t="shared" si="11" ref="C54:J54">C43</f>
        <v>0.7599945554113594</v>
      </c>
      <c r="D54" s="3">
        <f t="shared" si="11"/>
        <v>0.7422336583072717</v>
      </c>
      <c r="E54" s="3">
        <f t="shared" si="11"/>
        <v>0.7214572324778533</v>
      </c>
      <c r="F54" s="3">
        <f>F43</f>
        <v>0.7111113505081125</v>
      </c>
      <c r="G54" s="3">
        <f t="shared" si="11"/>
        <v>0.7007940266777452</v>
      </c>
      <c r="H54" s="3">
        <f>H43</f>
        <v>0.6905055207500944</v>
      </c>
      <c r="I54" s="3">
        <f t="shared" si="11"/>
        <v>0.6802460980051576</v>
      </c>
      <c r="J54" s="3">
        <f t="shared" si="11"/>
        <v>0.659815591889957</v>
      </c>
      <c r="K54" s="3">
        <f>K43</f>
        <v>0.6193159078403353</v>
      </c>
      <c r="L54" s="3">
        <f>L43</f>
        <v>0.5793141513105645</v>
      </c>
    </row>
    <row r="55" spans="3:15" ht="12.75">
      <c r="C55" s="9">
        <f aca="true" t="shared" si="12" ref="C55:J55">C51</f>
        <v>0</v>
      </c>
      <c r="D55" s="9">
        <f t="shared" si="12"/>
        <v>-0.022639929413900868</v>
      </c>
      <c r="E55" s="9">
        <f t="shared" si="12"/>
        <v>-0.033882908657681655</v>
      </c>
      <c r="F55" s="9">
        <f>F51</f>
        <v>-0.03546540609130637</v>
      </c>
      <c r="G55" s="9">
        <f t="shared" si="12"/>
        <v>-0.03512275444054025</v>
      </c>
      <c r="H55" s="9">
        <f>H51</f>
        <v>-0.03324796697799593</v>
      </c>
      <c r="I55" s="9">
        <f t="shared" si="12"/>
        <v>-0.03013830623224361</v>
      </c>
      <c r="J55" s="9">
        <f t="shared" si="12"/>
        <v>-0.021070636630897352</v>
      </c>
      <c r="K55" s="9">
        <f>K51</f>
        <v>0.004782094170100138</v>
      </c>
      <c r="L55" s="9">
        <f>L51</f>
        <v>0.03734027939176818</v>
      </c>
      <c r="M55" s="9"/>
      <c r="N55" s="9"/>
      <c r="O55" s="9"/>
    </row>
    <row r="60" spans="3:15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</sheetData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</dc:creator>
  <cp:keywords/>
  <dc:description/>
  <cp:lastModifiedBy>SCHOLZ, Dieter</cp:lastModifiedBy>
  <cp:lastPrinted>2013-07-04T00:42:46Z</cp:lastPrinted>
  <dcterms:created xsi:type="dcterms:W3CDTF">2013-07-03T21:50:37Z</dcterms:created>
  <dcterms:modified xsi:type="dcterms:W3CDTF">2015-09-14T06:58:13Z</dcterms:modified>
  <cp:category/>
  <cp:version/>
  <cp:contentType/>
  <cp:contentStatus/>
</cp:coreProperties>
</file>