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eien\HAW\Arbeiten\Kühn\Ergebnisse\"/>
    </mc:Choice>
  </mc:AlternateContent>
  <xr:revisionPtr revIDLastSave="0" documentId="8_{994F722B-DDD0-4F1C-A97C-7F9FF333D2D1}" xr6:coauthVersionLast="47" xr6:coauthVersionMax="47" xr10:uidLastSave="{00000000-0000-0000-0000-000000000000}"/>
  <bookViews>
    <workbookView xWindow="-98" yWindow="-98" windowWidth="24496" windowHeight="15675" firstSheet="7" activeTab="10" xr2:uid="{00000000-000D-0000-FFFF-FFFF00000000}"/>
  </bookViews>
  <sheets>
    <sheet name="Overview" sheetId="16" r:id="rId1"/>
    <sheet name="SAR" sheetId="17" r:id="rId2"/>
    <sheet name="Extended Payload Diagram" sheetId="18" r:id="rId3"/>
    <sheet name="Bathtub Curve" sheetId="13" r:id="rId4"/>
    <sheet name="EEA Master Emission Calculator" sheetId="19" r:id="rId5"/>
    <sheet name="BADA " sheetId="11" r:id="rId6"/>
    <sheet name="Handbook Method" sheetId="8" r:id="rId7"/>
    <sheet name="Literature review" sheetId="15" r:id="rId8"/>
    <sheet name="Deviation" sheetId="12" r:id="rId9"/>
    <sheet name="Matrix" sheetId="14" r:id="rId10"/>
    <sheet name="Fuel Consumption Analysis" sheetId="20" r:id="rId11"/>
    <sheet name="Fuel Consumption CO2 MV A330neo" sheetId="7" r:id="rId12"/>
    <sheet name="Hurtecant" sheetId="2" r:id="rId13"/>
    <sheet name="TOP 50 Most Used Aircraft" sheetId="3" r:id="rId14"/>
  </sheets>
  <externalReferences>
    <externalReference r:id="rId15"/>
  </externalReferences>
  <definedNames>
    <definedName name="_xlnm._FilterDatabase" localSheetId="5" hidden="1">'BADA '!$A$1:$I$52</definedName>
    <definedName name="_xlnm._FilterDatabase" localSheetId="3" hidden="1">'Bathtub Curve'!$A$1:$H$53</definedName>
    <definedName name="_xlnm._FilterDatabase" localSheetId="4" hidden="1">'EEA Master Emission Calculator'!$A$1:$E$52</definedName>
    <definedName name="_xlnm._FilterDatabase" localSheetId="2" hidden="1">'Extended Payload Diagram'!$A$1:$H$53</definedName>
    <definedName name="_xlnm._FilterDatabase" localSheetId="10" hidden="1">'Fuel Consumption Analysis'!$A$1:$J$51</definedName>
    <definedName name="_xlnm._FilterDatabase" localSheetId="6" hidden="1">'Handbook Method'!$A$1:$V$53</definedName>
    <definedName name="_xlnm._FilterDatabase" localSheetId="12" hidden="1">Hurtecant!$A$4:$AI$78</definedName>
    <definedName name="_xlnm._FilterDatabase" localSheetId="7" hidden="1">'Literature review'!$A$1:$J$52</definedName>
    <definedName name="_xlnm._FilterDatabase" localSheetId="0" hidden="1">Overview!$A$1:$H$52</definedName>
    <definedName name="_xlnm._FilterDatabase" localSheetId="1" hidden="1">SAR!$A$1:$K$53</definedName>
    <definedName name="AircraftList">'[1]Auxiliary Data Sheet'!$A$1:OFFSET('[1]Auxiliary Data Sheet'!$A$1,(COUNTA('[1]Auxiliary Data Sheet'!$A:$A,"**")),0)</definedName>
    <definedName name="AircraftType">[1]Database!$B$4:OFFSET([1]Database!$B$4,(COUNTA([1]Database!$B:$B,"**")-3),0)</definedName>
    <definedName name="Airline">[1]Database!$C$4:OFFSET([1]Database!$C$4,(COUNTA([1]Database!$C:$C,"**")-3),0)</definedName>
    <definedName name="AirlineList">'[1]Auxiliary Data Sheet'!$B$1:OFFSET('[1]Auxiliary Data Sheet'!$B$1,(COUNTA('[1]Auxiliary Data Sheet'!$B:$B,)),0)</definedName>
    <definedName name="beta" localSheetId="13">#REF!</definedName>
    <definedName name="beta">#REF!</definedName>
    <definedName name="CFcloud">[1]Database!$BA$4:OFFSET([1]Database!$BA$4,(COUNTA([1]Database!$BA:$BA,"**")-3),0)</definedName>
    <definedName name="CFNOx">[1]Database!$AX$4:OFFSET([1]Database!$AX$4,(COUNTA([1]Database!$AX:$AX,"**")-3),0)</definedName>
    <definedName name="EINOx">[1]Database!$AT$4:OFFSET([1]Database!$AT$4,(COUNTA([1]Database!$AT:$AT,"**")-3),0)</definedName>
    <definedName name="EngineList">'[1]Auxiliary Data Sheet'!$C$1:OFFSET('[1]Auxiliary Data Sheet'!$C$1,(COUNTA('[1]Auxiliary Data Sheet'!$C:$C)),0)</definedName>
    <definedName name="EngineType">[1]Database!$D$4:OFFSET([1]Database!$D$4,(COUNTA([1]Database!$D:$D,"**")-3),0)</definedName>
    <definedName name="Fuel_App">[1]Database!$AP$4:OFFSET([1]Database!$AP$4,(COUNTA([1]Database!$AP:$AP,"**")-3),0)</definedName>
    <definedName name="Fuel_CO">[1]Database!$AO$4:OFFSET([1]Database!$AO$4,(COUNTA([1]Database!$AO:$AO,"**")-3),0)</definedName>
    <definedName name="Fuel_Idle">[1]Database!$AQ$4:OFFSET([1]Database!$AQ$4,(COUNTA([1]Database!$AQ:$AQ,"**")-3),0)</definedName>
    <definedName name="Fuel_LTO">[1]Database!$AH$4:OFFSET([1]Database!$AH$4,(COUNTA([1]Database!$AH:$AH,"**")-3),0)</definedName>
    <definedName name="Fuel_TO">[1]Database!$AN$4:OFFSET([1]Database!$AN$4,(COUNTA([1]Database!$AN:$AN,"**")-3),0)</definedName>
    <definedName name="g">'[1]Boeing FFM2'!$AL$5</definedName>
    <definedName name="H" localSheetId="13">#REF!</definedName>
    <definedName name="H">#REF!</definedName>
    <definedName name="L">'[1]Boeing FFM2'!$AL$7</definedName>
    <definedName name="Level_App">[1]Database!$W$4:OFFSET([1]Database!$W$4,(COUNTA([1]Database!$W:$W,"**")-3),0)</definedName>
    <definedName name="Level_Fly">[1]Database!$U$4:OFFSET([1]Database!$U$4,(COUNTA([1]Database!$U:$U,"**")-3),0)</definedName>
    <definedName name="Level_Lat">[1]Database!$S$4:OFFSET([1]Database!$S$4,(COUNTA([1]Database!$S:$S,"**")-3),0)</definedName>
    <definedName name="Limit_App">[1]Database!$X$4:OFFSET([1]Database!$X$4,(COUNTA([1]Database!$X:$X,"**")-3),0)</definedName>
    <definedName name="Limit_Fly">[1]Database!$V$4:OFFSET([1]Database!$V$4,(COUNTA([1]Database!$V:$V,"**")-3),0)</definedName>
    <definedName name="Limit_Lat">[1]Database!$T$4:OFFSET([1]Database!$T$4,(COUNTA([1]Database!$T:$T,"**")-3),0)</definedName>
    <definedName name="LTO_CO">[1]Database!$AF$4:OFFSET([1]Database!$AF$4,(COUNTA([1]Database!$AF:$AF,"**")-3),0)</definedName>
    <definedName name="LTO_HC">[1]Database!$AE$4:OFFSET([1]Database!$AE$4,(COUNTA([1]Database!$AE:$AE,"**")-3),0)</definedName>
    <definedName name="LTO_NOx">[1]Database!$AG$4:OFFSET([1]Database!$AG$4,(COUNTA([1]Database!$AG:$AG,"**")-3),0)</definedName>
    <definedName name="M" localSheetId="13">#REF!</definedName>
    <definedName name="M">#REF!</definedName>
    <definedName name="m_one" localSheetId="13">[1]Database!#REF!:OFFSET([1]Database!#REF!,(COUNTA([1]Database!#REF!,"**")-3),0)</definedName>
    <definedName name="m_one">[1]Database!#REF!:OFFSET([1]Database!#REF!,(COUNTA([1]Database!#REF!,"**")-3),0)</definedName>
    <definedName name="m_two" localSheetId="13">[1]Database!#REF!:OFFSET([1]Database!#REF!,(COUNTA([1]Database!#REF!,"**")-3),0)</definedName>
    <definedName name="m_two">[1]Database!#REF!:OFFSET([1]Database!#REF!,(COUNTA([1]Database!#REF!,"**")-3),0)</definedName>
    <definedName name="MTOW">[1]Database!$F$4:OFFSET([1]Database!$F$4,(COUNTA([1]Database!$F:$F,"**")-3),0)</definedName>
    <definedName name="NoAC" localSheetId="13">#REF!+#REF!</definedName>
    <definedName name="NoAC">#REF!+#REF!</definedName>
    <definedName name="NoBC">[1]Database!$O$4:OFFSET([1]Database!$O$4,(COUNTA([1]Database!$O:$O,"**")-3),0)</definedName>
    <definedName name="NoEC">[1]Database!$I$4:OFFSET([1]Database!$I$4,(COUNTA([1]Database!$I:$I,"**")-3),0)</definedName>
    <definedName name="NoFC">[1]Database!$R$4:OFFSET([1]Database!$R$4,(COUNTA([1]Database!$R:$R,"**")-3),0)</definedName>
    <definedName name="NoPE">[1]Database!$L$4:OFFSET([1]Database!$L$4,(COUNTA([1]Database!$L:$L,"**")-3),0)</definedName>
    <definedName name="p" localSheetId="13">#REF!</definedName>
    <definedName name="p">#REF!</definedName>
    <definedName name="p_t">'[1]Boeing FFM2'!$AL$12</definedName>
    <definedName name="p_v" localSheetId="13">#REF!</definedName>
    <definedName name="p_v">#REF!</definedName>
    <definedName name="p0">'[1]Boeing FFM2'!$AL$9</definedName>
    <definedName name="PitchBC">[1]Database!$M$4:OFFSET([1]Database!$M$4,(COUNTA([1]Database!$M:$M,"**")-3),0)</definedName>
    <definedName name="PitchEC">[1]Database!$G$4:OFFSET([1]Database!$G$4,(COUNTA([1]Database!$G:$G,"**")-3),0)</definedName>
    <definedName name="PitchFC">[1]Database!$P$4:OFFSET([1]Database!$P$4,(COUNTA([1]Database!$P:$P,"**")-3),0)</definedName>
    <definedName name="PitchPE">[1]Database!$J$4:OFFSET([1]Database!$J$4,(COUNTA([1]Database!$J:$J,"**")-3),0)</definedName>
    <definedName name="R_const">'[1]Boeing FFM2'!$AL$6</definedName>
    <definedName name="R_one" localSheetId="13">[1]Database!#REF!:OFFSET([1]Database!#REF!,(COUNTA([1]Database!#REF!,"**")-3),0)</definedName>
    <definedName name="R_one">[1]Database!#REF!:OFFSET([1]Database!#REF!,(COUNTA([1]Database!#REF!,"**")-3),0)</definedName>
    <definedName name="R_two" localSheetId="13">[1]Database!#REF!:OFFSET([1]Database!#REF!,(COUNTA([1]Database!#REF!,"**")-3),0)</definedName>
    <definedName name="R_two">[1]Database!#REF!:OFFSET([1]Database!#REF!,(COUNTA([1]Database!#REF!,"**")-3),0)</definedName>
    <definedName name="Rating" localSheetId="13">#REF!</definedName>
    <definedName name="Rating">#REF!</definedName>
    <definedName name="rho_t">'[1]Boeing FFM2'!$AL$13</definedName>
    <definedName name="rho0">'[1]Boeing FFM2'!$AL$10</definedName>
    <definedName name="sCH">[1]Database!$AW$4:OFFSET([1]Database!$AW$4,(COUNTA([1]Database!$AW:$AW,"**")-3),0)</definedName>
    <definedName name="scir">[1]Database!$AZ$4:OFFSET([1]Database!$AZ$4,(COUNTA([1]Database!$AZ:$AZ,"**")-3),0)</definedName>
    <definedName name="scon">[1]Database!$AY$4:OFFSET([1]Database!$AY$4,(COUNTA([1]Database!$AY:$AY,"**")-3),0)</definedName>
    <definedName name="Smoke_App">[1]Database!$AL$4:OFFSET([1]Database!$AL$4,(COUNTA([1]Database!$AL:$AL,"**")-3),0)</definedName>
    <definedName name="Smoke_CO">[1]Database!$AK$4:OFFSET([1]Database!$AK$4,(COUNTA([1]Database!$AK:$AK,"**")-3),0)</definedName>
    <definedName name="Smoke_Idle">[1]Database!$AM$4:OFFSET([1]Database!$AM$4,(COUNTA([1]Database!$AM:$AM,"**")-3),0)</definedName>
    <definedName name="Smoke_TO">[1]Database!$AJ$4:OFFSET([1]Database!$AJ$4,(COUNTA([1]Database!$AJ:$AJ,"**")-3),0)</definedName>
    <definedName name="sOL">[1]Database!$AV$4:OFFSET([1]Database!$AV$4,(COUNTA([1]Database!$AV:$AV,"**")-3),0)</definedName>
    <definedName name="sOS">[1]Database!$AU$4:OFFSET([1]Database!$AU$4,(COUNTA([1]Database!$AU:$AU,"**")-3),0)</definedName>
    <definedName name="T" localSheetId="13">#REF!</definedName>
    <definedName name="T">#REF!</definedName>
    <definedName name="T_t">'[1]Boeing FFM2'!$AL$11</definedName>
    <definedName name="T0">'[1]Boeing FFM2'!$AL$8</definedName>
    <definedName name="Thrust">[1]Database!C$4:OFFSET([1]Database!$E$4,(COUNTA([1]Database!$E:$E,"**")-3),0)</definedName>
    <definedName name="WidthBC">[1]Database!$N$4:OFFSET([1]Database!$N$4,(COUNTA([1]Database!$N:$N,"**")-3),0)</definedName>
    <definedName name="WidthEC">[1]Database!$H$4:OFFSET([1]Database!$H$4,(COUNTA([1]Database!$H:$H,"**")-3),0)</definedName>
    <definedName name="WidthFC">[1]Database!$Q$4:OFFSET([1]Database!$Q$4,(COUNTA([1]Database!$Q:$Q,"**")-3),0)</definedName>
    <definedName name="WidthPE">[1]Database!$K$4:OFFSET([1]Database!$K$4,(COUNTA([1]Database!$K:$K,"**")-3),0)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0" i="20" l="1"/>
  <c r="A62" i="20" s="1"/>
  <c r="G62" i="20"/>
  <c r="D62" i="20"/>
  <c r="C62" i="20"/>
  <c r="B62" i="20"/>
  <c r="G60" i="20" l="1"/>
  <c r="J12" i="17"/>
  <c r="J11" i="8"/>
  <c r="Q11" i="8"/>
  <c r="O11" i="8"/>
  <c r="S11" i="8"/>
  <c r="K11" i="8"/>
  <c r="G11" i="8"/>
  <c r="P11" i="8" l="1"/>
  <c r="T11" i="8" s="1"/>
  <c r="U11" i="8" s="1"/>
  <c r="V11" i="8" s="1"/>
  <c r="H11" i="13"/>
  <c r="C60" i="20" s="1"/>
  <c r="G11" i="18"/>
  <c r="H11" i="18" s="1"/>
  <c r="B60" i="20" s="1"/>
  <c r="J11" i="17"/>
  <c r="K11" i="17" s="1"/>
  <c r="A60" i="20" s="1"/>
  <c r="E18" i="20"/>
  <c r="E16" i="20"/>
  <c r="E6" i="20"/>
  <c r="E7" i="20"/>
  <c r="E4" i="20"/>
  <c r="E40" i="20"/>
  <c r="E21" i="20"/>
  <c r="E14" i="20"/>
  <c r="E32" i="20"/>
  <c r="E49" i="20"/>
  <c r="E27" i="20"/>
  <c r="E51" i="20"/>
  <c r="E45" i="20"/>
  <c r="E8" i="20"/>
  <c r="E5" i="20"/>
  <c r="E29" i="20"/>
  <c r="E33" i="20"/>
  <c r="E50" i="20"/>
  <c r="E26" i="20"/>
  <c r="E20" i="20"/>
  <c r="E3" i="20"/>
  <c r="E44" i="20"/>
  <c r="E30" i="20"/>
  <c r="E24" i="20"/>
  <c r="E25" i="20"/>
  <c r="E15" i="20"/>
  <c r="E34" i="20"/>
  <c r="E23" i="20"/>
  <c r="E19" i="20"/>
  <c r="E31" i="20"/>
  <c r="E36" i="20"/>
  <c r="E39" i="20"/>
  <c r="E28" i="20"/>
  <c r="E37" i="20"/>
  <c r="E12" i="20"/>
  <c r="E38" i="20"/>
  <c r="E17" i="20"/>
  <c r="E11" i="20"/>
  <c r="E47" i="20"/>
  <c r="E43" i="20"/>
  <c r="E41" i="20"/>
  <c r="E22" i="20"/>
  <c r="E13" i="20"/>
  <c r="E48" i="20"/>
  <c r="E46" i="20"/>
  <c r="E42" i="20"/>
  <c r="E10" i="20"/>
  <c r="E35" i="20"/>
  <c r="E9" i="20"/>
  <c r="D60" i="20" l="1"/>
  <c r="D4" i="14"/>
  <c r="E4" i="19" l="1"/>
  <c r="E4" i="16" s="1"/>
  <c r="T5" i="12" s="1"/>
  <c r="E5" i="19"/>
  <c r="E5" i="16" s="1"/>
  <c r="T6" i="12" s="1"/>
  <c r="E7" i="19"/>
  <c r="E7" i="16" s="1"/>
  <c r="T7" i="12" s="1"/>
  <c r="E9" i="19"/>
  <c r="E9" i="16" s="1"/>
  <c r="T8" i="12" s="1"/>
  <c r="E10" i="19"/>
  <c r="E10" i="16" s="1"/>
  <c r="T9" i="12" s="1"/>
  <c r="E11" i="19"/>
  <c r="E11" i="16" s="1"/>
  <c r="T10" i="12" s="1"/>
  <c r="E12" i="19"/>
  <c r="E12" i="16" s="1"/>
  <c r="T11" i="12" s="1"/>
  <c r="E13" i="19"/>
  <c r="E13" i="16" s="1"/>
  <c r="T12" i="12" s="1"/>
  <c r="E14" i="19"/>
  <c r="E14" i="16" s="1"/>
  <c r="T13" i="12" s="1"/>
  <c r="E16" i="19"/>
  <c r="E16" i="16" s="1"/>
  <c r="T14" i="12" s="1"/>
  <c r="E17" i="19"/>
  <c r="E17" i="16" s="1"/>
  <c r="T15" i="12" s="1"/>
  <c r="E18" i="19"/>
  <c r="E18" i="16" s="1"/>
  <c r="T16" i="12" s="1"/>
  <c r="E19" i="19"/>
  <c r="E19" i="16" s="1"/>
  <c r="T17" i="12" s="1"/>
  <c r="E20" i="19"/>
  <c r="E20" i="16" s="1"/>
  <c r="T18" i="12" s="1"/>
  <c r="E21" i="19"/>
  <c r="E21" i="16" s="1"/>
  <c r="T19" i="12" s="1"/>
  <c r="E22" i="19"/>
  <c r="E22" i="16" s="1"/>
  <c r="T20" i="12" s="1"/>
  <c r="E23" i="19"/>
  <c r="E23" i="16" s="1"/>
  <c r="T21" i="12" s="1"/>
  <c r="E24" i="19"/>
  <c r="E24" i="16" s="1"/>
  <c r="T22" i="12" s="1"/>
  <c r="E25" i="19"/>
  <c r="E25" i="16" s="1"/>
  <c r="T23" i="12" s="1"/>
  <c r="E26" i="19"/>
  <c r="E26" i="16" s="1"/>
  <c r="T24" i="12" s="1"/>
  <c r="E27" i="19"/>
  <c r="E27" i="16" s="1"/>
  <c r="T25" i="12" s="1"/>
  <c r="E28" i="19"/>
  <c r="E28" i="16" s="1"/>
  <c r="T26" i="12" s="1"/>
  <c r="E29" i="19"/>
  <c r="E29" i="16" s="1"/>
  <c r="T27" i="12" s="1"/>
  <c r="E30" i="19"/>
  <c r="E30" i="16" s="1"/>
  <c r="T28" i="12" s="1"/>
  <c r="E31" i="19"/>
  <c r="E31" i="16" s="1"/>
  <c r="T29" i="12" s="1"/>
  <c r="E32" i="19"/>
  <c r="E32" i="16" s="1"/>
  <c r="T30" i="12" s="1"/>
  <c r="E33" i="19"/>
  <c r="E33" i="16" s="1"/>
  <c r="T31" i="12" s="1"/>
  <c r="E37" i="19"/>
  <c r="E37" i="16" s="1"/>
  <c r="T32" i="12" s="1"/>
  <c r="E43" i="19"/>
  <c r="E43" i="16" s="1"/>
  <c r="T33" i="12" s="1"/>
  <c r="E44" i="19"/>
  <c r="E44" i="16" s="1"/>
  <c r="T34" i="12" s="1"/>
  <c r="E45" i="19"/>
  <c r="E45" i="16" s="1"/>
  <c r="T35" i="12" s="1"/>
  <c r="E46" i="19"/>
  <c r="E46" i="16" s="1"/>
  <c r="T36" i="12" s="1"/>
  <c r="E47" i="19"/>
  <c r="E47" i="16" s="1"/>
  <c r="T37" i="12" s="1"/>
  <c r="E48" i="19"/>
  <c r="E48" i="16" s="1"/>
  <c r="T38" i="12" s="1"/>
  <c r="E49" i="19"/>
  <c r="E49" i="16" s="1"/>
  <c r="T39" i="12" s="1"/>
  <c r="E50" i="19"/>
  <c r="E50" i="16" s="1"/>
  <c r="T40" i="12" s="1"/>
  <c r="J4" i="17"/>
  <c r="K4" i="17" s="1"/>
  <c r="B4" i="16" s="1"/>
  <c r="D5" i="12" s="1"/>
  <c r="J5" i="17"/>
  <c r="K5" i="17" s="1"/>
  <c r="B5" i="16" s="1"/>
  <c r="D6" i="12" s="1"/>
  <c r="J6" i="17"/>
  <c r="K6" i="17" s="1"/>
  <c r="B6" i="16" s="1"/>
  <c r="J8" i="12" s="1"/>
  <c r="J7" i="17"/>
  <c r="K7" i="17" s="1"/>
  <c r="B7" i="16" s="1"/>
  <c r="D7" i="12" s="1"/>
  <c r="J8" i="17"/>
  <c r="K8" i="17" s="1"/>
  <c r="B8" i="16" s="1"/>
  <c r="J10" i="12" s="1"/>
  <c r="J9" i="17"/>
  <c r="K9" i="17" s="1"/>
  <c r="B9" i="16" s="1"/>
  <c r="D8" i="12" s="1"/>
  <c r="J10" i="17"/>
  <c r="K10" i="17" s="1"/>
  <c r="B10" i="16" s="1"/>
  <c r="D9" i="12" s="1"/>
  <c r="K12" i="17"/>
  <c r="B11" i="16" s="1"/>
  <c r="D10" i="12" s="1"/>
  <c r="J13" i="17"/>
  <c r="K13" i="17" s="1"/>
  <c r="B12" i="16" s="1"/>
  <c r="D11" i="12" s="1"/>
  <c r="J14" i="17"/>
  <c r="K14" i="17" s="1"/>
  <c r="B13" i="16" s="1"/>
  <c r="D12" i="12" s="1"/>
  <c r="J15" i="17"/>
  <c r="K15" i="17" s="1"/>
  <c r="B14" i="16" s="1"/>
  <c r="D13" i="12" s="1"/>
  <c r="J16" i="17"/>
  <c r="K16" i="17" s="1"/>
  <c r="B15" i="16" s="1"/>
  <c r="P17" i="12" s="1"/>
  <c r="J17" i="17"/>
  <c r="K17" i="17" s="1"/>
  <c r="B16" i="16" s="1"/>
  <c r="D14" i="12" s="1"/>
  <c r="J18" i="17"/>
  <c r="K18" i="17" s="1"/>
  <c r="B17" i="16" s="1"/>
  <c r="D15" i="12" s="1"/>
  <c r="J19" i="17"/>
  <c r="K19" i="17" s="1"/>
  <c r="B18" i="16" s="1"/>
  <c r="D16" i="12" s="1"/>
  <c r="J20" i="17"/>
  <c r="K20" i="17" s="1"/>
  <c r="B19" i="16" s="1"/>
  <c r="D17" i="12" s="1"/>
  <c r="J21" i="17"/>
  <c r="K21" i="17" s="1"/>
  <c r="B20" i="16" s="1"/>
  <c r="D18" i="12" s="1"/>
  <c r="J22" i="17"/>
  <c r="K22" i="17" s="1"/>
  <c r="B21" i="16" s="1"/>
  <c r="D19" i="12" s="1"/>
  <c r="J23" i="17"/>
  <c r="K23" i="17" s="1"/>
  <c r="B22" i="16" s="1"/>
  <c r="D20" i="12" s="1"/>
  <c r="J24" i="17"/>
  <c r="K24" i="17" s="1"/>
  <c r="B23" i="16" s="1"/>
  <c r="D21" i="12" s="1"/>
  <c r="J25" i="17"/>
  <c r="K25" i="17" s="1"/>
  <c r="B24" i="16" s="1"/>
  <c r="D22" i="12" s="1"/>
  <c r="J26" i="17"/>
  <c r="K26" i="17" s="1"/>
  <c r="B25" i="16" s="1"/>
  <c r="D23" i="12" s="1"/>
  <c r="J27" i="17"/>
  <c r="K27" i="17" s="1"/>
  <c r="B26" i="16" s="1"/>
  <c r="D24" i="12" s="1"/>
  <c r="J28" i="17"/>
  <c r="K28" i="17" s="1"/>
  <c r="B27" i="16" s="1"/>
  <c r="D25" i="12" s="1"/>
  <c r="J29" i="17"/>
  <c r="K29" i="17" s="1"/>
  <c r="B28" i="16" s="1"/>
  <c r="D26" i="12" s="1"/>
  <c r="J30" i="17"/>
  <c r="K30" i="17" s="1"/>
  <c r="B29" i="16" s="1"/>
  <c r="D27" i="12" s="1"/>
  <c r="J31" i="17"/>
  <c r="K31" i="17" s="1"/>
  <c r="B30" i="16" s="1"/>
  <c r="D28" i="12" s="1"/>
  <c r="J32" i="17"/>
  <c r="K32" i="17" s="1"/>
  <c r="B31" i="16" s="1"/>
  <c r="D29" i="12" s="1"/>
  <c r="J33" i="17"/>
  <c r="K33" i="17" s="1"/>
  <c r="B32" i="16" s="1"/>
  <c r="D30" i="12" s="1"/>
  <c r="J34" i="17"/>
  <c r="K34" i="17" s="1"/>
  <c r="B33" i="16" s="1"/>
  <c r="D31" i="12" s="1"/>
  <c r="J35" i="17"/>
  <c r="K35" i="17" s="1"/>
  <c r="B34" i="16" s="1"/>
  <c r="J33" i="12" s="1"/>
  <c r="J36" i="17"/>
  <c r="K36" i="17" s="1"/>
  <c r="B35" i="16" s="1"/>
  <c r="J34" i="12" s="1"/>
  <c r="J37" i="17"/>
  <c r="K37" i="17" s="1"/>
  <c r="B36" i="16" s="1"/>
  <c r="J35" i="12" s="1"/>
  <c r="J38" i="17"/>
  <c r="K38" i="17" s="1"/>
  <c r="B37" i="16" s="1"/>
  <c r="D32" i="12" s="1"/>
  <c r="J39" i="17"/>
  <c r="K39" i="17" s="1"/>
  <c r="B38" i="16" s="1"/>
  <c r="J37" i="12" s="1"/>
  <c r="J40" i="17"/>
  <c r="K40" i="17" s="1"/>
  <c r="B39" i="16" s="1"/>
  <c r="G19" i="12" s="1"/>
  <c r="J41" i="17"/>
  <c r="K41" i="17" s="1"/>
  <c r="B40" i="16" s="1"/>
  <c r="G20" i="12" s="1"/>
  <c r="J42" i="17"/>
  <c r="K42" i="17" s="1"/>
  <c r="B41" i="16" s="1"/>
  <c r="G21" i="12" s="1"/>
  <c r="J43" i="17"/>
  <c r="K43" i="17" s="1"/>
  <c r="B42" i="16" s="1"/>
  <c r="J44" i="17"/>
  <c r="K44" i="17" s="1"/>
  <c r="B43" i="16" s="1"/>
  <c r="D33" i="12" s="1"/>
  <c r="J45" i="17"/>
  <c r="K45" i="17" s="1"/>
  <c r="B44" i="16" s="1"/>
  <c r="D34" i="12" s="1"/>
  <c r="J46" i="17"/>
  <c r="K46" i="17" s="1"/>
  <c r="B45" i="16" s="1"/>
  <c r="D35" i="12" s="1"/>
  <c r="J47" i="17"/>
  <c r="K47" i="17" s="1"/>
  <c r="B46" i="16" s="1"/>
  <c r="D36" i="12" s="1"/>
  <c r="J48" i="17"/>
  <c r="K48" i="17" s="1"/>
  <c r="B47" i="16" s="1"/>
  <c r="D37" i="12" s="1"/>
  <c r="J49" i="17"/>
  <c r="K49" i="17" s="1"/>
  <c r="B48" i="16" s="1"/>
  <c r="D38" i="12" s="1"/>
  <c r="J50" i="17"/>
  <c r="K50" i="17" s="1"/>
  <c r="B49" i="16" s="1"/>
  <c r="D39" i="12" s="1"/>
  <c r="J51" i="17"/>
  <c r="K51" i="17" s="1"/>
  <c r="B50" i="16" s="1"/>
  <c r="D40" i="12" s="1"/>
  <c r="J52" i="17"/>
  <c r="K52" i="17" s="1"/>
  <c r="B51" i="16" s="1"/>
  <c r="P52" i="12" s="1"/>
  <c r="J53" i="17"/>
  <c r="K53" i="17" s="1"/>
  <c r="B52" i="16" s="1"/>
  <c r="J45" i="12" s="1"/>
  <c r="G4" i="18"/>
  <c r="H4" i="18" s="1"/>
  <c r="G5" i="18"/>
  <c r="H5" i="18" s="1"/>
  <c r="G6" i="18"/>
  <c r="H6" i="18" s="1"/>
  <c r="G7" i="18"/>
  <c r="H7" i="18" s="1"/>
  <c r="G8" i="18"/>
  <c r="H8" i="18" s="1"/>
  <c r="G9" i="18"/>
  <c r="H9" i="18" s="1"/>
  <c r="G10" i="18"/>
  <c r="H10" i="18" s="1"/>
  <c r="G12" i="18"/>
  <c r="H12" i="18" s="1"/>
  <c r="G13" i="18"/>
  <c r="H13" i="18" s="1"/>
  <c r="G14" i="18"/>
  <c r="H14" i="18" s="1"/>
  <c r="G15" i="18"/>
  <c r="H15" i="18" s="1"/>
  <c r="G16" i="18"/>
  <c r="H16" i="18" s="1"/>
  <c r="G17" i="18"/>
  <c r="H17" i="18" s="1"/>
  <c r="G18" i="18"/>
  <c r="H18" i="18" s="1"/>
  <c r="G19" i="18"/>
  <c r="H19" i="18" s="1"/>
  <c r="G20" i="18"/>
  <c r="H20" i="18" s="1"/>
  <c r="G21" i="18"/>
  <c r="H21" i="18" s="1"/>
  <c r="G22" i="18"/>
  <c r="H22" i="18" s="1"/>
  <c r="G23" i="18"/>
  <c r="H23" i="18" s="1"/>
  <c r="G24" i="18"/>
  <c r="H24" i="18" s="1"/>
  <c r="G25" i="18"/>
  <c r="H25" i="18" s="1"/>
  <c r="G26" i="18"/>
  <c r="H26" i="18" s="1"/>
  <c r="G27" i="18"/>
  <c r="H27" i="18" s="1"/>
  <c r="G28" i="18"/>
  <c r="H28" i="18" s="1"/>
  <c r="G29" i="18"/>
  <c r="H29" i="18" s="1"/>
  <c r="G30" i="18"/>
  <c r="H30" i="18" s="1"/>
  <c r="G31" i="18"/>
  <c r="H31" i="18" s="1"/>
  <c r="G32" i="18"/>
  <c r="H32" i="18" s="1"/>
  <c r="G33" i="18"/>
  <c r="H33" i="18" s="1"/>
  <c r="G34" i="18"/>
  <c r="H34" i="18" s="1"/>
  <c r="G35" i="18"/>
  <c r="H35" i="18" s="1"/>
  <c r="G36" i="18"/>
  <c r="H36" i="18" s="1"/>
  <c r="G37" i="18"/>
  <c r="H37" i="18" s="1"/>
  <c r="G38" i="18"/>
  <c r="H38" i="18" s="1"/>
  <c r="G39" i="18"/>
  <c r="H39" i="18" s="1"/>
  <c r="G40" i="18"/>
  <c r="H40" i="18" s="1"/>
  <c r="G41" i="18"/>
  <c r="H41" i="18" s="1"/>
  <c r="G42" i="18"/>
  <c r="H42" i="18" s="1"/>
  <c r="G43" i="18"/>
  <c r="H43" i="18" s="1"/>
  <c r="C42" i="16" s="1"/>
  <c r="G44" i="18"/>
  <c r="H44" i="18" s="1"/>
  <c r="G45" i="18"/>
  <c r="H45" i="18" s="1"/>
  <c r="G46" i="18"/>
  <c r="H46" i="18" s="1"/>
  <c r="G47" i="18"/>
  <c r="H47" i="18" s="1"/>
  <c r="G48" i="18"/>
  <c r="H48" i="18" s="1"/>
  <c r="G49" i="18"/>
  <c r="H49" i="18" s="1"/>
  <c r="G50" i="18"/>
  <c r="H50" i="18" s="1"/>
  <c r="G51" i="18"/>
  <c r="H51" i="18" s="1"/>
  <c r="G52" i="18"/>
  <c r="H52" i="18" s="1"/>
  <c r="G53" i="18"/>
  <c r="H53" i="18" s="1"/>
  <c r="G3" i="18"/>
  <c r="H3" i="18" s="1"/>
  <c r="J3" i="17"/>
  <c r="K3" i="17" s="1"/>
  <c r="B3" i="16" s="1"/>
  <c r="J5" i="12" s="1"/>
  <c r="H4" i="16"/>
  <c r="BD6" i="12" s="1"/>
  <c r="H5" i="16"/>
  <c r="AX5" i="12" s="1"/>
  <c r="H6" i="16"/>
  <c r="BD8" i="12" s="1"/>
  <c r="H7" i="16"/>
  <c r="BD9" i="12" s="1"/>
  <c r="H8" i="16"/>
  <c r="BD10" i="12" s="1"/>
  <c r="H9" i="16"/>
  <c r="AX6" i="12" s="1"/>
  <c r="H10" i="16"/>
  <c r="AX7" i="12" s="1"/>
  <c r="H11" i="16"/>
  <c r="BD13" i="12" s="1"/>
  <c r="H12" i="16"/>
  <c r="BD14" i="12" s="1"/>
  <c r="H13" i="16"/>
  <c r="AX8" i="12" s="1"/>
  <c r="H14" i="16"/>
  <c r="AX9" i="12" s="1"/>
  <c r="H15" i="16"/>
  <c r="BI17" i="12" s="1"/>
  <c r="H17" i="16"/>
  <c r="BD15" i="12" s="1"/>
  <c r="H18" i="16"/>
  <c r="BD16" i="12" s="1"/>
  <c r="H19" i="16"/>
  <c r="AX10" i="12" s="1"/>
  <c r="H22" i="16"/>
  <c r="AX11" i="12" s="1"/>
  <c r="H23" i="16"/>
  <c r="AX12" i="12" s="1"/>
  <c r="H24" i="16"/>
  <c r="BD20" i="12" s="1"/>
  <c r="H25" i="16"/>
  <c r="AX13" i="12" s="1"/>
  <c r="H26" i="16"/>
  <c r="AX14" i="12" s="1"/>
  <c r="H27" i="16"/>
  <c r="AX15" i="12" s="1"/>
  <c r="H28" i="16"/>
  <c r="BD24" i="12" s="1"/>
  <c r="H29" i="16"/>
  <c r="BD25" i="12" s="1"/>
  <c r="H30" i="16"/>
  <c r="BD26" i="12" s="1"/>
  <c r="H31" i="16"/>
  <c r="BD27" i="12" s="1"/>
  <c r="H32" i="16"/>
  <c r="BD28" i="12" s="1"/>
  <c r="H34" i="16"/>
  <c r="BD29" i="12" s="1"/>
  <c r="H35" i="16"/>
  <c r="BD30" i="12" s="1"/>
  <c r="H36" i="16"/>
  <c r="BD31" i="12" s="1"/>
  <c r="H37" i="16"/>
  <c r="BD32" i="12" s="1"/>
  <c r="H38" i="16"/>
  <c r="BD33" i="12" s="1"/>
  <c r="H41" i="16"/>
  <c r="AX16" i="12" s="1"/>
  <c r="H43" i="16"/>
  <c r="BD34" i="12" s="1"/>
  <c r="H44" i="16"/>
  <c r="BD35" i="12" s="1"/>
  <c r="H45" i="16"/>
  <c r="BD36" i="12" s="1"/>
  <c r="H46" i="16"/>
  <c r="BD37" i="12" s="1"/>
  <c r="H47" i="16"/>
  <c r="BD38" i="12" s="1"/>
  <c r="H48" i="16"/>
  <c r="AX17" i="12" s="1"/>
  <c r="H49" i="16"/>
  <c r="BD39" i="12" s="1"/>
  <c r="H51" i="16"/>
  <c r="BI45" i="12" s="1"/>
  <c r="H52" i="16"/>
  <c r="BD40" i="12" s="1"/>
  <c r="H3" i="16"/>
  <c r="BD5" i="12" s="1"/>
  <c r="C38" i="16" l="1"/>
  <c r="Y37" i="12" s="1"/>
  <c r="C13" i="16"/>
  <c r="AE15" i="12" s="1"/>
  <c r="C12" i="16"/>
  <c r="S11" i="12" s="1"/>
  <c r="C18" i="16"/>
  <c r="S16" i="12" s="1"/>
  <c r="C37" i="16"/>
  <c r="S32" i="12" s="1"/>
  <c r="C7" i="16"/>
  <c r="S7" i="12" s="1"/>
  <c r="C36" i="16"/>
  <c r="Y35" i="12" s="1"/>
  <c r="C6" i="16"/>
  <c r="Y8" i="12" s="1"/>
  <c r="C45" i="16"/>
  <c r="AB40" i="12" s="1"/>
  <c r="C25" i="16"/>
  <c r="S23" i="12" s="1"/>
  <c r="C5" i="16"/>
  <c r="S6" i="12" s="1"/>
  <c r="C34" i="16"/>
  <c r="AB32" i="12" s="1"/>
  <c r="C14" i="16"/>
  <c r="V9" i="12" s="1"/>
  <c r="C43" i="16"/>
  <c r="AE44" i="12" s="1"/>
  <c r="C23" i="16"/>
  <c r="AE25" i="12" s="1"/>
  <c r="C22" i="16"/>
  <c r="S20" i="12" s="1"/>
  <c r="C51" i="16"/>
  <c r="AB45" i="12" s="1"/>
  <c r="C41" i="16"/>
  <c r="V21" i="12" s="1"/>
  <c r="C31" i="16"/>
  <c r="AE33" i="12" s="1"/>
  <c r="C21" i="16"/>
  <c r="S19" i="12" s="1"/>
  <c r="C11" i="16"/>
  <c r="S10" i="12" s="1"/>
  <c r="C48" i="16"/>
  <c r="S38" i="12" s="1"/>
  <c r="C8" i="16"/>
  <c r="AE10" i="12" s="1"/>
  <c r="C27" i="16"/>
  <c r="V17" i="12" s="1"/>
  <c r="C46" i="16"/>
  <c r="Y41" i="12" s="1"/>
  <c r="C16" i="16"/>
  <c r="S14" i="12" s="1"/>
  <c r="C35" i="16"/>
  <c r="AB33" i="12" s="1"/>
  <c r="C15" i="16"/>
  <c r="AE17" i="12" s="1"/>
  <c r="C44" i="16"/>
  <c r="AE45" i="12" s="1"/>
  <c r="C24" i="16"/>
  <c r="AB23" i="12" s="1"/>
  <c r="C4" i="16"/>
  <c r="S5" i="12" s="1"/>
  <c r="C3" i="16"/>
  <c r="AE5" i="12" s="1"/>
  <c r="C33" i="16"/>
  <c r="Y32" i="12" s="1"/>
  <c r="C52" i="16"/>
  <c r="AB46" i="12" s="1"/>
  <c r="C32" i="16"/>
  <c r="AB31" i="12" s="1"/>
  <c r="C50" i="16"/>
  <c r="S40" i="12" s="1"/>
  <c r="C40" i="16"/>
  <c r="V20" i="12" s="1"/>
  <c r="C30" i="16"/>
  <c r="AB29" i="12" s="1"/>
  <c r="C20" i="16"/>
  <c r="Y19" i="12" s="1"/>
  <c r="C10" i="16"/>
  <c r="V7" i="12" s="1"/>
  <c r="C28" i="16"/>
  <c r="S26" i="12" s="1"/>
  <c r="C47" i="16"/>
  <c r="AB42" i="12" s="1"/>
  <c r="C17" i="16"/>
  <c r="S15" i="12" s="1"/>
  <c r="C26" i="16"/>
  <c r="V16" i="12" s="1"/>
  <c r="C49" i="16"/>
  <c r="AB44" i="12" s="1"/>
  <c r="C39" i="16"/>
  <c r="V19" i="12" s="1"/>
  <c r="C29" i="16"/>
  <c r="S27" i="12" s="1"/>
  <c r="C19" i="16"/>
  <c r="S17" i="12" s="1"/>
  <c r="C9" i="16"/>
  <c r="Y11" i="12" s="1"/>
  <c r="AO6" i="12"/>
  <c r="AO15" i="12"/>
  <c r="AO19" i="12"/>
  <c r="AO7" i="12"/>
  <c r="AO17" i="12"/>
  <c r="AO18" i="12"/>
  <c r="AO8" i="12"/>
  <c r="AO27" i="12"/>
  <c r="AO28" i="12"/>
  <c r="AO13" i="12"/>
  <c r="AO26" i="12"/>
  <c r="AO29" i="12"/>
  <c r="AO12" i="12"/>
  <c r="AO25" i="12"/>
  <c r="AO35" i="12"/>
  <c r="AO11" i="12"/>
  <c r="AO24" i="12"/>
  <c r="AO34" i="12"/>
  <c r="AO10" i="12"/>
  <c r="AO23" i="12"/>
  <c r="AO33" i="12"/>
  <c r="AO9" i="12"/>
  <c r="AO22" i="12"/>
  <c r="AO32" i="12"/>
  <c r="AO14" i="12"/>
  <c r="AO21" i="12"/>
  <c r="AO31" i="12"/>
  <c r="AO5" i="12"/>
  <c r="AO16" i="12"/>
  <c r="AO20" i="12"/>
  <c r="AO30" i="12"/>
  <c r="E56" i="16"/>
  <c r="H55" i="16"/>
  <c r="E55" i="16"/>
  <c r="B56" i="16"/>
  <c r="H56" i="16"/>
  <c r="H57" i="16" s="1"/>
  <c r="B55" i="16"/>
  <c r="E12" i="12"/>
  <c r="AK30" i="12"/>
  <c r="E6" i="12"/>
  <c r="E13" i="12"/>
  <c r="E11" i="12"/>
  <c r="E7" i="12"/>
  <c r="E8" i="12"/>
  <c r="E9" i="12"/>
  <c r="E10" i="12"/>
  <c r="N25" i="12"/>
  <c r="N38" i="12"/>
  <c r="E5" i="12"/>
  <c r="M14" i="12"/>
  <c r="E14" i="12"/>
  <c r="M20" i="12"/>
  <c r="E16" i="12"/>
  <c r="M22" i="12"/>
  <c r="E15" i="12"/>
  <c r="M43" i="12"/>
  <c r="E25" i="12"/>
  <c r="N14" i="12"/>
  <c r="E32" i="12"/>
  <c r="N18" i="12"/>
  <c r="E39" i="12"/>
  <c r="M17" i="12"/>
  <c r="M7" i="12"/>
  <c r="M25" i="12"/>
  <c r="M33" i="12"/>
  <c r="M46" i="12"/>
  <c r="N7" i="12"/>
  <c r="N28" i="12"/>
  <c r="N34" i="12"/>
  <c r="N45" i="12"/>
  <c r="E18" i="12"/>
  <c r="M16" i="12"/>
  <c r="M6" i="12"/>
  <c r="M24" i="12"/>
  <c r="M37" i="12"/>
  <c r="N16" i="12"/>
  <c r="N6" i="12"/>
  <c r="N27" i="12"/>
  <c r="N33" i="12"/>
  <c r="N46" i="12"/>
  <c r="E17" i="12"/>
  <c r="M15" i="12"/>
  <c r="M18" i="12"/>
  <c r="M23" i="12"/>
  <c r="M38" i="12"/>
  <c r="N15" i="12"/>
  <c r="N17" i="12"/>
  <c r="N26" i="12"/>
  <c r="N37" i="12"/>
  <c r="E33" i="12"/>
  <c r="M13" i="12"/>
  <c r="M19" i="12"/>
  <c r="M31" i="12"/>
  <c r="M42" i="12"/>
  <c r="N13" i="12"/>
  <c r="N20" i="12"/>
  <c r="N24" i="12"/>
  <c r="N44" i="12"/>
  <c r="E24" i="12"/>
  <c r="E31" i="12"/>
  <c r="E38" i="12"/>
  <c r="M12" i="12"/>
  <c r="M21" i="12"/>
  <c r="M30" i="12"/>
  <c r="M41" i="12"/>
  <c r="N12" i="12"/>
  <c r="N19" i="12"/>
  <c r="N23" i="12"/>
  <c r="N43" i="12"/>
  <c r="E23" i="12"/>
  <c r="E30" i="12"/>
  <c r="E37" i="12"/>
  <c r="M11" i="12"/>
  <c r="M29" i="12"/>
  <c r="M32" i="12"/>
  <c r="M40" i="12"/>
  <c r="N11" i="12"/>
  <c r="N21" i="12"/>
  <c r="N22" i="12"/>
  <c r="N42" i="12"/>
  <c r="E22" i="12"/>
  <c r="E29" i="12"/>
  <c r="E36" i="12"/>
  <c r="M10" i="12"/>
  <c r="M28" i="12"/>
  <c r="M36" i="12"/>
  <c r="M39" i="12"/>
  <c r="N10" i="12"/>
  <c r="N31" i="12"/>
  <c r="N32" i="12"/>
  <c r="N41" i="12"/>
  <c r="E21" i="12"/>
  <c r="E28" i="12"/>
  <c r="E35" i="12"/>
  <c r="N5" i="12"/>
  <c r="M9" i="12"/>
  <c r="M27" i="12"/>
  <c r="M35" i="12"/>
  <c r="M44" i="12"/>
  <c r="N9" i="12"/>
  <c r="N30" i="12"/>
  <c r="N36" i="12"/>
  <c r="N40" i="12"/>
  <c r="E20" i="12"/>
  <c r="E27" i="12"/>
  <c r="E34" i="12"/>
  <c r="M5" i="12"/>
  <c r="M8" i="12"/>
  <c r="M26" i="12"/>
  <c r="M34" i="12"/>
  <c r="M45" i="12"/>
  <c r="N8" i="12"/>
  <c r="N29" i="12"/>
  <c r="N35" i="12"/>
  <c r="N39" i="12"/>
  <c r="E19" i="12"/>
  <c r="E26" i="12"/>
  <c r="E40" i="12"/>
  <c r="P35" i="12"/>
  <c r="P25" i="12"/>
  <c r="P15" i="12"/>
  <c r="P44" i="12"/>
  <c r="P5" i="12"/>
  <c r="P34" i="12"/>
  <c r="P24" i="12"/>
  <c r="P14" i="12"/>
  <c r="P53" i="12"/>
  <c r="P43" i="12"/>
  <c r="P33" i="12"/>
  <c r="P23" i="12"/>
  <c r="P13" i="12"/>
  <c r="P32" i="12"/>
  <c r="P51" i="12"/>
  <c r="P41" i="12"/>
  <c r="P31" i="12"/>
  <c r="P21" i="12"/>
  <c r="P11" i="12"/>
  <c r="P50" i="12"/>
  <c r="P40" i="12"/>
  <c r="P30" i="12"/>
  <c r="P20" i="12"/>
  <c r="P10" i="12"/>
  <c r="P49" i="12"/>
  <c r="P42" i="12"/>
  <c r="P22" i="12"/>
  <c r="P12" i="12"/>
  <c r="P39" i="12"/>
  <c r="P29" i="12"/>
  <c r="P19" i="12"/>
  <c r="P9" i="12"/>
  <c r="P48" i="12"/>
  <c r="P38" i="12"/>
  <c r="P28" i="12"/>
  <c r="P18" i="12"/>
  <c r="P8" i="12"/>
  <c r="P47" i="12"/>
  <c r="P37" i="12"/>
  <c r="P27" i="12"/>
  <c r="P7" i="12"/>
  <c r="P46" i="12"/>
  <c r="P36" i="12"/>
  <c r="P26" i="12"/>
  <c r="P16" i="12"/>
  <c r="P6" i="12"/>
  <c r="P45" i="12"/>
  <c r="AE7" i="12"/>
  <c r="AQ8" i="12"/>
  <c r="AC10" i="12"/>
  <c r="AQ28" i="12"/>
  <c r="AC30" i="12"/>
  <c r="AB36" i="12"/>
  <c r="AN14" i="12"/>
  <c r="AC36" i="12"/>
  <c r="AN15" i="12"/>
  <c r="AC40" i="12"/>
  <c r="AN26" i="12"/>
  <c r="AB15" i="12"/>
  <c r="AN13" i="12"/>
  <c r="AE40" i="12"/>
  <c r="AC13" i="12"/>
  <c r="AC19" i="12"/>
  <c r="AC23" i="12"/>
  <c r="AC43" i="12"/>
  <c r="AQ13" i="12"/>
  <c r="AE39" i="12"/>
  <c r="AC12" i="12"/>
  <c r="AC21" i="12"/>
  <c r="AC22" i="12"/>
  <c r="AC42" i="12"/>
  <c r="AQ11" i="12"/>
  <c r="AC11" i="12"/>
  <c r="AC31" i="12"/>
  <c r="AC32" i="12"/>
  <c r="AC41" i="12"/>
  <c r="AB13" i="12"/>
  <c r="AQ25" i="12"/>
  <c r="AN19" i="12"/>
  <c r="AC9" i="12"/>
  <c r="AC29" i="12"/>
  <c r="AC35" i="12"/>
  <c r="AC39" i="12"/>
  <c r="AQ18" i="12"/>
  <c r="AN18" i="12"/>
  <c r="AC5" i="12"/>
  <c r="AC8" i="12"/>
  <c r="AC28" i="12"/>
  <c r="AC34" i="12"/>
  <c r="AC45" i="12"/>
  <c r="AQ15" i="12"/>
  <c r="AN29" i="12"/>
  <c r="AE14" i="12"/>
  <c r="AC17" i="12"/>
  <c r="AC7" i="12"/>
  <c r="AC27" i="12"/>
  <c r="AC33" i="12"/>
  <c r="AC46" i="12"/>
  <c r="AQ36" i="12"/>
  <c r="AC16" i="12"/>
  <c r="AC6" i="12"/>
  <c r="AC26" i="12"/>
  <c r="AC37" i="12"/>
  <c r="AQ35" i="12"/>
  <c r="AC15" i="12"/>
  <c r="AC18" i="12"/>
  <c r="AC25" i="12"/>
  <c r="AC38" i="12"/>
  <c r="AB7" i="12"/>
  <c r="AN6" i="12"/>
  <c r="AC14" i="12"/>
  <c r="AC20" i="12"/>
  <c r="AC24" i="12"/>
  <c r="AC44" i="12"/>
  <c r="AQ27" i="12"/>
  <c r="AQ17" i="12"/>
  <c r="AN7" i="12"/>
  <c r="AN17" i="12"/>
  <c r="AQ12" i="12"/>
  <c r="AQ26" i="12"/>
  <c r="AQ16" i="12"/>
  <c r="AQ34" i="12"/>
  <c r="AN8" i="12"/>
  <c r="AN27" i="12"/>
  <c r="AN28" i="12"/>
  <c r="AQ10" i="12"/>
  <c r="AQ24" i="12"/>
  <c r="AQ32" i="12"/>
  <c r="AN12" i="12"/>
  <c r="AN25" i="12"/>
  <c r="AN35" i="12"/>
  <c r="AQ9" i="12"/>
  <c r="AQ23" i="12"/>
  <c r="AQ33" i="12"/>
  <c r="AN11" i="12"/>
  <c r="AN24" i="12"/>
  <c r="AN34" i="12"/>
  <c r="AQ14" i="12"/>
  <c r="AQ22" i="12"/>
  <c r="AQ40" i="12"/>
  <c r="AN10" i="12"/>
  <c r="AN23" i="12"/>
  <c r="AN33" i="12"/>
  <c r="AQ5" i="12"/>
  <c r="AQ31" i="12"/>
  <c r="AQ21" i="12"/>
  <c r="AQ39" i="12"/>
  <c r="AN9" i="12"/>
  <c r="AN22" i="12"/>
  <c r="AN32" i="12"/>
  <c r="AQ6" i="12"/>
  <c r="AQ30" i="12"/>
  <c r="AQ20" i="12"/>
  <c r="AQ38" i="12"/>
  <c r="AN21" i="12"/>
  <c r="AN31" i="12"/>
  <c r="AQ7" i="12"/>
  <c r="AQ29" i="12"/>
  <c r="AQ19" i="12"/>
  <c r="AQ37" i="12"/>
  <c r="AN5" i="12"/>
  <c r="AN16" i="12"/>
  <c r="AN20" i="12"/>
  <c r="AN30" i="12"/>
  <c r="AK11" i="12"/>
  <c r="BI32" i="12"/>
  <c r="BI14" i="12"/>
  <c r="BI20" i="12"/>
  <c r="BI24" i="12"/>
  <c r="BI44" i="12"/>
  <c r="BI13" i="12"/>
  <c r="BI19" i="12"/>
  <c r="BI23" i="12"/>
  <c r="BI43" i="12"/>
  <c r="BI12" i="12"/>
  <c r="BI21" i="12"/>
  <c r="BI22" i="12"/>
  <c r="BI42" i="12"/>
  <c r="BI11" i="12"/>
  <c r="BI31" i="12"/>
  <c r="BI41" i="12"/>
  <c r="AK19" i="12"/>
  <c r="BI10" i="12"/>
  <c r="BI30" i="12"/>
  <c r="BI36" i="12"/>
  <c r="BI40" i="12"/>
  <c r="BI9" i="12"/>
  <c r="BI29" i="12"/>
  <c r="BI35" i="12"/>
  <c r="BI39" i="12"/>
  <c r="BI5" i="12"/>
  <c r="BI8" i="12"/>
  <c r="BI28" i="12"/>
  <c r="BI34" i="12"/>
  <c r="BI7" i="12"/>
  <c r="BI27" i="12"/>
  <c r="BI33" i="12"/>
  <c r="BI46" i="12"/>
  <c r="BI16" i="12"/>
  <c r="BI6" i="12"/>
  <c r="BI26" i="12"/>
  <c r="BI37" i="12"/>
  <c r="BI15" i="12"/>
  <c r="BI18" i="12"/>
  <c r="BI25" i="12"/>
  <c r="BI38" i="12"/>
  <c r="J22" i="12"/>
  <c r="BD22" i="12"/>
  <c r="AK5" i="12"/>
  <c r="J21" i="12"/>
  <c r="J41" i="12"/>
  <c r="AK12" i="12"/>
  <c r="J11" i="12"/>
  <c r="AK29" i="12"/>
  <c r="AK21" i="12"/>
  <c r="AK31" i="12"/>
  <c r="J31" i="12"/>
  <c r="BD7" i="12"/>
  <c r="AK33" i="12"/>
  <c r="J39" i="12"/>
  <c r="J23" i="12"/>
  <c r="J24" i="12"/>
  <c r="J42" i="12"/>
  <c r="AK9" i="12"/>
  <c r="AK22" i="12"/>
  <c r="AK35" i="12"/>
  <c r="J9" i="12"/>
  <c r="J32" i="12"/>
  <c r="J40" i="12"/>
  <c r="BD23" i="12"/>
  <c r="AK20" i="12"/>
  <c r="AK34" i="12"/>
  <c r="J7" i="12"/>
  <c r="J30" i="12"/>
  <c r="J20" i="12"/>
  <c r="J43" i="12"/>
  <c r="BD17" i="12"/>
  <c r="BD21" i="12"/>
  <c r="AK28" i="12"/>
  <c r="AK18" i="12"/>
  <c r="AK32" i="12"/>
  <c r="Y9" i="12"/>
  <c r="J6" i="12"/>
  <c r="J29" i="12"/>
  <c r="J19" i="12"/>
  <c r="J44" i="12"/>
  <c r="AK6" i="12"/>
  <c r="AK27" i="12"/>
  <c r="AK17" i="12"/>
  <c r="AK36" i="12"/>
  <c r="J15" i="12"/>
  <c r="J28" i="12"/>
  <c r="J18" i="12"/>
  <c r="BD12" i="12"/>
  <c r="BD18" i="12"/>
  <c r="BD19" i="12"/>
  <c r="AK7" i="12"/>
  <c r="AK26" i="12"/>
  <c r="AK16" i="12"/>
  <c r="AK37" i="12"/>
  <c r="J14" i="12"/>
  <c r="J27" i="12"/>
  <c r="J17" i="12"/>
  <c r="BD11" i="12"/>
  <c r="AK8" i="12"/>
  <c r="AK25" i="12"/>
  <c r="AK15" i="12"/>
  <c r="J13" i="12"/>
  <c r="J36" i="12"/>
  <c r="J26" i="12"/>
  <c r="J16" i="12"/>
  <c r="AK24" i="12"/>
  <c r="AK14" i="12"/>
  <c r="J12" i="12"/>
  <c r="J25" i="12"/>
  <c r="J38" i="12"/>
  <c r="AK10" i="12"/>
  <c r="AK23" i="12"/>
  <c r="AK13" i="12"/>
  <c r="Y14" i="12"/>
  <c r="Y17" i="12"/>
  <c r="V5" i="12"/>
  <c r="AH13" i="12"/>
  <c r="AH19" i="12"/>
  <c r="AH20" i="12"/>
  <c r="G12" i="12"/>
  <c r="G22" i="12"/>
  <c r="AH9" i="12"/>
  <c r="G13" i="12"/>
  <c r="G23" i="12"/>
  <c r="AH10" i="12"/>
  <c r="G14" i="12"/>
  <c r="AH14" i="12"/>
  <c r="G6" i="12"/>
  <c r="G16" i="12"/>
  <c r="V8" i="12"/>
  <c r="AH12" i="12"/>
  <c r="G7" i="12"/>
  <c r="G17" i="12"/>
  <c r="AH11" i="12"/>
  <c r="G8" i="12"/>
  <c r="G18" i="12"/>
  <c r="AH5" i="12"/>
  <c r="AH15" i="12"/>
  <c r="G9" i="12"/>
  <c r="AH6" i="12"/>
  <c r="AH17" i="12"/>
  <c r="G5" i="12"/>
  <c r="G15" i="12"/>
  <c r="G10" i="12"/>
  <c r="AH7" i="12"/>
  <c r="AH16" i="12"/>
  <c r="G11" i="12"/>
  <c r="AH8" i="12"/>
  <c r="AH18" i="12"/>
  <c r="AB35" i="12" l="1"/>
  <c r="V13" i="12"/>
  <c r="Y21" i="12"/>
  <c r="AE24" i="12"/>
  <c r="AE8" i="12"/>
  <c r="V12" i="12"/>
  <c r="Y36" i="12"/>
  <c r="B57" i="16"/>
  <c r="AE13" i="12"/>
  <c r="Y15" i="12"/>
  <c r="Y13" i="12"/>
  <c r="AE27" i="12"/>
  <c r="AB12" i="12"/>
  <c r="Y20" i="12"/>
  <c r="AE23" i="12"/>
  <c r="Y24" i="12"/>
  <c r="AB21" i="12"/>
  <c r="AE43" i="12"/>
  <c r="AE21" i="12"/>
  <c r="AB24" i="12"/>
  <c r="Y18" i="12"/>
  <c r="AB8" i="12"/>
  <c r="AE20" i="12"/>
  <c r="AB18" i="12"/>
  <c r="AE32" i="12"/>
  <c r="AB9" i="12"/>
  <c r="AB14" i="12"/>
  <c r="AB37" i="12"/>
  <c r="AE9" i="12"/>
  <c r="AB19" i="12"/>
  <c r="Y16" i="12"/>
  <c r="AE16" i="12"/>
  <c r="AE46" i="12"/>
  <c r="Y40" i="12"/>
  <c r="AE35" i="12"/>
  <c r="AB30" i="12"/>
  <c r="AB10" i="12"/>
  <c r="AE47" i="12"/>
  <c r="Y44" i="12"/>
  <c r="Y12" i="12"/>
  <c r="AE51" i="12"/>
  <c r="Y10" i="12"/>
  <c r="AE41" i="12"/>
  <c r="V10" i="12"/>
  <c r="AE36" i="12"/>
  <c r="AE18" i="12"/>
  <c r="AB41" i="12"/>
  <c r="AB17" i="12"/>
  <c r="V14" i="12"/>
  <c r="Y27" i="12"/>
  <c r="Y6" i="12"/>
  <c r="AE12" i="12"/>
  <c r="AB22" i="12"/>
  <c r="Y23" i="12"/>
  <c r="Y31" i="12"/>
  <c r="S13" i="12"/>
  <c r="AE30" i="12"/>
  <c r="AB43" i="12"/>
  <c r="V15" i="12"/>
  <c r="Y30" i="12"/>
  <c r="AB6" i="12"/>
  <c r="AB20" i="12"/>
  <c r="Y7" i="12"/>
  <c r="Y22" i="12"/>
  <c r="AB16" i="12"/>
  <c r="AE26" i="12"/>
  <c r="Y28" i="12"/>
  <c r="Y25" i="12"/>
  <c r="C56" i="16"/>
  <c r="Y38" i="12"/>
  <c r="AE50" i="12"/>
  <c r="AB38" i="12"/>
  <c r="C55" i="16"/>
  <c r="V11" i="12"/>
  <c r="V6" i="12"/>
  <c r="AE11" i="12"/>
  <c r="AE48" i="12"/>
  <c r="AE49" i="12"/>
  <c r="AB25" i="12"/>
  <c r="S39" i="12"/>
  <c r="S9" i="12"/>
  <c r="S30" i="12"/>
  <c r="S22" i="12"/>
  <c r="S36" i="12"/>
  <c r="S21" i="12"/>
  <c r="V18" i="12"/>
  <c r="AE31" i="12"/>
  <c r="AE22" i="12"/>
  <c r="AB11" i="12"/>
  <c r="AE28" i="12"/>
  <c r="AE19" i="12"/>
  <c r="AB34" i="12"/>
  <c r="S8" i="12"/>
  <c r="S24" i="12"/>
  <c r="S18" i="12"/>
  <c r="Y45" i="12"/>
  <c r="S34" i="12"/>
  <c r="S25" i="12"/>
  <c r="S29" i="12"/>
  <c r="S33" i="12"/>
  <c r="S35" i="12"/>
  <c r="V22" i="12"/>
  <c r="Y43" i="12"/>
  <c r="AE53" i="12"/>
  <c r="AE38" i="12"/>
  <c r="AE29" i="12"/>
  <c r="AB28" i="12"/>
  <c r="Y26" i="12"/>
  <c r="AE42" i="12"/>
  <c r="AB26" i="12"/>
  <c r="S28" i="12"/>
  <c r="S31" i="12"/>
  <c r="Y39" i="12"/>
  <c r="Y42" i="12"/>
  <c r="AE34" i="12"/>
  <c r="AE37" i="12"/>
  <c r="S37" i="12"/>
  <c r="Y5" i="12"/>
  <c r="Y34" i="12"/>
  <c r="AE52" i="12"/>
  <c r="Y33" i="12"/>
  <c r="S12" i="12"/>
  <c r="AB39" i="12"/>
  <c r="AB5" i="12"/>
  <c r="V23" i="12"/>
  <c r="Y29" i="12"/>
  <c r="AE6" i="12"/>
  <c r="AB27" i="12"/>
  <c r="E57" i="16"/>
  <c r="C57" i="16" l="1"/>
  <c r="B56" i="12"/>
  <c r="J52" i="15" l="1"/>
  <c r="J47" i="15"/>
  <c r="J41" i="15"/>
  <c r="J38" i="15"/>
  <c r="J35" i="15"/>
  <c r="J34" i="15"/>
  <c r="J29" i="15"/>
  <c r="J28" i="15"/>
  <c r="J19" i="15"/>
  <c r="J14" i="15"/>
  <c r="J13" i="15"/>
  <c r="J3" i="15"/>
  <c r="G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3" i="15"/>
  <c r="E4" i="15"/>
  <c r="E5" i="15"/>
  <c r="E6" i="15"/>
  <c r="E7" i="15"/>
  <c r="J7" i="15" s="1"/>
  <c r="E8" i="15"/>
  <c r="E9" i="15"/>
  <c r="E10" i="15"/>
  <c r="E11" i="15"/>
  <c r="E12" i="15"/>
  <c r="J11" i="15" s="1"/>
  <c r="E13" i="15"/>
  <c r="E14" i="15"/>
  <c r="E15" i="15"/>
  <c r="J15" i="15" s="1"/>
  <c r="E16" i="15"/>
  <c r="E17" i="15"/>
  <c r="E18" i="15"/>
  <c r="E19" i="15"/>
  <c r="E20" i="15"/>
  <c r="E21" i="15"/>
  <c r="E22" i="15"/>
  <c r="J22" i="15" s="1"/>
  <c r="E23" i="15"/>
  <c r="J23" i="15" s="1"/>
  <c r="E24" i="15"/>
  <c r="J24" i="15" s="1"/>
  <c r="E25" i="15"/>
  <c r="J25" i="15" s="1"/>
  <c r="E26" i="15"/>
  <c r="J26" i="15" s="1"/>
  <c r="E27" i="15"/>
  <c r="J27" i="15" s="1"/>
  <c r="E28" i="15"/>
  <c r="E29" i="15"/>
  <c r="E30" i="15"/>
  <c r="J30" i="15" s="1"/>
  <c r="E31" i="15"/>
  <c r="J31" i="15" s="1"/>
  <c r="E32" i="15"/>
  <c r="J32" i="15" s="1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J48" i="15" s="1"/>
  <c r="E49" i="15"/>
  <c r="E50" i="15"/>
  <c r="E51" i="15"/>
  <c r="J51" i="15" s="1"/>
  <c r="E52" i="15"/>
  <c r="E3" i="15"/>
  <c r="J8" i="15" l="1"/>
  <c r="J17" i="15"/>
  <c r="J43" i="15"/>
  <c r="J49" i="15"/>
  <c r="J18" i="15"/>
  <c r="J46" i="15"/>
  <c r="J12" i="15"/>
  <c r="J37" i="15"/>
  <c r="J6" i="15"/>
  <c r="J45" i="15"/>
  <c r="J5" i="15"/>
  <c r="J36" i="15"/>
  <c r="J44" i="15"/>
  <c r="J4" i="15"/>
  <c r="H3" i="13" l="1"/>
  <c r="D3" i="16" l="1"/>
  <c r="H4" i="13"/>
  <c r="H5" i="13"/>
  <c r="H6" i="13"/>
  <c r="H7" i="13"/>
  <c r="H8" i="13"/>
  <c r="H9" i="13"/>
  <c r="H10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D43" i="16" s="1"/>
  <c r="Q44" i="12" s="1"/>
  <c r="H45" i="13"/>
  <c r="D44" i="16" s="1"/>
  <c r="Q45" i="12" s="1"/>
  <c r="H46" i="13"/>
  <c r="D45" i="16" s="1"/>
  <c r="Q46" i="12" s="1"/>
  <c r="H47" i="13"/>
  <c r="D46" i="16" s="1"/>
  <c r="Q47" i="12" s="1"/>
  <c r="H48" i="13"/>
  <c r="D47" i="16" s="1"/>
  <c r="Q48" i="12" s="1"/>
  <c r="H49" i="13"/>
  <c r="D48" i="16" s="1"/>
  <c r="Q49" i="12" s="1"/>
  <c r="H50" i="13"/>
  <c r="D49" i="16" s="1"/>
  <c r="Q50" i="12" s="1"/>
  <c r="H51" i="13"/>
  <c r="D50" i="16" s="1"/>
  <c r="Q51" i="12" s="1"/>
  <c r="H52" i="13"/>
  <c r="D51" i="16" s="1"/>
  <c r="Q52" i="12" s="1"/>
  <c r="H53" i="13"/>
  <c r="D52" i="16" s="1"/>
  <c r="AF53" i="12" l="1"/>
  <c r="Q53" i="12"/>
  <c r="AF5" i="12"/>
  <c r="Q5" i="12"/>
  <c r="BJ45" i="12"/>
  <c r="AF52" i="12"/>
  <c r="AR40" i="12"/>
  <c r="AF51" i="12"/>
  <c r="AR39" i="12"/>
  <c r="AF50" i="12"/>
  <c r="AR38" i="12"/>
  <c r="AF49" i="12"/>
  <c r="AR37" i="12"/>
  <c r="AF48" i="12"/>
  <c r="AR36" i="12"/>
  <c r="AF47" i="12"/>
  <c r="AR35" i="12"/>
  <c r="AF46" i="12"/>
  <c r="AR34" i="12"/>
  <c r="AF45" i="12"/>
  <c r="AR33" i="12"/>
  <c r="AF44" i="12"/>
  <c r="BG43" i="12"/>
  <c r="BJ44" i="12"/>
  <c r="BA22" i="12"/>
  <c r="BJ43" i="12"/>
  <c r="BG41" i="12"/>
  <c r="BJ41" i="12"/>
  <c r="BG40" i="12"/>
  <c r="BJ40" i="12"/>
  <c r="BG39" i="12"/>
  <c r="BJ39" i="12"/>
  <c r="BG38" i="12"/>
  <c r="BJ38" i="12"/>
  <c r="BG5" i="12"/>
  <c r="BJ5" i="12"/>
  <c r="BG42" i="12"/>
  <c r="BJ42" i="12"/>
  <c r="BG45" i="12"/>
  <c r="BJ46" i="12"/>
  <c r="BA23" i="12"/>
  <c r="BG44" i="12"/>
  <c r="D41" i="16"/>
  <c r="D31" i="16"/>
  <c r="Q33" i="12" s="1"/>
  <c r="D21" i="16"/>
  <c r="Q23" i="12" s="1"/>
  <c r="D11" i="16"/>
  <c r="Q13" i="12" s="1"/>
  <c r="D40" i="16"/>
  <c r="Q42" i="12" s="1"/>
  <c r="D30" i="16"/>
  <c r="Q32" i="12" s="1"/>
  <c r="D20" i="16"/>
  <c r="Q22" i="12" s="1"/>
  <c r="D10" i="16"/>
  <c r="D39" i="16"/>
  <c r="Q41" i="12" s="1"/>
  <c r="D29" i="16"/>
  <c r="Q31" i="12" s="1"/>
  <c r="D19" i="16"/>
  <c r="D9" i="16"/>
  <c r="D38" i="16"/>
  <c r="D28" i="16"/>
  <c r="Q30" i="12" s="1"/>
  <c r="D18" i="16"/>
  <c r="Q20" i="12" s="1"/>
  <c r="D8" i="16"/>
  <c r="D37" i="16"/>
  <c r="Q39" i="12" s="1"/>
  <c r="D27" i="16"/>
  <c r="D17" i="16"/>
  <c r="Q19" i="12" s="1"/>
  <c r="D7" i="16"/>
  <c r="Q9" i="12" s="1"/>
  <c r="D36" i="16"/>
  <c r="D26" i="16"/>
  <c r="D16" i="16"/>
  <c r="D6" i="16"/>
  <c r="D35" i="16"/>
  <c r="D25" i="16"/>
  <c r="D15" i="16"/>
  <c r="Q17" i="12" s="1"/>
  <c r="D5" i="16"/>
  <c r="D34" i="16"/>
  <c r="D24" i="16"/>
  <c r="Q26" i="12" s="1"/>
  <c r="D14" i="16"/>
  <c r="Q16" i="12" s="1"/>
  <c r="D4" i="16"/>
  <c r="Q6" i="12" s="1"/>
  <c r="D33" i="16"/>
  <c r="Q35" i="12" s="1"/>
  <c r="D23" i="16"/>
  <c r="D13" i="16"/>
  <c r="Q15" i="12" s="1"/>
  <c r="D32" i="16"/>
  <c r="Q34" i="12" s="1"/>
  <c r="D22" i="16"/>
  <c r="D12" i="16"/>
  <c r="Q14" i="12" s="1"/>
  <c r="K4" i="8"/>
  <c r="K5" i="8"/>
  <c r="K6" i="8"/>
  <c r="K7" i="8"/>
  <c r="K8" i="8"/>
  <c r="K9" i="8"/>
  <c r="K10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3" i="8"/>
  <c r="D56" i="16" l="1"/>
  <c r="D55" i="16"/>
  <c r="AF7" i="12"/>
  <c r="Q7" i="12"/>
  <c r="AF29" i="12"/>
  <c r="Q29" i="12"/>
  <c r="AF12" i="12"/>
  <c r="Q12" i="12"/>
  <c r="AF24" i="12"/>
  <c r="Q24" i="12"/>
  <c r="AF27" i="12"/>
  <c r="Q27" i="12"/>
  <c r="AF10" i="12"/>
  <c r="Q10" i="12"/>
  <c r="AF25" i="12"/>
  <c r="Q25" i="12"/>
  <c r="AF8" i="12"/>
  <c r="Q8" i="12"/>
  <c r="AF18" i="12"/>
  <c r="Q18" i="12"/>
  <c r="AF40" i="12"/>
  <c r="Q40" i="12"/>
  <c r="AF37" i="12"/>
  <c r="Q37" i="12"/>
  <c r="AF21" i="12"/>
  <c r="Q21" i="12"/>
  <c r="AF43" i="12"/>
  <c r="Q43" i="12"/>
  <c r="AF28" i="12"/>
  <c r="Q28" i="12"/>
  <c r="AF11" i="12"/>
  <c r="Q11" i="12"/>
  <c r="AF38" i="12"/>
  <c r="Q38" i="12"/>
  <c r="AF36" i="12"/>
  <c r="Q36" i="12"/>
  <c r="AR29" i="12"/>
  <c r="AF33" i="12"/>
  <c r="AR22" i="12"/>
  <c r="AF26" i="12"/>
  <c r="AR27" i="12"/>
  <c r="AF31" i="12"/>
  <c r="AR13" i="12"/>
  <c r="AF16" i="12"/>
  <c r="AR7" i="12"/>
  <c r="AF9" i="12"/>
  <c r="AR15" i="12"/>
  <c r="AF19" i="12"/>
  <c r="BA19" i="12"/>
  <c r="AF41" i="12"/>
  <c r="AR5" i="12"/>
  <c r="AF6" i="12"/>
  <c r="AR11" i="12"/>
  <c r="AF14" i="12"/>
  <c r="BJ17" i="12"/>
  <c r="AF17" i="12"/>
  <c r="AR32" i="12"/>
  <c r="AF39" i="12"/>
  <c r="AR18" i="12"/>
  <c r="AF22" i="12"/>
  <c r="AR28" i="12"/>
  <c r="AF32" i="12"/>
  <c r="AR30" i="12"/>
  <c r="AF34" i="12"/>
  <c r="AR12" i="12"/>
  <c r="AF15" i="12"/>
  <c r="AR16" i="12"/>
  <c r="AF20" i="12"/>
  <c r="BA20" i="12"/>
  <c r="AF42" i="12"/>
  <c r="AR26" i="12"/>
  <c r="AF30" i="12"/>
  <c r="AR10" i="12"/>
  <c r="AF13" i="12"/>
  <c r="AR31" i="12"/>
  <c r="AF35" i="12"/>
  <c r="AR19" i="12"/>
  <c r="AF23" i="12"/>
  <c r="BJ7" i="12"/>
  <c r="AR6" i="12"/>
  <c r="BG15" i="12"/>
  <c r="AR14" i="12"/>
  <c r="BJ22" i="12"/>
  <c r="AR21" i="12"/>
  <c r="BJ26" i="12"/>
  <c r="AR25" i="12"/>
  <c r="BJ12" i="12"/>
  <c r="AR9" i="12"/>
  <c r="BJ21" i="12"/>
  <c r="AR20" i="12"/>
  <c r="BJ25" i="12"/>
  <c r="AR24" i="12"/>
  <c r="BJ11" i="12"/>
  <c r="AR8" i="12"/>
  <c r="BJ20" i="12"/>
  <c r="AR17" i="12"/>
  <c r="BJ24" i="12"/>
  <c r="AR23" i="12"/>
  <c r="BG23" i="12"/>
  <c r="BJ23" i="12"/>
  <c r="BG34" i="12"/>
  <c r="BJ33" i="12"/>
  <c r="BG17" i="12"/>
  <c r="BJ19" i="12"/>
  <c r="BA8" i="12"/>
  <c r="BJ15" i="12"/>
  <c r="BG9" i="12"/>
  <c r="BJ9" i="12"/>
  <c r="BG28" i="12"/>
  <c r="BJ28" i="12"/>
  <c r="BG33" i="12"/>
  <c r="BJ32" i="12"/>
  <c r="BG8" i="12"/>
  <c r="BJ8" i="12"/>
  <c r="BG16" i="12"/>
  <c r="BJ18" i="12"/>
  <c r="BG27" i="12"/>
  <c r="BJ27" i="12"/>
  <c r="BG13" i="12"/>
  <c r="BJ13" i="12"/>
  <c r="BG14" i="12"/>
  <c r="BJ14" i="12"/>
  <c r="BG37" i="12"/>
  <c r="BJ36" i="12"/>
  <c r="BG6" i="12"/>
  <c r="BJ6" i="12"/>
  <c r="BG36" i="12"/>
  <c r="BJ35" i="12"/>
  <c r="BG30" i="12"/>
  <c r="BJ30" i="12"/>
  <c r="BA21" i="12"/>
  <c r="BJ37" i="12"/>
  <c r="BG31" i="12"/>
  <c r="BJ31" i="12"/>
  <c r="BA9" i="12"/>
  <c r="BJ16" i="12"/>
  <c r="BG35" i="12"/>
  <c r="BJ34" i="12"/>
  <c r="BG10" i="12"/>
  <c r="BJ10" i="12"/>
  <c r="BG29" i="12"/>
  <c r="BJ29" i="12"/>
  <c r="BA14" i="12"/>
  <c r="BG22" i="12"/>
  <c r="BA18" i="12"/>
  <c r="BG32" i="12"/>
  <c r="BA7" i="12"/>
  <c r="BG12" i="12"/>
  <c r="BA12" i="12"/>
  <c r="BG20" i="12"/>
  <c r="BA13" i="12"/>
  <c r="BG21" i="12"/>
  <c r="BA16" i="12"/>
  <c r="BG25" i="12"/>
  <c r="BA6" i="12"/>
  <c r="BG11" i="12"/>
  <c r="BA11" i="12"/>
  <c r="BG19" i="12"/>
  <c r="BA10" i="12"/>
  <c r="BG18" i="12"/>
  <c r="BA5" i="12"/>
  <c r="BG7" i="12"/>
  <c r="BA15" i="12"/>
  <c r="BG24" i="12"/>
  <c r="BA17" i="12"/>
  <c r="BG26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" i="12"/>
  <c r="D57" i="16" l="1"/>
  <c r="BK30" i="12"/>
  <c r="BK43" i="12"/>
  <c r="BK29" i="12"/>
  <c r="BK26" i="12"/>
  <c r="BK22" i="12"/>
  <c r="BK21" i="12"/>
  <c r="BK31" i="12"/>
  <c r="BK11" i="12"/>
  <c r="BK23" i="12"/>
  <c r="BK17" i="12"/>
  <c r="BK12" i="12"/>
  <c r="BK24" i="12"/>
  <c r="BK25" i="12"/>
  <c r="BK45" i="12"/>
  <c r="BK13" i="12"/>
  <c r="C56" i="12"/>
  <c r="R4" i="14" s="1"/>
  <c r="AF4" i="14" s="1"/>
  <c r="AE5" i="14" s="1"/>
  <c r="Q5" i="14" l="1"/>
  <c r="BK38" i="12"/>
  <c r="BK7" i="12"/>
  <c r="BK41" i="12"/>
  <c r="BK14" i="12"/>
  <c r="BK39" i="12"/>
  <c r="BK44" i="12"/>
  <c r="BK35" i="12"/>
  <c r="BK34" i="12"/>
  <c r="BK9" i="12"/>
  <c r="BK18" i="12"/>
  <c r="BK10" i="12"/>
  <c r="BK40" i="12"/>
  <c r="BK8" i="12"/>
  <c r="C5" i="14"/>
  <c r="BK6" i="12" l="1"/>
  <c r="G5" i="11" l="1"/>
  <c r="H5" i="11" s="1"/>
  <c r="F5" i="16" s="1"/>
  <c r="G9" i="11"/>
  <c r="H9" i="11" s="1"/>
  <c r="F9" i="16" s="1"/>
  <c r="H6" i="12" s="1"/>
  <c r="G10" i="11"/>
  <c r="H10" i="11" s="1"/>
  <c r="F10" i="16" s="1"/>
  <c r="H7" i="12" s="1"/>
  <c r="G13" i="11"/>
  <c r="H13" i="11" s="1"/>
  <c r="F13" i="16" s="1"/>
  <c r="H8" i="12" s="1"/>
  <c r="G14" i="11"/>
  <c r="H14" i="11" s="1"/>
  <c r="F14" i="16" s="1"/>
  <c r="H9" i="12" s="1"/>
  <c r="G19" i="11"/>
  <c r="H19" i="11" s="1"/>
  <c r="F19" i="16" s="1"/>
  <c r="H10" i="12" s="1"/>
  <c r="G20" i="11"/>
  <c r="G21" i="11"/>
  <c r="H21" i="11" s="1"/>
  <c r="F21" i="16" s="1"/>
  <c r="H12" i="12" s="1"/>
  <c r="G22" i="11"/>
  <c r="H22" i="11" s="1"/>
  <c r="F22" i="16" s="1"/>
  <c r="H13" i="12" s="1"/>
  <c r="G23" i="11"/>
  <c r="H23" i="11" s="1"/>
  <c r="F23" i="16" s="1"/>
  <c r="H14" i="12" s="1"/>
  <c r="G25" i="11"/>
  <c r="H25" i="11" s="1"/>
  <c r="F25" i="16" s="1"/>
  <c r="H15" i="12" s="1"/>
  <c r="G26" i="11"/>
  <c r="H26" i="11" s="1"/>
  <c r="F26" i="16" s="1"/>
  <c r="H16" i="12" s="1"/>
  <c r="G27" i="11"/>
  <c r="H27" i="11" s="1"/>
  <c r="F27" i="16" s="1"/>
  <c r="H17" i="12" s="1"/>
  <c r="G33" i="11"/>
  <c r="H33" i="11" s="1"/>
  <c r="G39" i="11"/>
  <c r="H39" i="11" s="1"/>
  <c r="F39" i="16" s="1"/>
  <c r="H19" i="12" s="1"/>
  <c r="G40" i="11"/>
  <c r="H40" i="11" s="1"/>
  <c r="F40" i="16" s="1"/>
  <c r="H20" i="12" s="1"/>
  <c r="G41" i="11"/>
  <c r="H41" i="11" s="1"/>
  <c r="F41" i="16" s="1"/>
  <c r="H21" i="12" s="1"/>
  <c r="G48" i="11"/>
  <c r="H48" i="11" s="1"/>
  <c r="F48" i="16" s="1"/>
  <c r="H22" i="12" s="1"/>
  <c r="G50" i="11"/>
  <c r="H50" i="11" s="1"/>
  <c r="F50" i="16" s="1"/>
  <c r="H23" i="12" s="1"/>
  <c r="H20" i="11"/>
  <c r="F20" i="16" s="1"/>
  <c r="H11" i="12" s="1"/>
  <c r="H5" i="12" l="1"/>
  <c r="AI14" i="12"/>
  <c r="AZ14" i="12"/>
  <c r="AW12" i="12"/>
  <c r="AY12" i="12" s="1"/>
  <c r="AT12" i="12"/>
  <c r="W14" i="12"/>
  <c r="AZ13" i="12"/>
  <c r="AI13" i="12"/>
  <c r="AT11" i="12"/>
  <c r="AW11" i="12"/>
  <c r="W13" i="12"/>
  <c r="W12" i="12"/>
  <c r="AT10" i="12"/>
  <c r="AI12" i="12"/>
  <c r="AZ12" i="12"/>
  <c r="AI20" i="12"/>
  <c r="AZ23" i="12"/>
  <c r="W23" i="12"/>
  <c r="AZ10" i="12"/>
  <c r="W10" i="12"/>
  <c r="AT8" i="12"/>
  <c r="AI10" i="12"/>
  <c r="AW10" i="12"/>
  <c r="AZ9" i="12"/>
  <c r="W9" i="12"/>
  <c r="AI9" i="12"/>
  <c r="AW9" i="12"/>
  <c r="AZ22" i="12"/>
  <c r="BB22" i="12" s="1"/>
  <c r="W22" i="12"/>
  <c r="AW17" i="12"/>
  <c r="AY17" i="12" s="1"/>
  <c r="AI19" i="12"/>
  <c r="AW8" i="12"/>
  <c r="AI8" i="12"/>
  <c r="AZ8" i="12"/>
  <c r="W8" i="12"/>
  <c r="AZ17" i="12"/>
  <c r="AW15" i="12"/>
  <c r="W17" i="12"/>
  <c r="AI17" i="12"/>
  <c r="AT15" i="12"/>
  <c r="AW7" i="12"/>
  <c r="AZ7" i="12"/>
  <c r="AT7" i="12"/>
  <c r="W7" i="12"/>
  <c r="AI7" i="12"/>
  <c r="W16" i="12"/>
  <c r="AW14" i="12"/>
  <c r="AY14" i="12" s="1"/>
  <c r="AZ16" i="12"/>
  <c r="BB16" i="12" s="1"/>
  <c r="AT14" i="12"/>
  <c r="AI16" i="12"/>
  <c r="AZ6" i="12"/>
  <c r="BB6" i="12" s="1"/>
  <c r="AT6" i="12"/>
  <c r="W6" i="12"/>
  <c r="AW6" i="12"/>
  <c r="AI6" i="12"/>
  <c r="AT9" i="12"/>
  <c r="W11" i="12"/>
  <c r="AI11" i="12"/>
  <c r="AZ11" i="12"/>
  <c r="AZ21" i="12"/>
  <c r="BB21" i="12" s="1"/>
  <c r="W21" i="12"/>
  <c r="AW16" i="12"/>
  <c r="AZ20" i="12"/>
  <c r="W20" i="12"/>
  <c r="AZ19" i="12"/>
  <c r="W19" i="12"/>
  <c r="AW13" i="12"/>
  <c r="AZ15" i="12"/>
  <c r="W15" i="12"/>
  <c r="AT13" i="12"/>
  <c r="AI15" i="12"/>
  <c r="AW5" i="12"/>
  <c r="AZ5" i="12"/>
  <c r="AT5" i="12"/>
  <c r="W5" i="12"/>
  <c r="AI5" i="12"/>
  <c r="F33" i="16"/>
  <c r="H18" i="12" s="1"/>
  <c r="BB20" i="12"/>
  <c r="BB9" i="12"/>
  <c r="BB14" i="12"/>
  <c r="J43" i="8"/>
  <c r="J40" i="8"/>
  <c r="J41" i="8"/>
  <c r="J42" i="8"/>
  <c r="J16" i="8"/>
  <c r="J14" i="8"/>
  <c r="S14" i="8" s="1"/>
  <c r="J15" i="8"/>
  <c r="S15" i="8" s="1"/>
  <c r="J52" i="8"/>
  <c r="S52" i="8" s="1"/>
  <c r="J49" i="8"/>
  <c r="S49" i="8" s="1"/>
  <c r="G4" i="8"/>
  <c r="G5" i="8"/>
  <c r="G6" i="8"/>
  <c r="G7" i="8"/>
  <c r="G8" i="8"/>
  <c r="G9" i="8"/>
  <c r="G10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3" i="8"/>
  <c r="J38" i="8"/>
  <c r="S38" i="8" s="1"/>
  <c r="J45" i="8"/>
  <c r="S45" i="8" s="1"/>
  <c r="J46" i="8"/>
  <c r="S46" i="8" s="1"/>
  <c r="J47" i="8"/>
  <c r="S47" i="8" s="1"/>
  <c r="J48" i="8"/>
  <c r="S48" i="8" s="1"/>
  <c r="J50" i="8"/>
  <c r="S50" i="8" s="1"/>
  <c r="J53" i="8"/>
  <c r="S53" i="8" s="1"/>
  <c r="J4" i="8"/>
  <c r="S4" i="8" s="1"/>
  <c r="J3" i="8"/>
  <c r="S3" i="8" s="1"/>
  <c r="S16" i="8"/>
  <c r="S40" i="8"/>
  <c r="S42" i="8"/>
  <c r="S43" i="8"/>
  <c r="J5" i="8"/>
  <c r="S5" i="8" s="1"/>
  <c r="J6" i="8"/>
  <c r="S6" i="8" s="1"/>
  <c r="J7" i="8"/>
  <c r="S7" i="8" s="1"/>
  <c r="J8" i="8"/>
  <c r="S8" i="8" s="1"/>
  <c r="J9" i="8"/>
  <c r="S9" i="8" s="1"/>
  <c r="J10" i="8"/>
  <c r="S10" i="8" s="1"/>
  <c r="J12" i="8"/>
  <c r="S12" i="8" s="1"/>
  <c r="J13" i="8"/>
  <c r="S13" i="8" s="1"/>
  <c r="J17" i="8"/>
  <c r="S17" i="8" s="1"/>
  <c r="J18" i="8"/>
  <c r="S18" i="8" s="1"/>
  <c r="J19" i="8"/>
  <c r="S19" i="8" s="1"/>
  <c r="J20" i="8"/>
  <c r="S20" i="8" s="1"/>
  <c r="J21" i="8"/>
  <c r="S21" i="8" s="1"/>
  <c r="J22" i="8"/>
  <c r="S22" i="8" s="1"/>
  <c r="J23" i="8"/>
  <c r="S23" i="8" s="1"/>
  <c r="J24" i="8"/>
  <c r="S24" i="8" s="1"/>
  <c r="J25" i="8"/>
  <c r="S25" i="8" s="1"/>
  <c r="J26" i="8"/>
  <c r="S26" i="8" s="1"/>
  <c r="J27" i="8"/>
  <c r="S27" i="8" s="1"/>
  <c r="J28" i="8"/>
  <c r="S28" i="8" s="1"/>
  <c r="J29" i="8"/>
  <c r="S29" i="8" s="1"/>
  <c r="J30" i="8"/>
  <c r="S30" i="8" s="1"/>
  <c r="J31" i="8"/>
  <c r="S31" i="8" s="1"/>
  <c r="J32" i="8"/>
  <c r="S32" i="8" s="1"/>
  <c r="J33" i="8"/>
  <c r="S33" i="8" s="1"/>
  <c r="J34" i="8"/>
  <c r="S34" i="8" s="1"/>
  <c r="J35" i="8"/>
  <c r="S35" i="8" s="1"/>
  <c r="J36" i="8"/>
  <c r="S36" i="8" s="1"/>
  <c r="J37" i="8"/>
  <c r="S37" i="8" s="1"/>
  <c r="J39" i="8"/>
  <c r="S39" i="8" s="1"/>
  <c r="J44" i="8"/>
  <c r="S44" i="8" s="1"/>
  <c r="J51" i="8"/>
  <c r="S51" i="8" s="1"/>
  <c r="Q4" i="8"/>
  <c r="Q5" i="8"/>
  <c r="Q6" i="8"/>
  <c r="Q7" i="8"/>
  <c r="Q8" i="8"/>
  <c r="Q9" i="8"/>
  <c r="Q10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3" i="8"/>
  <c r="O4" i="8"/>
  <c r="O5" i="8"/>
  <c r="O6" i="8"/>
  <c r="O7" i="8"/>
  <c r="O8" i="8"/>
  <c r="O9" i="8"/>
  <c r="O10" i="8"/>
  <c r="P10" i="8" s="1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3" i="8"/>
  <c r="F55" i="16" l="1"/>
  <c r="BB19" i="12"/>
  <c r="F56" i="16"/>
  <c r="F57" i="16" s="1"/>
  <c r="BB12" i="12"/>
  <c r="AT16" i="12"/>
  <c r="AI18" i="12"/>
  <c r="AZ18" i="12"/>
  <c r="BB18" i="12" s="1"/>
  <c r="W18" i="12"/>
  <c r="BB23" i="12"/>
  <c r="AY11" i="12"/>
  <c r="BB11" i="12"/>
  <c r="AY13" i="12"/>
  <c r="AY15" i="12"/>
  <c r="BB15" i="12"/>
  <c r="AY7" i="12"/>
  <c r="BB5" i="12"/>
  <c r="AY5" i="12"/>
  <c r="BB17" i="12"/>
  <c r="BB10" i="12"/>
  <c r="BB7" i="12"/>
  <c r="BB13" i="12"/>
  <c r="AY6" i="12"/>
  <c r="BB8" i="12"/>
  <c r="T10" i="8"/>
  <c r="U10" i="8" s="1"/>
  <c r="V10" i="8" s="1"/>
  <c r="S41" i="8"/>
  <c r="P51" i="8"/>
  <c r="T51" i="8" s="1"/>
  <c r="P43" i="8"/>
  <c r="T43" i="8" s="1"/>
  <c r="P35" i="8"/>
  <c r="T35" i="8" s="1"/>
  <c r="P27" i="8"/>
  <c r="T27" i="8" s="1"/>
  <c r="P19" i="8"/>
  <c r="T19" i="8" s="1"/>
  <c r="P50" i="8"/>
  <c r="T50" i="8" s="1"/>
  <c r="P42" i="8"/>
  <c r="T42" i="8" s="1"/>
  <c r="P34" i="8"/>
  <c r="T34" i="8" s="1"/>
  <c r="P26" i="8"/>
  <c r="T26" i="8" s="1"/>
  <c r="P18" i="8"/>
  <c r="T18" i="8" s="1"/>
  <c r="P9" i="8"/>
  <c r="T9" i="8" s="1"/>
  <c r="P49" i="8"/>
  <c r="T49" i="8" s="1"/>
  <c r="P41" i="8"/>
  <c r="P33" i="8"/>
  <c r="T33" i="8" s="1"/>
  <c r="P25" i="8"/>
  <c r="T25" i="8" s="1"/>
  <c r="P17" i="8"/>
  <c r="T17" i="8" s="1"/>
  <c r="P8" i="8"/>
  <c r="T8" i="8" s="1"/>
  <c r="P47" i="8"/>
  <c r="T47" i="8" s="1"/>
  <c r="P39" i="8"/>
  <c r="T39" i="8" s="1"/>
  <c r="P31" i="8"/>
  <c r="T31" i="8" s="1"/>
  <c r="P23" i="8"/>
  <c r="T23" i="8" s="1"/>
  <c r="P15" i="8"/>
  <c r="T15" i="8" s="1"/>
  <c r="P6" i="8"/>
  <c r="T6" i="8" s="1"/>
  <c r="P3" i="8"/>
  <c r="T3" i="8" s="1"/>
  <c r="P46" i="8"/>
  <c r="T46" i="8" s="1"/>
  <c r="P38" i="8"/>
  <c r="T38" i="8" s="1"/>
  <c r="P30" i="8"/>
  <c r="T30" i="8" s="1"/>
  <c r="P22" i="8"/>
  <c r="T22" i="8" s="1"/>
  <c r="P14" i="8"/>
  <c r="T14" i="8" s="1"/>
  <c r="P5" i="8"/>
  <c r="T5" i="8" s="1"/>
  <c r="P48" i="8"/>
  <c r="T48" i="8" s="1"/>
  <c r="P40" i="8"/>
  <c r="T40" i="8" s="1"/>
  <c r="P32" i="8"/>
  <c r="T32" i="8" s="1"/>
  <c r="P24" i="8"/>
  <c r="T24" i="8" s="1"/>
  <c r="P16" i="8"/>
  <c r="T16" i="8" s="1"/>
  <c r="P7" i="8"/>
  <c r="T7" i="8" s="1"/>
  <c r="P53" i="8"/>
  <c r="T53" i="8" s="1"/>
  <c r="P45" i="8"/>
  <c r="T45" i="8" s="1"/>
  <c r="P37" i="8"/>
  <c r="T37" i="8" s="1"/>
  <c r="P29" i="8"/>
  <c r="T29" i="8" s="1"/>
  <c r="P21" i="8"/>
  <c r="T21" i="8" s="1"/>
  <c r="P13" i="8"/>
  <c r="T13" i="8" s="1"/>
  <c r="P4" i="8"/>
  <c r="T4" i="8" s="1"/>
  <c r="P52" i="8"/>
  <c r="T52" i="8" s="1"/>
  <c r="P44" i="8"/>
  <c r="T44" i="8" s="1"/>
  <c r="P36" i="8"/>
  <c r="T36" i="8" s="1"/>
  <c r="P28" i="8"/>
  <c r="T28" i="8" s="1"/>
  <c r="P20" i="8"/>
  <c r="T20" i="8" s="1"/>
  <c r="P12" i="8"/>
  <c r="T12" i="8" s="1"/>
  <c r="BB25" i="12" l="1"/>
  <c r="BA25" i="12"/>
  <c r="G6" i="14" s="1"/>
  <c r="U23" i="8"/>
  <c r="V23" i="8" s="1"/>
  <c r="G21" i="16" s="1"/>
  <c r="U35" i="8"/>
  <c r="V35" i="8" s="1"/>
  <c r="G33" i="16" s="1"/>
  <c r="U53" i="8"/>
  <c r="V53" i="8" s="1"/>
  <c r="G52" i="16" s="1"/>
  <c r="U22" i="8"/>
  <c r="V22" i="8" s="1"/>
  <c r="U46" i="8"/>
  <c r="V46" i="8" s="1"/>
  <c r="U44" i="8"/>
  <c r="V44" i="8" s="1"/>
  <c r="U7" i="8"/>
  <c r="V7" i="8" s="1"/>
  <c r="G7" i="16" s="1"/>
  <c r="U18" i="8"/>
  <c r="V18" i="8" s="1"/>
  <c r="G16" i="16" s="1"/>
  <c r="U31" i="8"/>
  <c r="V31" i="8" s="1"/>
  <c r="U27" i="8"/>
  <c r="V27" i="8" s="1"/>
  <c r="U4" i="8"/>
  <c r="V4" i="8" s="1"/>
  <c r="G4" i="16" s="1"/>
  <c r="U30" i="8"/>
  <c r="V30" i="8" s="1"/>
  <c r="U9" i="8"/>
  <c r="V9" i="8" s="1"/>
  <c r="G9" i="16" s="1"/>
  <c r="U24" i="8"/>
  <c r="V24" i="8" s="1"/>
  <c r="G22" i="16" s="1"/>
  <c r="U47" i="8"/>
  <c r="V47" i="8" s="1"/>
  <c r="G45" i="16" s="1"/>
  <c r="U21" i="8"/>
  <c r="V21" i="8" s="1"/>
  <c r="G19" i="16" s="1"/>
  <c r="U8" i="8"/>
  <c r="V8" i="8" s="1"/>
  <c r="G8" i="16" s="1"/>
  <c r="U51" i="8"/>
  <c r="V51" i="8" s="1"/>
  <c r="U3" i="8"/>
  <c r="V3" i="8" s="1"/>
  <c r="G3" i="16" s="1"/>
  <c r="U17" i="8"/>
  <c r="V17" i="8" s="1"/>
  <c r="U34" i="8"/>
  <c r="V34" i="8" s="1"/>
  <c r="G32" i="16" s="1"/>
  <c r="U28" i="8"/>
  <c r="V28" i="8" s="1"/>
  <c r="G26" i="16" s="1"/>
  <c r="U48" i="8"/>
  <c r="V48" i="8" s="1"/>
  <c r="U6" i="8"/>
  <c r="V6" i="8" s="1"/>
  <c r="G6" i="16" s="1"/>
  <c r="U25" i="8"/>
  <c r="V25" i="8" s="1"/>
  <c r="G23" i="16" s="1"/>
  <c r="U19" i="8"/>
  <c r="V19" i="8" s="1"/>
  <c r="G17" i="16" s="1"/>
  <c r="U39" i="8"/>
  <c r="V39" i="8" s="1"/>
  <c r="G37" i="16" s="1"/>
  <c r="U13" i="8"/>
  <c r="V13" i="8" s="1"/>
  <c r="G11" i="16" s="1"/>
  <c r="U38" i="8"/>
  <c r="V38" i="8" s="1"/>
  <c r="U12" i="8"/>
  <c r="V12" i="8" s="1"/>
  <c r="G10" i="16" s="1"/>
  <c r="U32" i="8"/>
  <c r="V32" i="8" s="1"/>
  <c r="G30" i="16" s="1"/>
  <c r="U26" i="8"/>
  <c r="V26" i="8" s="1"/>
  <c r="G24" i="16" s="1"/>
  <c r="U20" i="8"/>
  <c r="V20" i="8" s="1"/>
  <c r="U29" i="8"/>
  <c r="V29" i="8" s="1"/>
  <c r="G27" i="16" s="1"/>
  <c r="U37" i="8"/>
  <c r="V37" i="8" s="1"/>
  <c r="U36" i="8"/>
  <c r="V36" i="8" s="1"/>
  <c r="G34" i="16" s="1"/>
  <c r="U45" i="8"/>
  <c r="V45" i="8" s="1"/>
  <c r="G43" i="16" s="1"/>
  <c r="U5" i="8"/>
  <c r="V5" i="8" s="1"/>
  <c r="G5" i="16" s="1"/>
  <c r="U33" i="8"/>
  <c r="V33" i="8" s="1"/>
  <c r="U50" i="8"/>
  <c r="V50" i="8" s="1"/>
  <c r="U43" i="8"/>
  <c r="V43" i="8" s="1"/>
  <c r="U42" i="8"/>
  <c r="V42" i="8" s="1"/>
  <c r="U40" i="8"/>
  <c r="V40" i="8" s="1"/>
  <c r="T41" i="8"/>
  <c r="U16" i="8"/>
  <c r="V16" i="8" s="1"/>
  <c r="U15" i="8"/>
  <c r="V15" i="8" s="1"/>
  <c r="U14" i="8"/>
  <c r="V14" i="8" s="1"/>
  <c r="G12" i="16" s="1"/>
  <c r="U52" i="8"/>
  <c r="V52" i="8" s="1"/>
  <c r="G50" i="16" s="1"/>
  <c r="U49" i="8"/>
  <c r="V49" i="8" s="1"/>
  <c r="G49" i="16" l="1"/>
  <c r="G35" i="16"/>
  <c r="BC30" i="12" s="1"/>
  <c r="G44" i="16"/>
  <c r="BC35" i="12" s="1"/>
  <c r="BE35" i="12" s="1"/>
  <c r="G28" i="16"/>
  <c r="Z27" i="12" s="1"/>
  <c r="G47" i="16"/>
  <c r="Z42" i="12" s="1"/>
  <c r="G38" i="16"/>
  <c r="Z37" i="12" s="1"/>
  <c r="G18" i="16"/>
  <c r="BC16" i="12" s="1"/>
  <c r="G20" i="16"/>
  <c r="K19" i="12" s="1"/>
  <c r="G46" i="16"/>
  <c r="K41" i="12" s="1"/>
  <c r="K45" i="12"/>
  <c r="BF45" i="12"/>
  <c r="Z45" i="12"/>
  <c r="BC40" i="12"/>
  <c r="G25" i="16"/>
  <c r="G31" i="16"/>
  <c r="BF30" i="12" s="1"/>
  <c r="BH30" i="12" s="1"/>
  <c r="G36" i="16"/>
  <c r="BC31" i="12" s="1"/>
  <c r="BE31" i="12" s="1"/>
  <c r="G29" i="16"/>
  <c r="Z28" i="12" s="1"/>
  <c r="BF34" i="12"/>
  <c r="BH34" i="12" s="1"/>
  <c r="AU11" i="12"/>
  <c r="AV11" i="12" s="1"/>
  <c r="AL18" i="12"/>
  <c r="BF21" i="12"/>
  <c r="BH21" i="12" s="1"/>
  <c r="K21" i="12"/>
  <c r="BC18" i="12"/>
  <c r="BE18" i="12" s="1"/>
  <c r="Z21" i="12"/>
  <c r="BC36" i="12"/>
  <c r="BE36" i="12" s="1"/>
  <c r="BF40" i="12"/>
  <c r="BH40" i="12" s="1"/>
  <c r="AL33" i="12"/>
  <c r="Z40" i="12"/>
  <c r="K40" i="12"/>
  <c r="AU6" i="12"/>
  <c r="AV6" i="12" s="1"/>
  <c r="Z11" i="12"/>
  <c r="BF11" i="12"/>
  <c r="BH11" i="12" s="1"/>
  <c r="K11" i="12"/>
  <c r="AL8" i="12"/>
  <c r="BC11" i="12"/>
  <c r="BE11" i="12" s="1"/>
  <c r="AU14" i="12"/>
  <c r="AV14" i="12" s="1"/>
  <c r="K25" i="12"/>
  <c r="AL22" i="12"/>
  <c r="Z25" i="12"/>
  <c r="BF25" i="12"/>
  <c r="BH25" i="12" s="1"/>
  <c r="BC22" i="12"/>
  <c r="BE22" i="12" s="1"/>
  <c r="BC24" i="12"/>
  <c r="BF27" i="12"/>
  <c r="BH27" i="12" s="1"/>
  <c r="AL24" i="12"/>
  <c r="AU16" i="12"/>
  <c r="AV16" i="12" s="1"/>
  <c r="Z32" i="12"/>
  <c r="K32" i="12"/>
  <c r="AL29" i="12"/>
  <c r="BF32" i="12"/>
  <c r="AU12" i="12"/>
  <c r="AV12" i="12" s="1"/>
  <c r="K22" i="12"/>
  <c r="BC19" i="12"/>
  <c r="BE19" i="12" s="1"/>
  <c r="Z22" i="12"/>
  <c r="BF22" i="12"/>
  <c r="BH22" i="12" s="1"/>
  <c r="AL19" i="12"/>
  <c r="AU10" i="12"/>
  <c r="AV10" i="12" s="1"/>
  <c r="Z20" i="12"/>
  <c r="AL17" i="12"/>
  <c r="BF20" i="12"/>
  <c r="K20" i="12"/>
  <c r="BC20" i="12"/>
  <c r="BE20" i="12" s="1"/>
  <c r="AL20" i="12"/>
  <c r="BF23" i="12"/>
  <c r="BH23" i="12" s="1"/>
  <c r="K23" i="12"/>
  <c r="Z23" i="12"/>
  <c r="K29" i="12"/>
  <c r="Z29" i="12"/>
  <c r="BC26" i="12"/>
  <c r="BE26" i="12" s="1"/>
  <c r="AL26" i="12"/>
  <c r="BF29" i="12"/>
  <c r="BH29" i="12" s="1"/>
  <c r="AU15" i="12"/>
  <c r="AV15" i="12" s="1"/>
  <c r="Z26" i="12"/>
  <c r="BC23" i="12"/>
  <c r="BE23" i="12" s="1"/>
  <c r="BF26" i="12"/>
  <c r="BH26" i="12" s="1"/>
  <c r="AL23" i="12"/>
  <c r="K26" i="12"/>
  <c r="K8" i="12"/>
  <c r="Z8" i="12"/>
  <c r="BC8" i="12"/>
  <c r="BE8" i="12" s="1"/>
  <c r="BF8" i="12"/>
  <c r="BH8" i="12" s="1"/>
  <c r="K31" i="12"/>
  <c r="BF31" i="12"/>
  <c r="BH31" i="12" s="1"/>
  <c r="BC28" i="12"/>
  <c r="BE28" i="12" s="1"/>
  <c r="Z31" i="12"/>
  <c r="AL28" i="12"/>
  <c r="K6" i="12"/>
  <c r="BC6" i="12"/>
  <c r="BE6" i="12" s="1"/>
  <c r="BF6" i="12"/>
  <c r="BH6" i="12" s="1"/>
  <c r="AL5" i="12"/>
  <c r="Z6" i="12"/>
  <c r="AU7" i="12"/>
  <c r="AV7" i="12" s="1"/>
  <c r="BC12" i="12"/>
  <c r="BE12" i="12" s="1"/>
  <c r="Z12" i="12"/>
  <c r="K12" i="12"/>
  <c r="BF12" i="12"/>
  <c r="BH12" i="12" s="1"/>
  <c r="AL9" i="12"/>
  <c r="AL35" i="12"/>
  <c r="K5" i="12"/>
  <c r="BF5" i="12"/>
  <c r="Z5" i="12"/>
  <c r="BC5" i="12"/>
  <c r="K43" i="12"/>
  <c r="Z43" i="12"/>
  <c r="BC39" i="12"/>
  <c r="BE39" i="12" s="1"/>
  <c r="AL36" i="12"/>
  <c r="BF43" i="12"/>
  <c r="BH43" i="12" s="1"/>
  <c r="K15" i="12"/>
  <c r="AL12" i="12"/>
  <c r="BF15" i="12"/>
  <c r="BH15" i="12" s="1"/>
  <c r="Z15" i="12"/>
  <c r="K44" i="12"/>
  <c r="Z44" i="12"/>
  <c r="BF44" i="12"/>
  <c r="BH44" i="12" s="1"/>
  <c r="AL37" i="12"/>
  <c r="AU5" i="12"/>
  <c r="AL6" i="12"/>
  <c r="BC7" i="12"/>
  <c r="BE7" i="12" s="1"/>
  <c r="Z7" i="12"/>
  <c r="BF7" i="12"/>
  <c r="BH7" i="12" s="1"/>
  <c r="K7" i="12"/>
  <c r="Z13" i="12"/>
  <c r="BF13" i="12"/>
  <c r="BH13" i="12" s="1"/>
  <c r="AL10" i="12"/>
  <c r="K13" i="12"/>
  <c r="BC13" i="12"/>
  <c r="BE13" i="12" s="1"/>
  <c r="Z14" i="12"/>
  <c r="AL11" i="12"/>
  <c r="K14" i="12"/>
  <c r="BC14" i="12"/>
  <c r="BE14" i="12" s="1"/>
  <c r="BF14" i="12"/>
  <c r="BH14" i="12" s="1"/>
  <c r="K10" i="12"/>
  <c r="BC10" i="12"/>
  <c r="BE10" i="12" s="1"/>
  <c r="BF10" i="12"/>
  <c r="BH10" i="12" s="1"/>
  <c r="Z10" i="12"/>
  <c r="K9" i="12"/>
  <c r="AL7" i="12"/>
  <c r="BC9" i="12"/>
  <c r="BE9" i="12" s="1"/>
  <c r="Z9" i="12"/>
  <c r="BF9" i="12"/>
  <c r="BH9" i="12" s="1"/>
  <c r="AL31" i="12"/>
  <c r="BF38" i="12"/>
  <c r="BH38" i="12" s="1"/>
  <c r="K38" i="12"/>
  <c r="Z38" i="12"/>
  <c r="BC34" i="12"/>
  <c r="BE34" i="12" s="1"/>
  <c r="Z36" i="12"/>
  <c r="AL30" i="12"/>
  <c r="BC32" i="12"/>
  <c r="BE32" i="12" s="1"/>
  <c r="BF36" i="12"/>
  <c r="BH36" i="12" s="1"/>
  <c r="K36" i="12"/>
  <c r="K33" i="12"/>
  <c r="BF33" i="12"/>
  <c r="BH33" i="12" s="1"/>
  <c r="Z33" i="12"/>
  <c r="BC29" i="12"/>
  <c r="Z16" i="12"/>
  <c r="AL13" i="12"/>
  <c r="K16" i="12"/>
  <c r="BC15" i="12"/>
  <c r="BE15" i="12" s="1"/>
  <c r="BF16" i="12"/>
  <c r="BH16" i="12" s="1"/>
  <c r="AU8" i="12"/>
  <c r="AV8" i="12" s="1"/>
  <c r="BF18" i="12"/>
  <c r="BH18" i="12" s="1"/>
  <c r="BC17" i="12"/>
  <c r="K18" i="12"/>
  <c r="Z18" i="12"/>
  <c r="AL15" i="12"/>
  <c r="U6" i="14"/>
  <c r="BH45" i="12"/>
  <c r="BH32" i="12"/>
  <c r="BH20" i="12"/>
  <c r="U41" i="8"/>
  <c r="V41" i="8" s="1"/>
  <c r="F24" i="7"/>
  <c r="F30" i="7" s="1"/>
  <c r="F9" i="7"/>
  <c r="C14" i="7" s="1"/>
  <c r="B9" i="7"/>
  <c r="B14" i="7"/>
  <c r="F25" i="7" s="1"/>
  <c r="F31" i="7" s="1"/>
  <c r="B13" i="7"/>
  <c r="B24" i="7" s="1"/>
  <c r="B30" i="7" s="1"/>
  <c r="F6" i="7"/>
  <c r="B6" i="7"/>
  <c r="Z34" i="12" l="1"/>
  <c r="K34" i="12"/>
  <c r="BC38" i="12"/>
  <c r="BF42" i="12"/>
  <c r="BH42" i="12" s="1"/>
  <c r="BF39" i="12"/>
  <c r="BH39" i="12" s="1"/>
  <c r="AL32" i="12"/>
  <c r="K39" i="12"/>
  <c r="AL16" i="12"/>
  <c r="BF41" i="12"/>
  <c r="BH41" i="12" s="1"/>
  <c r="BF37" i="12"/>
  <c r="BH37" i="12" s="1"/>
  <c r="Z41" i="12"/>
  <c r="K42" i="12"/>
  <c r="K27" i="12"/>
  <c r="BC33" i="12"/>
  <c r="AL34" i="12"/>
  <c r="Z39" i="12"/>
  <c r="BF19" i="12"/>
  <c r="BH19" i="12" s="1"/>
  <c r="K37" i="12"/>
  <c r="Z19" i="12"/>
  <c r="AU9" i="12"/>
  <c r="AV9" i="12" s="1"/>
  <c r="G55" i="16"/>
  <c r="AL14" i="12"/>
  <c r="BF17" i="12"/>
  <c r="BH17" i="12" s="1"/>
  <c r="Z17" i="12"/>
  <c r="K17" i="12"/>
  <c r="BC37" i="12"/>
  <c r="BE37" i="12" s="1"/>
  <c r="K30" i="12"/>
  <c r="Z30" i="12"/>
  <c r="K24" i="12"/>
  <c r="AL21" i="12"/>
  <c r="BC27" i="12"/>
  <c r="BE27" i="12" s="1"/>
  <c r="BC21" i="12"/>
  <c r="BE21" i="12" s="1"/>
  <c r="BF28" i="12"/>
  <c r="BH28" i="12" s="1"/>
  <c r="Z35" i="12"/>
  <c r="BF35" i="12"/>
  <c r="BH35" i="12" s="1"/>
  <c r="BC25" i="12"/>
  <c r="K35" i="12"/>
  <c r="Z24" i="12"/>
  <c r="K28" i="12"/>
  <c r="BF24" i="12"/>
  <c r="BH24" i="12" s="1"/>
  <c r="AL25" i="12"/>
  <c r="G56" i="16"/>
  <c r="G57" i="16" s="1"/>
  <c r="AL27" i="12"/>
  <c r="AU13" i="12"/>
  <c r="AV13" i="12" s="1"/>
  <c r="C25" i="7"/>
  <c r="C31" i="7" s="1"/>
  <c r="G25" i="7"/>
  <c r="G31" i="7" s="1"/>
  <c r="B25" i="7"/>
  <c r="B31" i="7" s="1"/>
  <c r="C13" i="7"/>
  <c r="B7" i="7"/>
  <c r="B8" i="7" s="1"/>
  <c r="E14" i="7"/>
  <c r="BH5" i="12"/>
  <c r="AV5" i="12"/>
  <c r="F7" i="7"/>
  <c r="F8" i="7" s="1"/>
  <c r="D14" i="7" s="1"/>
  <c r="BG47" i="12" l="1"/>
  <c r="H6" i="14" s="1"/>
  <c r="BH47" i="12"/>
  <c r="V6" i="14" s="1"/>
  <c r="AV18" i="12"/>
  <c r="V8" i="14" s="1"/>
  <c r="AU18" i="12"/>
  <c r="H8" i="14" s="1"/>
  <c r="D13" i="7"/>
  <c r="E13" i="7"/>
  <c r="D25" i="7"/>
  <c r="D31" i="7" s="1"/>
  <c r="H25" i="7"/>
  <c r="H31" i="7" s="1"/>
  <c r="E25" i="7"/>
  <c r="E31" i="7" s="1"/>
  <c r="I25" i="7"/>
  <c r="I31" i="7" s="1"/>
  <c r="G24" i="7"/>
  <c r="G30" i="7" s="1"/>
  <c r="C24" i="7"/>
  <c r="C30" i="7" s="1"/>
  <c r="E24" i="7" l="1"/>
  <c r="E30" i="7" s="1"/>
  <c r="I24" i="7"/>
  <c r="I30" i="7" s="1"/>
  <c r="D24" i="7"/>
  <c r="D30" i="7" s="1"/>
  <c r="H24" i="7"/>
  <c r="H30" i="7" s="1"/>
  <c r="F6" i="2"/>
  <c r="N6" i="2"/>
  <c r="F7" i="2"/>
  <c r="N7" i="2"/>
  <c r="F8" i="2"/>
  <c r="N8" i="2"/>
  <c r="F9" i="2"/>
  <c r="O9" i="2" s="1"/>
  <c r="N9" i="2"/>
  <c r="E10" i="2"/>
  <c r="N10" i="2"/>
  <c r="F11" i="2"/>
  <c r="N11" i="2"/>
  <c r="E12" i="2"/>
  <c r="N12" i="2"/>
  <c r="F13" i="2"/>
  <c r="N13" i="2"/>
  <c r="E14" i="2"/>
  <c r="N14" i="2"/>
  <c r="F15" i="2"/>
  <c r="N15" i="2"/>
  <c r="E16" i="2"/>
  <c r="N16" i="2"/>
  <c r="F17" i="2"/>
  <c r="N17" i="2"/>
  <c r="E18" i="2"/>
  <c r="N18" i="2"/>
  <c r="F19" i="2"/>
  <c r="N19" i="2"/>
  <c r="E20" i="2"/>
  <c r="N20" i="2"/>
  <c r="E21" i="2"/>
  <c r="N21" i="2"/>
  <c r="F22" i="2"/>
  <c r="O22" i="2" s="1"/>
  <c r="P22" i="2" s="1"/>
  <c r="N22" i="2"/>
  <c r="E23" i="2"/>
  <c r="N23" i="2"/>
  <c r="E24" i="2"/>
  <c r="N24" i="2"/>
  <c r="E25" i="2"/>
  <c r="N25" i="2"/>
  <c r="E26" i="2"/>
  <c r="N26" i="2"/>
  <c r="F27" i="2"/>
  <c r="O27" i="2" s="1"/>
  <c r="P27" i="2" s="1"/>
  <c r="N27" i="2"/>
  <c r="F28" i="2"/>
  <c r="O28" i="2" s="1"/>
  <c r="P28" i="2" s="1"/>
  <c r="N28" i="2"/>
  <c r="E29" i="2"/>
  <c r="N29" i="2"/>
  <c r="F30" i="2"/>
  <c r="N30" i="2"/>
  <c r="E31" i="2"/>
  <c r="N31" i="2"/>
  <c r="AE31" i="2"/>
  <c r="E32" i="2"/>
  <c r="N32" i="2"/>
  <c r="AE32" i="2"/>
  <c r="AD33" i="2" s="1"/>
  <c r="E33" i="2"/>
  <c r="N33" i="2"/>
  <c r="AE33" i="2"/>
  <c r="AD34" i="2" s="1"/>
  <c r="F34" i="2"/>
  <c r="O34" i="2" s="1"/>
  <c r="P34" i="2" s="1"/>
  <c r="N34" i="2"/>
  <c r="AE34" i="2"/>
  <c r="E35" i="2"/>
  <c r="N35" i="2"/>
  <c r="AE35" i="2"/>
  <c r="AD36" i="2" s="1"/>
  <c r="E36" i="2"/>
  <c r="N36" i="2"/>
  <c r="AE36" i="2"/>
  <c r="C37" i="2"/>
  <c r="N37" i="2"/>
  <c r="AD37" i="2"/>
  <c r="E38" i="2"/>
  <c r="N38" i="2"/>
  <c r="F39" i="2"/>
  <c r="N39" i="2"/>
  <c r="E40" i="2"/>
  <c r="N40" i="2"/>
  <c r="E41" i="2"/>
  <c r="N41" i="2"/>
  <c r="N42" i="2"/>
  <c r="F43" i="2"/>
  <c r="N43" i="2"/>
  <c r="E44" i="2"/>
  <c r="N44" i="2"/>
  <c r="E45" i="2"/>
  <c r="N45" i="2"/>
  <c r="E46" i="2"/>
  <c r="N46" i="2"/>
  <c r="E47" i="2"/>
  <c r="N47" i="2"/>
  <c r="E48" i="2"/>
  <c r="N48" i="2"/>
  <c r="E49" i="2"/>
  <c r="N49" i="2"/>
  <c r="E50" i="2"/>
  <c r="N50" i="2"/>
  <c r="N51" i="2"/>
  <c r="E52" i="2"/>
  <c r="N52" i="2"/>
  <c r="E53" i="2"/>
  <c r="N53" i="2"/>
  <c r="E54" i="2"/>
  <c r="N54" i="2"/>
  <c r="E55" i="2"/>
  <c r="N55" i="2"/>
  <c r="F56" i="2"/>
  <c r="K56" i="2"/>
  <c r="M56" i="2"/>
  <c r="N56" i="2"/>
  <c r="F57" i="2"/>
  <c r="O57" i="2" s="1"/>
  <c r="P57" i="2" s="1"/>
  <c r="N57" i="2"/>
  <c r="E58" i="2"/>
  <c r="N58" i="2"/>
  <c r="N59" i="2"/>
  <c r="E60" i="2"/>
  <c r="N60" i="2"/>
  <c r="E61" i="2"/>
  <c r="N61" i="2"/>
  <c r="E62" i="2"/>
  <c r="H62" i="2"/>
  <c r="N62" i="2" s="1"/>
  <c r="E63" i="2"/>
  <c r="N63" i="2"/>
  <c r="E64" i="2"/>
  <c r="N64" i="2"/>
  <c r="F65" i="2"/>
  <c r="N65" i="2"/>
  <c r="E66" i="2"/>
  <c r="N66" i="2"/>
  <c r="E67" i="2"/>
  <c r="N67" i="2"/>
  <c r="E68" i="2"/>
  <c r="N68" i="2"/>
  <c r="E69" i="2"/>
  <c r="N69" i="2"/>
  <c r="E70" i="2"/>
  <c r="N70" i="2"/>
  <c r="E71" i="2"/>
  <c r="N71" i="2"/>
  <c r="E72" i="2"/>
  <c r="N72" i="2"/>
  <c r="E73" i="2"/>
  <c r="N73" i="2"/>
  <c r="E74" i="2"/>
  <c r="N74" i="2"/>
  <c r="E75" i="2"/>
  <c r="N75" i="2"/>
  <c r="E76" i="2"/>
  <c r="N76" i="2"/>
  <c r="F77" i="2"/>
  <c r="O77" i="2" s="1"/>
  <c r="P77" i="2" s="1"/>
  <c r="N77" i="2"/>
  <c r="F78" i="2"/>
  <c r="O78" i="2" s="1"/>
  <c r="P78" i="2" s="1"/>
  <c r="N78" i="2"/>
  <c r="F79" i="2"/>
  <c r="N79" i="2"/>
  <c r="E80" i="2"/>
  <c r="F80" i="2"/>
  <c r="N80" i="2"/>
  <c r="O80" i="2" s="1"/>
  <c r="F51" i="2" l="1"/>
  <c r="E19" i="2"/>
  <c r="BE24" i="12"/>
  <c r="BK27" i="12"/>
  <c r="AG29" i="12"/>
  <c r="AG30" i="12"/>
  <c r="E28" i="2"/>
  <c r="F66" i="2"/>
  <c r="O66" i="2" s="1"/>
  <c r="P66" i="2" s="1"/>
  <c r="E13" i="2"/>
  <c r="E59" i="2"/>
  <c r="E37" i="2"/>
  <c r="F35" i="2"/>
  <c r="O35" i="2" s="1"/>
  <c r="P35" i="2" s="1"/>
  <c r="F23" i="2"/>
  <c r="O56" i="2"/>
  <c r="P56" i="2" s="1"/>
  <c r="F58" i="2"/>
  <c r="R30" i="12"/>
  <c r="E22" i="2"/>
  <c r="R29" i="12"/>
  <c r="O65" i="2"/>
  <c r="P65" i="2" s="1"/>
  <c r="E34" i="2"/>
  <c r="F46" i="2"/>
  <c r="F40" i="2"/>
  <c r="O40" i="2" s="1"/>
  <c r="P40" i="2" s="1"/>
  <c r="F31" i="2"/>
  <c r="AG50" i="12"/>
  <c r="F24" i="2"/>
  <c r="E15" i="2"/>
  <c r="AG49" i="12"/>
  <c r="AG25" i="12"/>
  <c r="F69" i="2"/>
  <c r="F42" i="2"/>
  <c r="AG24" i="12"/>
  <c r="E56" i="2"/>
  <c r="E42" i="2"/>
  <c r="E30" i="2"/>
  <c r="O23" i="2"/>
  <c r="P23" i="2" s="1"/>
  <c r="E11" i="2"/>
  <c r="AG47" i="12"/>
  <c r="AG39" i="12"/>
  <c r="E17" i="2"/>
  <c r="AG46" i="12"/>
  <c r="AG14" i="12"/>
  <c r="AG7" i="12"/>
  <c r="E79" i="2"/>
  <c r="F38" i="2"/>
  <c r="AG45" i="12"/>
  <c r="AG52" i="12"/>
  <c r="AG44" i="12"/>
  <c r="AG28" i="12"/>
  <c r="F64" i="2"/>
  <c r="AG27" i="12"/>
  <c r="E77" i="2"/>
  <c r="F62" i="2"/>
  <c r="O58" i="2"/>
  <c r="P58" i="2" s="1"/>
  <c r="F53" i="2"/>
  <c r="O53" i="2" s="1"/>
  <c r="P53" i="2" s="1"/>
  <c r="F50" i="2"/>
  <c r="O50" i="2" s="1"/>
  <c r="F47" i="2"/>
  <c r="E39" i="2"/>
  <c r="O31" i="2"/>
  <c r="P31" i="2" s="1"/>
  <c r="E27" i="2"/>
  <c r="E9" i="2"/>
  <c r="F25" i="2"/>
  <c r="E78" i="2"/>
  <c r="O46" i="2"/>
  <c r="P46" i="2" s="1"/>
  <c r="O8" i="2"/>
  <c r="F76" i="2"/>
  <c r="O76" i="2" s="1"/>
  <c r="P76" i="2" s="1"/>
  <c r="F73" i="2"/>
  <c r="O69" i="2"/>
  <c r="E57" i="2"/>
  <c r="O30" i="2"/>
  <c r="P30" i="2" s="1"/>
  <c r="F26" i="2"/>
  <c r="F18" i="2"/>
  <c r="O18" i="2" s="1"/>
  <c r="P18" i="2" s="1"/>
  <c r="F16" i="2"/>
  <c r="F14" i="2"/>
  <c r="F12" i="2"/>
  <c r="F10" i="2"/>
  <c r="O10" i="2" s="1"/>
  <c r="E51" i="2"/>
  <c r="O39" i="2"/>
  <c r="P39" i="2" s="1"/>
  <c r="O19" i="2"/>
  <c r="P19" i="2" s="1"/>
  <c r="O17" i="2"/>
  <c r="P17" i="2" s="1"/>
  <c r="O15" i="2"/>
  <c r="P15" i="2" s="1"/>
  <c r="O13" i="2"/>
  <c r="P13" i="2" s="1"/>
  <c r="O11" i="2"/>
  <c r="P11" i="2" s="1"/>
  <c r="O43" i="2"/>
  <c r="P43" i="2" s="1"/>
  <c r="O51" i="2"/>
  <c r="P51" i="2" s="1"/>
  <c r="O7" i="2"/>
  <c r="P7" i="2" s="1"/>
  <c r="O79" i="2"/>
  <c r="P79" i="2" s="1"/>
  <c r="O6" i="2"/>
  <c r="P6" i="2" s="1"/>
  <c r="F48" i="2"/>
  <c r="F44" i="2"/>
  <c r="O44" i="2" s="1"/>
  <c r="P44" i="2" s="1"/>
  <c r="E43" i="2"/>
  <c r="F36" i="2"/>
  <c r="AD35" i="2"/>
  <c r="F32" i="2"/>
  <c r="E8" i="2"/>
  <c r="E7" i="2"/>
  <c r="E6" i="2"/>
  <c r="F75" i="2"/>
  <c r="O75" i="2" s="1"/>
  <c r="F71" i="2"/>
  <c r="O71" i="2" s="1"/>
  <c r="P71" i="2" s="1"/>
  <c r="F60" i="2"/>
  <c r="F55" i="2"/>
  <c r="F68" i="2"/>
  <c r="F52" i="2"/>
  <c r="O52" i="2" s="1"/>
  <c r="F37" i="2"/>
  <c r="O37" i="2" s="1"/>
  <c r="F72" i="2"/>
  <c r="O72" i="2" s="1"/>
  <c r="P72" i="2" s="1"/>
  <c r="F61" i="2"/>
  <c r="F49" i="2"/>
  <c r="O49" i="2" s="1"/>
  <c r="P49" i="2" s="1"/>
  <c r="F45" i="2"/>
  <c r="O45" i="2" s="1"/>
  <c r="P45" i="2" s="1"/>
  <c r="F33" i="2"/>
  <c r="AD32" i="2"/>
  <c r="F21" i="2"/>
  <c r="O21" i="2" s="1"/>
  <c r="F20" i="2"/>
  <c r="E65" i="2"/>
  <c r="F29" i="2"/>
  <c r="F41" i="2"/>
  <c r="O41" i="2" s="1"/>
  <c r="F70" i="2"/>
  <c r="F67" i="2"/>
  <c r="O67" i="2" s="1"/>
  <c r="F74" i="2"/>
  <c r="F63" i="2"/>
  <c r="O63" i="2" s="1"/>
  <c r="P63" i="2" s="1"/>
  <c r="F59" i="2"/>
  <c r="F54" i="2"/>
  <c r="AG33" i="12" l="1"/>
  <c r="AG13" i="12"/>
  <c r="AG38" i="12"/>
  <c r="AG35" i="12"/>
  <c r="AA32" i="12"/>
  <c r="X18" i="12"/>
  <c r="AG22" i="12"/>
  <c r="AG9" i="12"/>
  <c r="AS14" i="12"/>
  <c r="AM12" i="12"/>
  <c r="AS25" i="12"/>
  <c r="AP22" i="12"/>
  <c r="AJ17" i="12"/>
  <c r="AM23" i="12"/>
  <c r="AM24" i="12"/>
  <c r="AS26" i="12"/>
  <c r="AP23" i="12"/>
  <c r="AG51" i="12"/>
  <c r="AG34" i="12"/>
  <c r="AG8" i="12"/>
  <c r="O27" i="12"/>
  <c r="L27" i="12"/>
  <c r="AA38" i="12"/>
  <c r="AD38" i="12"/>
  <c r="AA7" i="12"/>
  <c r="AD7" i="12"/>
  <c r="O26" i="12"/>
  <c r="I17" i="12"/>
  <c r="L26" i="12"/>
  <c r="AA26" i="12"/>
  <c r="AD26" i="12"/>
  <c r="X17" i="12"/>
  <c r="X15" i="12"/>
  <c r="AA24" i="12"/>
  <c r="AD24" i="12"/>
  <c r="AD44" i="12"/>
  <c r="AD45" i="12"/>
  <c r="AA14" i="12"/>
  <c r="AD14" i="12"/>
  <c r="AD35" i="12"/>
  <c r="AA36" i="12"/>
  <c r="X14" i="12"/>
  <c r="AD22" i="12"/>
  <c r="AA22" i="12"/>
  <c r="AD41" i="12"/>
  <c r="AA41" i="12"/>
  <c r="X13" i="12"/>
  <c r="AD21" i="12"/>
  <c r="AA21" i="12"/>
  <c r="AD30" i="12"/>
  <c r="AA30" i="12"/>
  <c r="AA27" i="12"/>
  <c r="AD27" i="12"/>
  <c r="AA13" i="12"/>
  <c r="AD13" i="12"/>
  <c r="AA35" i="12"/>
  <c r="AD34" i="12"/>
  <c r="AD40" i="12"/>
  <c r="AA40" i="12"/>
  <c r="X22" i="12"/>
  <c r="AD43" i="12"/>
  <c r="AA43" i="12"/>
  <c r="AA25" i="12"/>
  <c r="AD25" i="12"/>
  <c r="X16" i="12"/>
  <c r="AD39" i="12"/>
  <c r="AA39" i="12"/>
  <c r="AG20" i="12"/>
  <c r="AG53" i="12"/>
  <c r="AG15" i="12"/>
  <c r="AG36" i="12"/>
  <c r="AG31" i="12"/>
  <c r="AG16" i="12"/>
  <c r="AG43" i="12"/>
  <c r="AG21" i="12"/>
  <c r="R37" i="12"/>
  <c r="AG48" i="12"/>
  <c r="AG11" i="12"/>
  <c r="AG6" i="12"/>
  <c r="R31" i="12"/>
  <c r="R33" i="12"/>
  <c r="R34" i="12"/>
  <c r="AG18" i="12"/>
  <c r="O20" i="2"/>
  <c r="P20" i="2" s="1"/>
  <c r="R19" i="12"/>
  <c r="O62" i="2"/>
  <c r="R14" i="12"/>
  <c r="R44" i="12"/>
  <c r="R45" i="12"/>
  <c r="R15" i="12"/>
  <c r="R8" i="12"/>
  <c r="R18" i="12"/>
  <c r="O59" i="2"/>
  <c r="P59" i="2" s="1"/>
  <c r="R52" i="12"/>
  <c r="R53" i="12"/>
  <c r="R6" i="12"/>
  <c r="R23" i="12"/>
  <c r="R16" i="12"/>
  <c r="R25" i="12"/>
  <c r="R26" i="12"/>
  <c r="R51" i="12"/>
  <c r="R22" i="12"/>
  <c r="R39" i="12"/>
  <c r="R32" i="12"/>
  <c r="R43" i="12"/>
  <c r="R12" i="12"/>
  <c r="AG37" i="12"/>
  <c r="R47" i="12"/>
  <c r="R11" i="12"/>
  <c r="R49" i="12"/>
  <c r="R50" i="12"/>
  <c r="R24" i="12"/>
  <c r="O38" i="2"/>
  <c r="P38" i="2" s="1"/>
  <c r="R20" i="12"/>
  <c r="R13" i="12"/>
  <c r="R38" i="12"/>
  <c r="R48" i="12"/>
  <c r="R27" i="12"/>
  <c r="R28" i="12"/>
  <c r="R21" i="12"/>
  <c r="R46" i="12"/>
  <c r="R36" i="12"/>
  <c r="R7" i="12"/>
  <c r="AG40" i="12"/>
  <c r="R40" i="12"/>
  <c r="R9" i="12"/>
  <c r="R10" i="12"/>
  <c r="O48" i="2"/>
  <c r="P48" i="2" s="1"/>
  <c r="O12" i="2"/>
  <c r="P12" i="2" s="1"/>
  <c r="O73" i="2"/>
  <c r="P73" i="2" s="1"/>
  <c r="O42" i="2"/>
  <c r="P42" i="2" s="1"/>
  <c r="O70" i="2"/>
  <c r="P70" i="2" s="1"/>
  <c r="O60" i="2"/>
  <c r="P60" i="2" s="1"/>
  <c r="O36" i="2"/>
  <c r="P36" i="2" s="1"/>
  <c r="O54" i="2"/>
  <c r="P54" i="2" s="1"/>
  <c r="O14" i="2"/>
  <c r="P14" i="2" s="1"/>
  <c r="O25" i="2"/>
  <c r="P25" i="2" s="1"/>
  <c r="O47" i="2"/>
  <c r="P47" i="2" s="1"/>
  <c r="O29" i="2"/>
  <c r="O61" i="2"/>
  <c r="P61" i="2" s="1"/>
  <c r="O74" i="2"/>
  <c r="P74" i="2" s="1"/>
  <c r="O68" i="2"/>
  <c r="P68" i="2" s="1"/>
  <c r="O32" i="2"/>
  <c r="P32" i="2" s="1"/>
  <c r="O16" i="2"/>
  <c r="P16" i="2" s="1"/>
  <c r="O33" i="2"/>
  <c r="P33" i="2" s="1"/>
  <c r="O55" i="2"/>
  <c r="P55" i="2" s="1"/>
  <c r="O24" i="2"/>
  <c r="P24" i="2" s="1"/>
  <c r="O26" i="2"/>
  <c r="P26" i="2" s="1"/>
  <c r="O64" i="2"/>
  <c r="P64" i="2" s="1"/>
  <c r="AA9" i="12" l="1"/>
  <c r="AD9" i="12"/>
  <c r="R5" i="12"/>
  <c r="AG5" i="12"/>
  <c r="X11" i="12"/>
  <c r="R35" i="12"/>
  <c r="I18" i="12"/>
  <c r="L32" i="12"/>
  <c r="AA19" i="12"/>
  <c r="AS31" i="12"/>
  <c r="AM29" i="12"/>
  <c r="AJ18" i="12"/>
  <c r="Q5" i="2"/>
  <c r="X5" i="2" s="1"/>
  <c r="S5" i="2"/>
  <c r="AD31" i="2" s="1"/>
  <c r="U25" i="12"/>
  <c r="AA8" i="12"/>
  <c r="U26" i="12"/>
  <c r="AP34" i="12"/>
  <c r="AS38" i="12"/>
  <c r="AJ19" i="12"/>
  <c r="AP11" i="12"/>
  <c r="AM11" i="12"/>
  <c r="AS11" i="12"/>
  <c r="AJ8" i="12"/>
  <c r="AS12" i="12"/>
  <c r="AM26" i="12"/>
  <c r="AS28" i="12"/>
  <c r="AP25" i="12"/>
  <c r="U24" i="12"/>
  <c r="AJ16" i="12"/>
  <c r="AS24" i="12"/>
  <c r="AP21" i="12"/>
  <c r="AM22" i="12"/>
  <c r="AM13" i="12"/>
  <c r="AS15" i="12"/>
  <c r="AP14" i="12"/>
  <c r="AM6" i="12"/>
  <c r="AS6" i="12"/>
  <c r="AP6" i="12"/>
  <c r="AJ7" i="12"/>
  <c r="AS9" i="12"/>
  <c r="AP9" i="12"/>
  <c r="AM9" i="12"/>
  <c r="AY16" i="12"/>
  <c r="BK37" i="12"/>
  <c r="AA44" i="12"/>
  <c r="AM25" i="12"/>
  <c r="AS27" i="12"/>
  <c r="AP7" i="12"/>
  <c r="AS7" i="12"/>
  <c r="AM7" i="12"/>
  <c r="I19" i="12"/>
  <c r="R41" i="12"/>
  <c r="AM16" i="12"/>
  <c r="AS18" i="12"/>
  <c r="AJ11" i="12"/>
  <c r="U35" i="12"/>
  <c r="AS35" i="12"/>
  <c r="AP31" i="12"/>
  <c r="AM33" i="12"/>
  <c r="AM35" i="12"/>
  <c r="AS37" i="12"/>
  <c r="BE40" i="12"/>
  <c r="BK46" i="12"/>
  <c r="X23" i="12"/>
  <c r="O17" i="12"/>
  <c r="R17" i="12"/>
  <c r="AS10" i="12"/>
  <c r="AP10" i="12"/>
  <c r="AM10" i="12"/>
  <c r="U34" i="12"/>
  <c r="AS34" i="12"/>
  <c r="AP30" i="12"/>
  <c r="AM32" i="12"/>
  <c r="AJ6" i="12"/>
  <c r="AS8" i="12"/>
  <c r="AM8" i="12"/>
  <c r="AP8" i="12"/>
  <c r="AM14" i="12"/>
  <c r="AS16" i="12"/>
  <c r="U36" i="12"/>
  <c r="AS36" i="12"/>
  <c r="AM34" i="12"/>
  <c r="AP32" i="12"/>
  <c r="BK19" i="12"/>
  <c r="BE16" i="12"/>
  <c r="U39" i="12"/>
  <c r="AM36" i="12"/>
  <c r="AP35" i="12"/>
  <c r="AS39" i="12"/>
  <c r="U32" i="12"/>
  <c r="AP28" i="12"/>
  <c r="AM30" i="12"/>
  <c r="AS32" i="12"/>
  <c r="AS22" i="12"/>
  <c r="AP19" i="12"/>
  <c r="AM20" i="12"/>
  <c r="U23" i="12"/>
  <c r="AS23" i="12"/>
  <c r="AJ15" i="12"/>
  <c r="AP20" i="12"/>
  <c r="AM21" i="12"/>
  <c r="AM15" i="12"/>
  <c r="AS17" i="12"/>
  <c r="AJ10" i="12"/>
  <c r="BE30" i="12"/>
  <c r="BK33" i="12"/>
  <c r="BK36" i="12"/>
  <c r="BE33" i="12"/>
  <c r="AA31" i="12"/>
  <c r="AP5" i="12"/>
  <c r="I20" i="12"/>
  <c r="R42" i="12"/>
  <c r="U20" i="12"/>
  <c r="AP17" i="12"/>
  <c r="AJ13" i="12"/>
  <c r="AM18" i="12"/>
  <c r="AS20" i="12"/>
  <c r="U29" i="12"/>
  <c r="AM27" i="12"/>
  <c r="AS29" i="12"/>
  <c r="AP26" i="12"/>
  <c r="AP27" i="12"/>
  <c r="AM28" i="12"/>
  <c r="AS30" i="12"/>
  <c r="AM5" i="12"/>
  <c r="AM37" i="12"/>
  <c r="AS40" i="12"/>
  <c r="AJ20" i="12"/>
  <c r="AM17" i="12"/>
  <c r="AS19" i="12"/>
  <c r="AJ12" i="12"/>
  <c r="AS13" i="12"/>
  <c r="AJ9" i="12"/>
  <c r="AJ14" i="12"/>
  <c r="AM19" i="12"/>
  <c r="AP18" i="12"/>
  <c r="AS21" i="12"/>
  <c r="U33" i="12"/>
  <c r="AS33" i="12"/>
  <c r="AP29" i="12"/>
  <c r="AM31" i="12"/>
  <c r="BK20" i="12"/>
  <c r="AY10" i="12"/>
  <c r="BE17" i="12"/>
  <c r="BK32" i="12"/>
  <c r="BE29" i="12"/>
  <c r="AD31" i="12"/>
  <c r="AS5" i="12"/>
  <c r="BK28" i="12"/>
  <c r="BE25" i="12"/>
  <c r="BE38" i="12"/>
  <c r="BK42" i="12"/>
  <c r="AY9" i="12"/>
  <c r="BK16" i="12"/>
  <c r="BK15" i="12"/>
  <c r="AD29" i="12"/>
  <c r="AG32" i="12"/>
  <c r="AA23" i="12"/>
  <c r="AG26" i="12"/>
  <c r="AD17" i="12"/>
  <c r="AG17" i="12"/>
  <c r="AA16" i="12"/>
  <c r="AG19" i="12"/>
  <c r="AD10" i="12"/>
  <c r="AG10" i="12"/>
  <c r="AG23" i="12"/>
  <c r="AG12" i="12"/>
  <c r="AD8" i="12"/>
  <c r="X19" i="12"/>
  <c r="AG41" i="12"/>
  <c r="X20" i="12"/>
  <c r="AG42" i="12"/>
  <c r="AA12" i="12"/>
  <c r="AD12" i="12"/>
  <c r="X7" i="12"/>
  <c r="U22" i="12"/>
  <c r="AA10" i="12"/>
  <c r="AA29" i="12"/>
  <c r="X12" i="12"/>
  <c r="AD23" i="12"/>
  <c r="AA20" i="12"/>
  <c r="F25" i="12"/>
  <c r="F26" i="12"/>
  <c r="L10" i="12"/>
  <c r="O10" i="12"/>
  <c r="L24" i="12"/>
  <c r="I15" i="12"/>
  <c r="O24" i="12"/>
  <c r="L44" i="12"/>
  <c r="I23" i="12"/>
  <c r="L15" i="12"/>
  <c r="O18" i="12"/>
  <c r="F14" i="12"/>
  <c r="AA15" i="12"/>
  <c r="U14" i="12"/>
  <c r="AD18" i="12"/>
  <c r="L9" i="12"/>
  <c r="O9" i="12"/>
  <c r="L42" i="12"/>
  <c r="O41" i="12"/>
  <c r="L41" i="12"/>
  <c r="L23" i="12"/>
  <c r="O23" i="12"/>
  <c r="O31" i="12"/>
  <c r="L31" i="12"/>
  <c r="X9" i="12"/>
  <c r="AA45" i="12"/>
  <c r="L37" i="12"/>
  <c r="L35" i="12"/>
  <c r="O34" i="12"/>
  <c r="AA34" i="12"/>
  <c r="I14" i="12"/>
  <c r="L22" i="12"/>
  <c r="O22" i="12"/>
  <c r="O8" i="12"/>
  <c r="L8" i="12"/>
  <c r="O30" i="12"/>
  <c r="L30" i="12"/>
  <c r="X5" i="12"/>
  <c r="AA37" i="12"/>
  <c r="L13" i="12"/>
  <c r="O13" i="12"/>
  <c r="L12" i="12"/>
  <c r="O12" i="12"/>
  <c r="I7" i="12"/>
  <c r="I9" i="12"/>
  <c r="I8" i="12"/>
  <c r="L28" i="12"/>
  <c r="AA42" i="12"/>
  <c r="AA28" i="12"/>
  <c r="AA17" i="12"/>
  <c r="O7" i="12"/>
  <c r="L7" i="12"/>
  <c r="L17" i="12"/>
  <c r="I21" i="12"/>
  <c r="I12" i="12"/>
  <c r="L20" i="12"/>
  <c r="O39" i="12"/>
  <c r="L39" i="12"/>
  <c r="U5" i="12"/>
  <c r="AA6" i="12"/>
  <c r="AD6" i="12"/>
  <c r="L33" i="12"/>
  <c r="O6" i="12"/>
  <c r="F5" i="12"/>
  <c r="L6" i="12"/>
  <c r="O38" i="12"/>
  <c r="L38" i="12"/>
  <c r="L34" i="12"/>
  <c r="I13" i="12"/>
  <c r="O21" i="12"/>
  <c r="L21" i="12"/>
  <c r="O29" i="12"/>
  <c r="L29" i="12"/>
  <c r="L45" i="12"/>
  <c r="L14" i="12"/>
  <c r="O14" i="12"/>
  <c r="L40" i="12"/>
  <c r="O40" i="12"/>
  <c r="L43" i="12"/>
  <c r="O45" i="12"/>
  <c r="O44" i="12"/>
  <c r="AA18" i="12"/>
  <c r="AD20" i="12"/>
  <c r="X10" i="12"/>
  <c r="AA33" i="12"/>
  <c r="L16" i="12"/>
  <c r="L18" i="12"/>
  <c r="I10" i="12"/>
  <c r="I22" i="12"/>
  <c r="O43" i="12"/>
  <c r="O35" i="12"/>
  <c r="L36" i="12"/>
  <c r="L25" i="12"/>
  <c r="O25" i="12"/>
  <c r="I16" i="12"/>
  <c r="I6" i="12"/>
  <c r="O11" i="12"/>
  <c r="L11" i="12"/>
  <c r="I11" i="12"/>
  <c r="L19" i="12"/>
  <c r="X6" i="12"/>
  <c r="AD11" i="12"/>
  <c r="AA11" i="12"/>
  <c r="X21" i="12"/>
  <c r="X8" i="12"/>
  <c r="U18" i="12"/>
  <c r="R5" i="2"/>
  <c r="O32" i="12" l="1"/>
  <c r="AD37" i="12"/>
  <c r="F32" i="12"/>
  <c r="F35" i="12"/>
  <c r="AP13" i="12"/>
  <c r="U17" i="12"/>
  <c r="F34" i="12"/>
  <c r="U11" i="12"/>
  <c r="T5" i="2"/>
  <c r="U6" i="2" s="1"/>
  <c r="V5" i="2" s="1"/>
  <c r="U6" i="12"/>
  <c r="F24" i="12"/>
  <c r="U19" i="12"/>
  <c r="U10" i="12"/>
  <c r="U38" i="12"/>
  <c r="AD19" i="12"/>
  <c r="F33" i="12"/>
  <c r="U27" i="12"/>
  <c r="F20" i="12"/>
  <c r="AP16" i="12"/>
  <c r="U31" i="12"/>
  <c r="U37" i="12"/>
  <c r="AD36" i="12"/>
  <c r="U13" i="12"/>
  <c r="F31" i="12"/>
  <c r="F23" i="12"/>
  <c r="U8" i="12"/>
  <c r="AD33" i="12"/>
  <c r="U40" i="12"/>
  <c r="AD42" i="12"/>
  <c r="O42" i="12"/>
  <c r="U9" i="12"/>
  <c r="U28" i="12"/>
  <c r="U7" i="12"/>
  <c r="F29" i="12"/>
  <c r="O19" i="12"/>
  <c r="U15" i="12"/>
  <c r="AP15" i="12"/>
  <c r="Q55" i="12"/>
  <c r="E4" i="14" s="1"/>
  <c r="F39" i="12"/>
  <c r="F12" i="12"/>
  <c r="F36" i="12"/>
  <c r="O20" i="12"/>
  <c r="O46" i="12"/>
  <c r="AD15" i="12"/>
  <c r="U16" i="12"/>
  <c r="O36" i="12"/>
  <c r="U21" i="12"/>
  <c r="O37" i="12"/>
  <c r="O15" i="12"/>
  <c r="U30" i="12"/>
  <c r="R55" i="12"/>
  <c r="S4" i="14" s="1"/>
  <c r="AS42" i="12"/>
  <c r="T6" i="14" s="1"/>
  <c r="AI22" i="12"/>
  <c r="G7" i="14" s="1"/>
  <c r="AJ5" i="12"/>
  <c r="AJ22" i="12" s="1"/>
  <c r="F40" i="12"/>
  <c r="O28" i="12"/>
  <c r="AM39" i="12"/>
  <c r="AP33" i="12"/>
  <c r="AL39" i="12"/>
  <c r="H7" i="14" s="1"/>
  <c r="AO37" i="12"/>
  <c r="I7" i="14" s="1"/>
  <c r="AR42" i="12"/>
  <c r="F6" i="14" s="1"/>
  <c r="BE5" i="12"/>
  <c r="BE42" i="12" s="1"/>
  <c r="W9" i="14" s="1"/>
  <c r="BD42" i="12"/>
  <c r="I9" i="14" s="1"/>
  <c r="F30" i="12"/>
  <c r="BK5" i="12"/>
  <c r="BK48" i="12" s="1"/>
  <c r="BJ48" i="12"/>
  <c r="I6" i="14" s="1"/>
  <c r="O33" i="12"/>
  <c r="AP12" i="12"/>
  <c r="AD28" i="12"/>
  <c r="AD46" i="12"/>
  <c r="U12" i="12"/>
  <c r="AD32" i="12"/>
  <c r="AP24" i="12"/>
  <c r="AY8" i="12"/>
  <c r="AY19" i="12" s="1"/>
  <c r="W8" i="14" s="1"/>
  <c r="U10" i="14" s="1"/>
  <c r="AX19" i="12"/>
  <c r="I8" i="14" s="1"/>
  <c r="O16" i="12"/>
  <c r="AD16" i="12"/>
  <c r="AG55" i="12"/>
  <c r="S5" i="14" s="1"/>
  <c r="F37" i="12"/>
  <c r="AF55" i="12"/>
  <c r="E5" i="14" s="1"/>
  <c r="F17" i="12"/>
  <c r="F6" i="12"/>
  <c r="X25" i="12"/>
  <c r="U5" i="14" s="1"/>
  <c r="F22" i="12"/>
  <c r="F10" i="12"/>
  <c r="F21" i="12"/>
  <c r="F28" i="12"/>
  <c r="F18" i="12"/>
  <c r="F13" i="12"/>
  <c r="F11" i="12"/>
  <c r="AD5" i="12"/>
  <c r="AC48" i="12"/>
  <c r="I5" i="14" s="1"/>
  <c r="F27" i="12"/>
  <c r="K47" i="12"/>
  <c r="H4" i="14" s="1"/>
  <c r="L5" i="12"/>
  <c r="L47" i="12" s="1"/>
  <c r="V4" i="14" s="1"/>
  <c r="F19" i="12"/>
  <c r="F16" i="12"/>
  <c r="F9" i="12"/>
  <c r="O5" i="12"/>
  <c r="N48" i="12"/>
  <c r="I4" i="14" s="1"/>
  <c r="F7" i="12"/>
  <c r="AA5" i="12"/>
  <c r="AA47" i="12" s="1"/>
  <c r="V5" i="14" s="1"/>
  <c r="Z47" i="12"/>
  <c r="H5" i="14" s="1"/>
  <c r="F38" i="12"/>
  <c r="T42" i="12"/>
  <c r="F8" i="12"/>
  <c r="I5" i="12"/>
  <c r="I25" i="12" s="1"/>
  <c r="U4" i="14" s="1"/>
  <c r="H25" i="12"/>
  <c r="G4" i="14" s="1"/>
  <c r="W25" i="12"/>
  <c r="G5" i="14" s="1"/>
  <c r="F15" i="12"/>
  <c r="AG34" i="2"/>
  <c r="AF35" i="2" s="1"/>
  <c r="AG36" i="2"/>
  <c r="AF37" i="2" s="1"/>
  <c r="AG32" i="2"/>
  <c r="AI32" i="2" s="1"/>
  <c r="AH33" i="2" s="1"/>
  <c r="AG31" i="2"/>
  <c r="AF32" i="2" s="1"/>
  <c r="AG33" i="2"/>
  <c r="AI33" i="2" s="1"/>
  <c r="AH34" i="2" s="1"/>
  <c r="AG35" i="2"/>
  <c r="AF36" i="2" s="1"/>
  <c r="AE37" i="2"/>
  <c r="AG37" i="2" s="1"/>
  <c r="AI37" i="2" s="1"/>
  <c r="U7" i="2"/>
  <c r="V6" i="2" s="1"/>
  <c r="F5" i="14" l="1"/>
  <c r="A72" i="16"/>
  <c r="I12" i="14"/>
  <c r="F8" i="14"/>
  <c r="F10" i="14"/>
  <c r="V10" i="14"/>
  <c r="W6" i="14"/>
  <c r="S10" i="14" s="1"/>
  <c r="S7" i="14"/>
  <c r="U7" i="14"/>
  <c r="T8" i="14" s="1"/>
  <c r="G10" i="14"/>
  <c r="AK8" i="14"/>
  <c r="AI10" i="14" s="1"/>
  <c r="S8" i="14"/>
  <c r="V7" i="14"/>
  <c r="AJ7" i="14" s="1"/>
  <c r="AH9" i="14" s="1"/>
  <c r="AF34" i="2"/>
  <c r="AI31" i="2"/>
  <c r="AH32" i="2" s="1"/>
  <c r="AI34" i="2"/>
  <c r="AH35" i="2" s="1"/>
  <c r="AF33" i="2"/>
  <c r="AI36" i="2"/>
  <c r="AH37" i="2" s="1"/>
  <c r="U9" i="14"/>
  <c r="C10" i="14"/>
  <c r="AP37" i="12"/>
  <c r="U42" i="12"/>
  <c r="T5" i="14" s="1"/>
  <c r="R7" i="14" s="1"/>
  <c r="E42" i="12"/>
  <c r="F4" i="14" s="1"/>
  <c r="O48" i="12"/>
  <c r="AD48" i="12"/>
  <c r="W5" i="14" s="1"/>
  <c r="R10" i="14" s="1"/>
  <c r="AK9" i="14"/>
  <c r="AJ10" i="14" s="1"/>
  <c r="H10" i="14"/>
  <c r="H12" i="14" s="1"/>
  <c r="AJ8" i="14"/>
  <c r="AI9" i="14" s="1"/>
  <c r="G9" i="14"/>
  <c r="D10" i="14"/>
  <c r="E7" i="14"/>
  <c r="AH6" i="14"/>
  <c r="AG7" i="14" s="1"/>
  <c r="E10" i="14"/>
  <c r="R8" i="14"/>
  <c r="E9" i="14"/>
  <c r="Q8" i="14"/>
  <c r="E8" i="14"/>
  <c r="AI6" i="14"/>
  <c r="AG8" i="14" s="1"/>
  <c r="C9" i="14"/>
  <c r="F9" i="14"/>
  <c r="D9" i="14"/>
  <c r="F42" i="12"/>
  <c r="T4" i="14" s="1"/>
  <c r="Q7" i="14" s="1"/>
  <c r="AI35" i="2"/>
  <c r="AH36" i="2" s="1"/>
  <c r="U8" i="2"/>
  <c r="E12" i="14" l="1"/>
  <c r="G12" i="14"/>
  <c r="AK6" i="14"/>
  <c r="AG10" i="14" s="1"/>
  <c r="F12" i="14"/>
  <c r="T9" i="14"/>
  <c r="S9" i="14"/>
  <c r="W7" i="14"/>
  <c r="Q9" i="14"/>
  <c r="W4" i="14"/>
  <c r="X4" i="14" s="1"/>
  <c r="Q12" i="14" s="1"/>
  <c r="AK5" i="14"/>
  <c r="AF10" i="14" s="1"/>
  <c r="X8" i="14"/>
  <c r="U12" i="14" s="1"/>
  <c r="AI7" i="14"/>
  <c r="AH8" i="14" s="1"/>
  <c r="J9" i="14"/>
  <c r="J5" i="14"/>
  <c r="J10" i="14"/>
  <c r="J4" i="14"/>
  <c r="R6" i="14"/>
  <c r="X6" i="14" s="1"/>
  <c r="S12" i="14" s="1"/>
  <c r="X5" i="14"/>
  <c r="R12" i="14" s="1"/>
  <c r="R9" i="14"/>
  <c r="X9" i="14" s="1"/>
  <c r="V12" i="14" s="1"/>
  <c r="AJ6" i="14"/>
  <c r="AG9" i="14" s="1"/>
  <c r="C6" i="14"/>
  <c r="C7" i="14"/>
  <c r="AH4" i="14"/>
  <c r="AE7" i="14" s="1"/>
  <c r="D6" i="14"/>
  <c r="AG5" i="14"/>
  <c r="AF6" i="14" s="1"/>
  <c r="D7" i="14"/>
  <c r="AH5" i="14"/>
  <c r="AF7" i="14" s="1"/>
  <c r="C8" i="14"/>
  <c r="AI4" i="14"/>
  <c r="AE8" i="14" s="1"/>
  <c r="D8" i="14"/>
  <c r="AI5" i="14"/>
  <c r="AF8" i="14" s="1"/>
  <c r="AJ5" i="14"/>
  <c r="AF9" i="14" s="1"/>
  <c r="AJ4" i="14"/>
  <c r="AE9" i="14" s="1"/>
  <c r="U9" i="2"/>
  <c r="V8" i="2" s="1"/>
  <c r="V7" i="2"/>
  <c r="C12" i="14" l="1"/>
  <c r="D12" i="14"/>
  <c r="Q10" i="14"/>
  <c r="AK4" i="14"/>
  <c r="AE10" i="14" s="1"/>
  <c r="T10" i="14"/>
  <c r="X10" i="14" s="1"/>
  <c r="W12" i="14" s="1"/>
  <c r="AK7" i="14"/>
  <c r="AH10" i="14" s="1"/>
  <c r="X7" i="14"/>
  <c r="T12" i="14" s="1"/>
  <c r="AG4" i="14"/>
  <c r="AE6" i="14" s="1"/>
  <c r="J7" i="14"/>
  <c r="J8" i="14"/>
  <c r="J6" i="14"/>
  <c r="Q6" i="14"/>
  <c r="U10" i="2"/>
  <c r="V9" i="2" s="1"/>
  <c r="Q14" i="14" l="1"/>
  <c r="U11" i="2"/>
  <c r="U12" i="2" l="1"/>
  <c r="V11" i="2" s="1"/>
  <c r="V10" i="2"/>
  <c r="U13" i="2" l="1"/>
  <c r="V12" i="2" s="1"/>
  <c r="U14" i="2" l="1"/>
  <c r="V13" i="2"/>
  <c r="U15" i="2" l="1"/>
  <c r="V14" i="2" s="1"/>
  <c r="U16" i="2" l="1"/>
  <c r="V15" i="2" s="1"/>
  <c r="U17" i="2" l="1"/>
  <c r="V16" i="2" s="1"/>
  <c r="U18" i="2" l="1"/>
  <c r="V17" i="2" s="1"/>
  <c r="U19" i="2" l="1"/>
  <c r="V18" i="2" s="1"/>
  <c r="U20" i="2" l="1"/>
  <c r="V19" i="2" s="1"/>
  <c r="U21" i="2" l="1"/>
  <c r="V20" i="2" s="1"/>
  <c r="U22" i="2" l="1"/>
  <c r="V21" i="2" s="1"/>
  <c r="U23" i="2" l="1"/>
  <c r="V22" i="2" s="1"/>
  <c r="U24" i="2" l="1"/>
  <c r="V23" i="2" s="1"/>
  <c r="U25" i="2" l="1"/>
  <c r="U26" i="2" l="1"/>
  <c r="V25" i="2" s="1"/>
  <c r="V24" i="2"/>
  <c r="U27" i="2" l="1"/>
  <c r="V26" i="2" s="1"/>
  <c r="U28" i="2" l="1"/>
  <c r="U29" i="2" l="1"/>
  <c r="V28" i="2" s="1"/>
  <c r="V27" i="2"/>
  <c r="U30" i="2" l="1"/>
  <c r="U31" i="2" l="1"/>
  <c r="V30" i="2" s="1"/>
  <c r="V29" i="2"/>
  <c r="U32" i="2" l="1"/>
  <c r="U33" i="2" l="1"/>
  <c r="V32" i="2"/>
  <c r="V31" i="2"/>
  <c r="U34" i="2" l="1"/>
  <c r="U35" i="2" l="1"/>
  <c r="V33" i="2"/>
  <c r="U36" i="2" l="1"/>
  <c r="V35" i="2"/>
  <c r="V34" i="2"/>
  <c r="U37" i="2" l="1"/>
  <c r="V36" i="2"/>
  <c r="U38" i="2" l="1"/>
  <c r="U39" i="2" l="1"/>
  <c r="V37" i="2"/>
  <c r="U40" i="2" l="1"/>
  <c r="V38" i="2"/>
  <c r="U41" i="2" l="1"/>
  <c r="V41" i="2" s="1"/>
  <c r="V39" i="2"/>
  <c r="V40" i="2" l="1"/>
  <c r="V43" i="2" s="1"/>
  <c r="C14" i="14" l="1"/>
</calcChain>
</file>

<file path=xl/sharedStrings.xml><?xml version="1.0" encoding="utf-8"?>
<sst xmlns="http://schemas.openxmlformats.org/spreadsheetml/2006/main" count="1201" uniqueCount="336">
  <si>
    <t>Boeing 767-300</t>
  </si>
  <si>
    <t>Airbus A330-900</t>
  </si>
  <si>
    <t>Sukhoi Superjet 100</t>
  </si>
  <si>
    <t>GE C7-5A2</t>
  </si>
  <si>
    <t>Saab 340</t>
  </si>
  <si>
    <t>PW 125B</t>
  </si>
  <si>
    <t>Fokker 50</t>
  </si>
  <si>
    <t>Fokker 70</t>
  </si>
  <si>
    <t>RR Tay 650</t>
  </si>
  <si>
    <t>Fokker 100</t>
  </si>
  <si>
    <t>AE3007 A1</t>
  </si>
  <si>
    <t>Embraer ERJ-145</t>
  </si>
  <si>
    <t>Embraer ERJ-140</t>
  </si>
  <si>
    <t>Embraer ERJ-135</t>
  </si>
  <si>
    <t>PW118A</t>
  </si>
  <si>
    <t>Embraer EMB-120 Brasilia</t>
  </si>
  <si>
    <t>PW1921G</t>
  </si>
  <si>
    <t>Embraer E195-E2</t>
  </si>
  <si>
    <t>CF34-10E7</t>
  </si>
  <si>
    <t>Embraer E195</t>
  </si>
  <si>
    <t>PW1919G</t>
  </si>
  <si>
    <t>Embraer E190-E2</t>
  </si>
  <si>
    <t>CF34-10E5A</t>
  </si>
  <si>
    <t>Embraer E190</t>
  </si>
  <si>
    <t>CF34-8E5A1</t>
  </si>
  <si>
    <t>Embraer E175</t>
  </si>
  <si>
    <t>Embraer E170</t>
  </si>
  <si>
    <t>TPE331-10</t>
  </si>
  <si>
    <t>Dornier 228</t>
  </si>
  <si>
    <t>PT6A-34</t>
  </si>
  <si>
    <t xml:space="preserve">De Havilland Canada Twin Otter </t>
  </si>
  <si>
    <t>PW150A</t>
  </si>
  <si>
    <t>De Havilland Canada Dash 8 Q400</t>
  </si>
  <si>
    <t>PW 120A</t>
  </si>
  <si>
    <t>De Havilland Canada Dash 8 Q100</t>
  </si>
  <si>
    <t>Bombardier CRJ1000</t>
  </si>
  <si>
    <t>CF34-8C5</t>
  </si>
  <si>
    <t>Bombardier CRJ900</t>
  </si>
  <si>
    <t>CF34-8C1</t>
  </si>
  <si>
    <t>Bombardier CRJ700</t>
  </si>
  <si>
    <t>GE CF34-3A1</t>
  </si>
  <si>
    <r>
      <t>Bombardier CRJ</t>
    </r>
    <r>
      <rPr>
        <b/>
        <sz val="11"/>
        <color theme="1"/>
        <rFont val="Calibri"/>
        <family val="2"/>
        <scheme val="minor"/>
      </rPr>
      <t>200</t>
    </r>
  </si>
  <si>
    <r>
      <t xml:space="preserve">Bombardier </t>
    </r>
    <r>
      <rPr>
        <b/>
        <sz val="11"/>
        <color theme="1"/>
        <rFont val="Calibri"/>
        <family val="2"/>
        <scheme val="minor"/>
      </rPr>
      <t>CRJ100</t>
    </r>
  </si>
  <si>
    <t>PW 123</t>
  </si>
  <si>
    <t xml:space="preserve">De Havilland Canada Dash 8 Q300 </t>
  </si>
  <si>
    <t xml:space="preserve">De Havilland Canada Dash 8 Q200 </t>
  </si>
  <si>
    <t>Boeing MD-90</t>
  </si>
  <si>
    <t>JT8D-209</t>
  </si>
  <si>
    <t>Boeing MD-80</t>
  </si>
  <si>
    <t>CF6-80C2D1F</t>
  </si>
  <si>
    <t>Boeing MD-11</t>
  </si>
  <si>
    <t>Boeing 787-10</t>
  </si>
  <si>
    <t>general electric</t>
  </si>
  <si>
    <t>Boeing 787-9</t>
  </si>
  <si>
    <t>Boeing 787-8</t>
  </si>
  <si>
    <t>GE90115B1</t>
  </si>
  <si>
    <t>Boeing 777-300ER</t>
  </si>
  <si>
    <t>Boeing 777-300</t>
  </si>
  <si>
    <t>Boeing 777-200LR</t>
  </si>
  <si>
    <t>GE 90-B5</t>
  </si>
  <si>
    <t>Boeing 777-200ER</t>
  </si>
  <si>
    <t>Boeing 777-200</t>
  </si>
  <si>
    <t>CF6-80C2-B8</t>
  </si>
  <si>
    <t>Boeing 767-400ER</t>
  </si>
  <si>
    <t>CF6-80C2-B2</t>
  </si>
  <si>
    <t>Boeing 767-300ER</t>
  </si>
  <si>
    <t>Boeing 757-300</t>
  </si>
  <si>
    <t>RB211-535C</t>
  </si>
  <si>
    <t>Boeing 757-200</t>
  </si>
  <si>
    <t>G</t>
  </si>
  <si>
    <t>GE nx2B</t>
  </si>
  <si>
    <t>Boeing 747-8</t>
  </si>
  <si>
    <t>F</t>
  </si>
  <si>
    <t>CF6-80C2B1F</t>
  </si>
  <si>
    <t>Boeing 747-400</t>
  </si>
  <si>
    <t>E</t>
  </si>
  <si>
    <t>CFM56-7B series</t>
  </si>
  <si>
    <t>Boeing 737-900</t>
  </si>
  <si>
    <t>D</t>
  </si>
  <si>
    <t>Boeing 737-800</t>
  </si>
  <si>
    <t>C</t>
  </si>
  <si>
    <t>Boeing 737-700</t>
  </si>
  <si>
    <t>B</t>
  </si>
  <si>
    <t>CFM56-3B-1</t>
  </si>
  <si>
    <t>Boeing 737-500</t>
  </si>
  <si>
    <t>A</t>
  </si>
  <si>
    <t>CFM56-3B-2</t>
  </si>
  <si>
    <t>Boeing 737-400</t>
  </si>
  <si>
    <t>max</t>
  </si>
  <si>
    <t>min</t>
  </si>
  <si>
    <t>Rating</t>
  </si>
  <si>
    <t>Boeing 737-300</t>
  </si>
  <si>
    <t>Overall Rating</t>
  </si>
  <si>
    <t>Normalized 0-1</t>
  </si>
  <si>
    <t>Range</t>
  </si>
  <si>
    <t>Boeing 737 MAX 9</t>
  </si>
  <si>
    <t>Boeing 737 MAX 8</t>
  </si>
  <si>
    <t>BR715</t>
  </si>
  <si>
    <t>Boeing 717-200</t>
  </si>
  <si>
    <t>PT6A-67</t>
  </si>
  <si>
    <t>Beechcraft 1900D</t>
  </si>
  <si>
    <t>PW 127</t>
  </si>
  <si>
    <t>ATR 72</t>
  </si>
  <si>
    <t>PW127E/M</t>
  </si>
  <si>
    <t>ATR 42</t>
  </si>
  <si>
    <t>TRENT 900</t>
  </si>
  <si>
    <t>Airbus A380-800</t>
  </si>
  <si>
    <t>Airbus A350-1000</t>
  </si>
  <si>
    <t>Airbus A350-900ULR</t>
  </si>
  <si>
    <t>Airbus A350-900</t>
  </si>
  <si>
    <t>RB 211 TRENT 556</t>
  </si>
  <si>
    <t>Airbus A340-600</t>
  </si>
  <si>
    <t>CFM56-5C2</t>
  </si>
  <si>
    <t>Airbus A340-300</t>
  </si>
  <si>
    <t>GE CF6-80E1</t>
  </si>
  <si>
    <t>Airbus A330-300</t>
  </si>
  <si>
    <t>Airbus A330-200</t>
  </si>
  <si>
    <t>Airbus A321neo</t>
  </si>
  <si>
    <t>Airbus A321</t>
  </si>
  <si>
    <t>Airbus A320neo</t>
  </si>
  <si>
    <t>Airbus A320</t>
  </si>
  <si>
    <t>Airbus A319</t>
  </si>
  <si>
    <t>Airbus A318</t>
  </si>
  <si>
    <t>CF6-80C2</t>
  </si>
  <si>
    <t>Airbus A310</t>
  </si>
  <si>
    <t>CF6-50C</t>
  </si>
  <si>
    <t>Airbus A300</t>
  </si>
  <si>
    <t>PW1524G</t>
  </si>
  <si>
    <t>Airbus A220-300</t>
  </si>
  <si>
    <t>Airbus A220-100</t>
  </si>
  <si>
    <t>Index</t>
  </si>
  <si>
    <t>Sorted Minimum to Maximum</t>
  </si>
  <si>
    <t>Amount Per Rating</t>
  </si>
  <si>
    <t>Scale Range</t>
  </si>
  <si>
    <t>Amount A/C in Interval</t>
  </si>
  <si>
    <t>Interval</t>
  </si>
  <si>
    <t>Minimum Value</t>
  </si>
  <si>
    <t>Maximum Value</t>
  </si>
  <si>
    <t>Total Number of Useful Data</t>
  </si>
  <si>
    <t>Valid Values</t>
  </si>
  <si>
    <t>OEM Based Fuel Consumption  (kg/km/seat)</t>
  </si>
  <si>
    <t>Fuel Consumption (kg/km)</t>
  </si>
  <si>
    <r>
      <t>m</t>
    </r>
    <r>
      <rPr>
        <b/>
        <i/>
        <vertAlign val="subscript"/>
        <sz val="12"/>
        <color theme="1"/>
        <rFont val="Calibri"/>
        <family val="2"/>
        <scheme val="minor"/>
      </rPr>
      <t>2</t>
    </r>
    <r>
      <rPr>
        <b/>
        <i/>
        <sz val="12"/>
        <color theme="1"/>
        <rFont val="Calibri"/>
        <family val="2"/>
        <scheme val="minor"/>
      </rPr>
      <t xml:space="preserve"> (kg)</t>
    </r>
  </si>
  <si>
    <r>
      <t>R</t>
    </r>
    <r>
      <rPr>
        <b/>
        <i/>
        <vertAlign val="subscript"/>
        <sz val="12"/>
        <color theme="1"/>
        <rFont val="Calibri"/>
        <family val="2"/>
        <scheme val="minor"/>
      </rPr>
      <t>2</t>
    </r>
    <r>
      <rPr>
        <b/>
        <i/>
        <sz val="12"/>
        <color theme="1"/>
        <rFont val="Calibri"/>
        <family val="2"/>
        <scheme val="minor"/>
      </rPr>
      <t xml:space="preserve"> (km)</t>
    </r>
  </si>
  <si>
    <r>
      <t>m</t>
    </r>
    <r>
      <rPr>
        <b/>
        <i/>
        <vertAlign val="subscript"/>
        <sz val="12"/>
        <color theme="1"/>
        <rFont val="Calibri"/>
        <family val="2"/>
        <scheme val="minor"/>
      </rPr>
      <t>1</t>
    </r>
    <r>
      <rPr>
        <b/>
        <i/>
        <sz val="12"/>
        <color theme="1"/>
        <rFont val="Calibri"/>
        <family val="2"/>
        <scheme val="minor"/>
      </rPr>
      <t xml:space="preserve"> (kg)</t>
    </r>
  </si>
  <si>
    <r>
      <t>R</t>
    </r>
    <r>
      <rPr>
        <b/>
        <i/>
        <vertAlign val="subscript"/>
        <sz val="12"/>
        <color theme="1"/>
        <rFont val="Calibri"/>
        <family val="2"/>
        <scheme val="minor"/>
      </rPr>
      <t>1</t>
    </r>
    <r>
      <rPr>
        <b/>
        <i/>
        <sz val="12"/>
        <color theme="1"/>
        <rFont val="Calibri"/>
        <family val="2"/>
        <scheme val="minor"/>
      </rPr>
      <t xml:space="preserve"> (km)</t>
    </r>
  </si>
  <si>
    <t>Max Fuel Mass (kg)</t>
  </si>
  <si>
    <t>MZFW (kg)</t>
  </si>
  <si>
    <t>MTOW (kg)</t>
  </si>
  <si>
    <r>
      <t>Typical Seating Calculated when Layout Unkown (=0.6696n</t>
    </r>
    <r>
      <rPr>
        <b/>
        <i/>
        <vertAlign val="subscript"/>
        <sz val="12"/>
        <color theme="1"/>
        <rFont val="Calibri"/>
        <family val="2"/>
        <scheme val="minor"/>
      </rPr>
      <t>max</t>
    </r>
    <r>
      <rPr>
        <b/>
        <i/>
        <sz val="12"/>
        <color theme="1"/>
        <rFont val="Calibri"/>
        <family val="2"/>
        <scheme val="minor"/>
      </rPr>
      <t>+22.858) (-)</t>
    </r>
  </si>
  <si>
    <t>Typical/Max (-)</t>
  </si>
  <si>
    <t>Typical Seating (-)</t>
  </si>
  <si>
    <t>Maximum Number of Pax Single Class (-)</t>
  </si>
  <si>
    <t xml:space="preserve">Engine </t>
  </si>
  <si>
    <t>Aircraft Type</t>
  </si>
  <si>
    <t>Data from airport planning documents</t>
  </si>
  <si>
    <t>Fuel Performance Rating</t>
  </si>
  <si>
    <t>Boeing 737 Max 8</t>
  </si>
  <si>
    <t>Bombardier CRJ200</t>
  </si>
  <si>
    <t>Bombardier CRJ100</t>
  </si>
  <si>
    <t>Total passenger A/C</t>
  </si>
  <si>
    <t>Aircraft Typ</t>
  </si>
  <si>
    <t>Fuel Consumption SAR (kg/km)</t>
  </si>
  <si>
    <t>Fuel Consumption Extended Payload  (kg/km)</t>
  </si>
  <si>
    <t>no data</t>
  </si>
  <si>
    <t>A330-800:</t>
  </si>
  <si>
    <t>A330-900:</t>
  </si>
  <si>
    <t>Length [m]:</t>
  </si>
  <si>
    <t xml:space="preserve">Diameter of fuselage [m]: </t>
  </si>
  <si>
    <t xml:space="preserve">Typcial Seating: </t>
  </si>
  <si>
    <t>A330-800</t>
  </si>
  <si>
    <t>A330-900</t>
  </si>
  <si>
    <t>General Information</t>
  </si>
  <si>
    <t>MV (251000 kg MTOW)</t>
  </si>
  <si>
    <t>Metric Value (kg/km)</t>
  </si>
  <si>
    <t>1/SAR Calculation (kg/km)</t>
  </si>
  <si>
    <t>k_E</t>
  </si>
  <si>
    <t>S_wet/S_w</t>
  </si>
  <si>
    <t>Bypass</t>
  </si>
  <si>
    <t>E_max</t>
  </si>
  <si>
    <t>C_cruise (kg/sN)</t>
  </si>
  <si>
    <t>m (kg)</t>
  </si>
  <si>
    <t>Wingspan (m)</t>
  </si>
  <si>
    <t>V (Mach)</t>
  </si>
  <si>
    <t>V (m/s)</t>
  </si>
  <si>
    <t>a (m/s)</t>
  </si>
  <si>
    <t>PW1521G-3</t>
  </si>
  <si>
    <t>LEAP-1A24</t>
  </si>
  <si>
    <t>LEAP-1A30</t>
  </si>
  <si>
    <t>Trent XWB-75</t>
  </si>
  <si>
    <t>LEAP-1B25</t>
  </si>
  <si>
    <t>LEAP-1B27</t>
  </si>
  <si>
    <t>SaM146-1S17</t>
  </si>
  <si>
    <t>GE90-115B</t>
  </si>
  <si>
    <t>CFM56-5B5/P</t>
  </si>
  <si>
    <t>CFM56-5A3</t>
  </si>
  <si>
    <t>CFM56-5B1/2P</t>
  </si>
  <si>
    <t>CF6-80E1A2</t>
  </si>
  <si>
    <t>GP7270</t>
  </si>
  <si>
    <t>BR700-715A1-30</t>
  </si>
  <si>
    <t>CFM56-3B1</t>
  </si>
  <si>
    <t>CFM56-7B20</t>
  </si>
  <si>
    <t>CFM56-7B24</t>
  </si>
  <si>
    <t>PW2037</t>
  </si>
  <si>
    <t>CF6-80A</t>
  </si>
  <si>
    <t>GE90-76B</t>
  </si>
  <si>
    <t>GEnx-1B64/P1G01</t>
  </si>
  <si>
    <t>GEnx-1B67/P2G01</t>
  </si>
  <si>
    <t>CF34-3A1</t>
  </si>
  <si>
    <t>CF34-8E5</t>
  </si>
  <si>
    <t>CF34-10E2A1</t>
  </si>
  <si>
    <t>AE3007 A</t>
  </si>
  <si>
    <t>TAY 620-15</t>
  </si>
  <si>
    <t>Wing area (m^2)</t>
  </si>
  <si>
    <t>R1 (km)</t>
  </si>
  <si>
    <t>R1 (NM)</t>
  </si>
  <si>
    <t>SAR (m/kg)</t>
  </si>
  <si>
    <t>1/SAR (kg/km)</t>
  </si>
  <si>
    <t>CT7-9A/9B</t>
  </si>
  <si>
    <t>PW118</t>
  </si>
  <si>
    <t>PW120</t>
  </si>
  <si>
    <t>PW124</t>
  </si>
  <si>
    <t>PT6A-65B</t>
  </si>
  <si>
    <t>PW120A</t>
  </si>
  <si>
    <t>PW123</t>
  </si>
  <si>
    <t>Fuel consumption BADA (kg/km)</t>
  </si>
  <si>
    <t>N/A</t>
  </si>
  <si>
    <t>CRUISE related to FL 360; NOM (kg/min)</t>
  </si>
  <si>
    <t>FL 320</t>
  </si>
  <si>
    <t>MAPE</t>
  </si>
  <si>
    <t>Fuel Consumption (Harmonic Range)  (kg/km)</t>
  </si>
  <si>
    <t>m1 (kg)</t>
  </si>
  <si>
    <t>R2 (km)</t>
  </si>
  <si>
    <t>m2 (kg)</t>
  </si>
  <si>
    <t>X</t>
  </si>
  <si>
    <t>Coefficient of determination
MAPE</t>
  </si>
  <si>
    <t>Coefficient of determination</t>
  </si>
  <si>
    <t>Average</t>
  </si>
  <si>
    <t>Standard deviation</t>
  </si>
  <si>
    <t>Radius [m]:</t>
  </si>
  <si>
    <t>High [m]:</t>
  </si>
  <si>
    <t>Axis [m]:</t>
  </si>
  <si>
    <t xml:space="preserve">Length Cabin [m]: </t>
  </si>
  <si>
    <t xml:space="preserve">RGF Calculation </t>
  </si>
  <si>
    <t>Source</t>
  </si>
  <si>
    <t>https://web.archive.org/web/20230000000000*/http://commercialaircraft.bombardier.com/content/dam/Websites/bombardiercom/supporting-documents/BA/DDBC0128_Cseries-CS300_EPDbrochure_E_V27web.pdf</t>
  </si>
  <si>
    <t>https://theflyingengineer.com/aircraft/proud-to-fly-a-turboprop-q400-vs-atr72/</t>
  </si>
  <si>
    <t>https://leehamnews.com/wp-content/uploads/2015/04/737-SFC-shortfall-table.png</t>
  </si>
  <si>
    <t>https://web.archive.org/web/20140104144441/http://www.boeing.com/assets/pdf/commercial/startup/pdf/777_perf.pdf</t>
  </si>
  <si>
    <t>https://web.archive.org/web/20120219022048/http://www.aspireaviation.com/2010/12/08/boeing-777-way-much-better-than-a330/</t>
  </si>
  <si>
    <t>https://web.archive.org/web/20120526045019/http://team.aero/files/aviation_data/owners_n_operators_guide_crj.pdf</t>
  </si>
  <si>
    <t>https://www.flyradius.com/bombardier-crj1000/fuel-burn-fuel-consumption</t>
  </si>
  <si>
    <t>https://leehamnews.com/2014/01/13/embraer-continues-and-refines-its-strategy-at-the-low-end-of-100-149-seat-sector/</t>
  </si>
  <si>
    <t>https://web.archive.org/web/20180708115455/http://energy-leader.net/SSJ-100超级100/20150708-03%20Superjet100-%20E190%20A319%20Comparison超级100%20同类飞机对比.ppt</t>
  </si>
  <si>
    <t>https://web.archive.org/web/20120917104630/http://www.aircraft-commerce.com/sample_articles/sample_articles/fleet_planning_2_sample.pdf</t>
  </si>
  <si>
    <t>https://web.archive.org/web/20160206082857/http://airwaysnews.com/blog/2016/02/05/a320neo-vs-737-max-pt-ii/</t>
  </si>
  <si>
    <t>https://web.archive.org/web/20141220014306/http://www.aspireaviation.com/2010/12/08/boeing-777-way-much-better-than-a330/</t>
  </si>
  <si>
    <t xml:space="preserve">https://web.archive.org/web/20141220014306/http://www.aspireaviation.com/2010/12/08/boeing-777-way-much-better-than-a330/
</t>
  </si>
  <si>
    <t>https://web.archive.org/web/20160604085315/http://www.aspireaviation.com/2015/06/08/airbus-a350-is-the-xtra-making-the-difference/</t>
  </si>
  <si>
    <t>https://web.archive.org/web/20160918080531/https://airinsight.com/2016/07/04/updating-a380-might-engine-improvement-sharklets-provide/</t>
  </si>
  <si>
    <t>http://www.srs.aero/wordpress/wp-content/uploads/2012/02/SRS-TSD-007-Rev-0-1900D-Fuel-Emissions-Cost-Savings-Operational-Analysis.pdf</t>
  </si>
  <si>
    <t>No reference</t>
  </si>
  <si>
    <t>https://web.archive.org/web/20140725005129/http://www.boeing.com/assets/pdf/commercial/startup/pdf/737ng_perf.pdf</t>
  </si>
  <si>
    <t>https://web.archive.org/web/20101231170424/http://www.terrapass.com/images/blogposts/Air_Travel_Emissions_Paper.pdf
https://www.aircraft-commerce.com/sample_article_folder/121_FLTOPS_A.pdf</t>
  </si>
  <si>
    <t>https://www.boeing.com/resources/boeingdotcom/company/about_bca/startup/pdf/historical/757_passenger.pdf</t>
  </si>
  <si>
    <t>https://web.archive.org/web/20150415224410/http://www.boeing.com/assets/pdf/commercial/startup/pdf/767_perf.pdf</t>
  </si>
  <si>
    <t>https://leehamnews.com/wp-content/uploads/2015/03/Article-1-main-table2.png</t>
  </si>
  <si>
    <t>https://web.archive.org/web/20151117045118/http://airwaysnews.com/blog/2014/11/25/analysis-delta-order-for-a350-a330neo-hinged-on-pricing-availability/
https://web.archive.org/web/20160604085315/http://www.aspireaviation.com/2015/06/08/airbus-a350-is-the-xtra-making-the-difference/</t>
  </si>
  <si>
    <t>https://web.archive.org/web/20170822182320/http://team.aero/files/aviation_data/owners_n_operators_guide_crj.pdf</t>
  </si>
  <si>
    <t>https://web.archive.org/web/20120610044652/http://www.team.aero/files/aviation_data/owners_n_operators_guide_e_jets.pdf</t>
  </si>
  <si>
    <t>https://web.archive.org/web/20160305021423/http://airwaysnews.com/galleries/emb-120-brochure-p008_41453.jpg</t>
  </si>
  <si>
    <t>https://web.archive.org/web/20150807041353/http://team.aero/images/aviation_data_insert/owners_n_operators_guide_erj.pdf</t>
  </si>
  <si>
    <t>https://web.archive.org/web/20210323213228/https://www.saabaircraftleasing.com/prod/dataSheets/340A_JAR.pdf</t>
  </si>
  <si>
    <t>Assumption: Seats</t>
  </si>
  <si>
    <t>Assumption: Distance [km]</t>
  </si>
  <si>
    <t>Fuel Consumption (Gallons)</t>
  </si>
  <si>
    <t>Fuel Consumption (l)</t>
  </si>
  <si>
    <t>Assumption: Distance [NM]</t>
  </si>
  <si>
    <t>Fuel Consumption (kg/seat)</t>
  </si>
  <si>
    <t>World Airliner Census 2020</t>
  </si>
  <si>
    <t>https://www.flightglobal.com/download?ac=73559</t>
  </si>
  <si>
    <t>While many aircraft were sent to storage during Corona, a 100% recovery or reactivation is assumed. It is not possible to quantify exactly how many aircraft will be retired from the fleets.</t>
  </si>
  <si>
    <r>
      <t xml:space="preserve">Due to increasing deliveries of certain aircraft types, the following were included: </t>
    </r>
    <r>
      <rPr>
        <b/>
        <sz val="12"/>
        <color theme="1"/>
        <rFont val="Calibri"/>
        <family val="2"/>
        <scheme val="minor"/>
      </rPr>
      <t>Airbus A220-300, Embraer E195-E2, Boeing 737 MAX9, Bombardier CRJ1000</t>
    </r>
  </si>
  <si>
    <r>
      <t xml:space="preserve">The following were therefore not included: </t>
    </r>
    <r>
      <rPr>
        <b/>
        <sz val="12"/>
        <color theme="1"/>
        <rFont val="Calibri"/>
        <family val="2"/>
        <scheme val="minor"/>
      </rPr>
      <t>Fairchild Metro/Merlin, Beechcraft 1900C, Beechcraft B99, BAe Jetstream 31</t>
    </r>
  </si>
  <si>
    <t>Average of Average:</t>
  </si>
  <si>
    <t xml:space="preserve">Coefficient of variation </t>
  </si>
  <si>
    <t>Calculation Method</t>
  </si>
  <si>
    <t>Number</t>
  </si>
  <si>
    <t>Correction factor Method 2 / Method 3 as in Hurtecant Appendix A:</t>
  </si>
  <si>
    <t>Explanation</t>
  </si>
  <si>
    <t>Ranking: Mean absolute percentage error (MAPE)</t>
  </si>
  <si>
    <t>Ranking: Values of the eigenvector of higest eigenvalue</t>
  </si>
  <si>
    <t>Ranking: Average of regression coefficients</t>
  </si>
  <si>
    <t>High values are good!</t>
  </si>
  <si>
    <t>Low values are good!</t>
  </si>
  <si>
    <t>DMS</t>
  </si>
  <si>
    <t>Ranking: Average fuel consumption</t>
  </si>
  <si>
    <t>Fuel Consumption SAR (kg/km/seat)</t>
  </si>
  <si>
    <t>Fuel Consumption, Extended Payload-Range Diagram (kg/km/seat)</t>
  </si>
  <si>
    <t>Fuel Consumption, EEA Master Emission Calculator (kg/km/seat)</t>
  </si>
  <si>
    <t>Fuel Consumption, SAR (kg/km/seat)</t>
  </si>
  <si>
    <t>Fuel Consumption, BADA (kg/km/seat)</t>
  </si>
  <si>
    <t>Fuel Consumption, Handbook Methods (kg/km/seat)</t>
  </si>
  <si>
    <t>Fuel Consumption, Literature Review (kg/km/seat)</t>
  </si>
  <si>
    <t>Fuel Consumption, Bathtub Curve (Harmonic Range) (kg/km/seat)</t>
  </si>
  <si>
    <t>Ranking</t>
  </si>
  <si>
    <t>Fuel Consumption Metric Value (kg/km/seat)</t>
  </si>
  <si>
    <t>Fuel Consumption SAR</t>
  </si>
  <si>
    <t>Fuel Consumption EEA Master Emission Calculator</t>
  </si>
  <si>
    <t>Fuel Consumption Extended Payload</t>
  </si>
  <si>
    <t>Fuel Consumption Flugzeugentwurf Abschätzung</t>
  </si>
  <si>
    <t>Fuel Consumption Literature research</t>
  </si>
  <si>
    <t>Fuel Consumption BADA</t>
  </si>
  <si>
    <t xml:space="preserve"> in Hurtecant: 0,84</t>
  </si>
  <si>
    <t>Fuel Consumption EEA Master Emission Calculator (kg/km/seat)</t>
  </si>
  <si>
    <t>Fuel Consumption BADA (kg/km/seat)</t>
  </si>
  <si>
    <t>Fuel Consumption Literature review (kg/km/seat)</t>
  </si>
  <si>
    <t>Fuel Consumption Extended Payload Range Diagram (kg/km/seat)</t>
  </si>
  <si>
    <t>Fuel Consumption Bathtub Curve (Harmonic Range) (kg/km/seat)</t>
  </si>
  <si>
    <t>MV (242000 kg MTOW)</t>
  </si>
  <si>
    <t xml:space="preserve">MV (242000 kg MTOW) </t>
  </si>
  <si>
    <t>Fuel Consumption Bathtub Curve (Harmonic Range)</t>
  </si>
  <si>
    <t>Ranking: fuel consumption, coefficient of variation</t>
  </si>
  <si>
    <t xml:space="preserve">Ranking: fuel consumption, standard deviation </t>
  </si>
  <si>
    <t>Fuel Consumption EEA Master Emission Calculator (kg)</t>
  </si>
  <si>
    <t>Wide body (W); Narrow body (N); Turboprop (T)</t>
  </si>
  <si>
    <t>T</t>
  </si>
  <si>
    <t>N</t>
  </si>
  <si>
    <t>W</t>
  </si>
  <si>
    <t>https://www.easa.europa.eu/en/domains/environment/easa-aeroplane-co2-emissions-database-0</t>
  </si>
  <si>
    <t>Download MV Data</t>
  </si>
  <si>
    <t>Average Fuel Consumption, SAR (kg/km/seat), Fuel Consumption, Extended Payload-Range Diagram (kg/km/seat), Fuel Consumption, Bathtub Curve (Harmonic Range) (kg/km/seat)</t>
  </si>
  <si>
    <t>A330-900 Analysis</t>
  </si>
  <si>
    <t>Fuel Consumption CO2 MV A330neo</t>
  </si>
  <si>
    <t>Trent 7000</t>
  </si>
  <si>
    <t>Deviation to CO2 MV A330neo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</si>
</sst>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00"/>
    <numFmt numFmtId="165" formatCode="0.0000"/>
    <numFmt numFmtId="166" formatCode="0.00000"/>
    <numFmt numFmtId="167" formatCode="0.000"/>
    <numFmt numFmtId="168" formatCode="0.0"/>
    <numFmt numFmtId="169" formatCode="0.000E+00"/>
    <numFmt numFmtId="170" formatCode="0.0%"/>
  </numFmts>
  <fonts count="18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bscript"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3" fillId="0" borderId="0"/>
    <xf numFmtId="9" fontId="17" fillId="0" borderId="0" applyFont="0" applyFill="0" applyBorder="0" applyAlignment="0" applyProtection="0"/>
  </cellStyleXfs>
  <cellXfs count="172">
    <xf numFmtId="0" fontId="0" fillId="0" borderId="0" xfId="0"/>
    <xf numFmtId="0" fontId="4" fillId="0" borderId="0" xfId="1"/>
    <xf numFmtId="164" fontId="4" fillId="0" borderId="0" xfId="1" applyNumberFormat="1"/>
    <xf numFmtId="165" fontId="4" fillId="0" borderId="1" xfId="1" applyNumberFormat="1" applyBorder="1"/>
    <xf numFmtId="166" fontId="4" fillId="0" borderId="2" xfId="1" applyNumberFormat="1" applyBorder="1"/>
    <xf numFmtId="0" fontId="4" fillId="0" borderId="1" xfId="1" applyBorder="1"/>
    <xf numFmtId="0" fontId="4" fillId="0" borderId="3" xfId="1" applyBorder="1"/>
    <xf numFmtId="0" fontId="4" fillId="0" borderId="2" xfId="1" applyBorder="1"/>
    <xf numFmtId="167" fontId="4" fillId="0" borderId="3" xfId="1" applyNumberFormat="1" applyBorder="1"/>
    <xf numFmtId="0" fontId="4" fillId="2" borderId="2" xfId="1" applyFill="1" applyBorder="1"/>
    <xf numFmtId="1" fontId="4" fillId="0" borderId="0" xfId="1" applyNumberFormat="1"/>
    <xf numFmtId="165" fontId="4" fillId="0" borderId="4" xfId="1" applyNumberFormat="1" applyBorder="1"/>
    <xf numFmtId="165" fontId="4" fillId="0" borderId="5" xfId="1" applyNumberFormat="1" applyBorder="1"/>
    <xf numFmtId="166" fontId="4" fillId="0" borderId="6" xfId="1" applyNumberFormat="1" applyBorder="1"/>
    <xf numFmtId="0" fontId="4" fillId="0" borderId="5" xfId="1" applyBorder="1"/>
    <xf numFmtId="0" fontId="4" fillId="0" borderId="7" xfId="1" applyBorder="1"/>
    <xf numFmtId="0" fontId="4" fillId="0" borderId="6" xfId="1" applyBorder="1"/>
    <xf numFmtId="167" fontId="4" fillId="0" borderId="7" xfId="1" applyNumberFormat="1" applyBorder="1"/>
    <xf numFmtId="0" fontId="4" fillId="2" borderId="6" xfId="1" applyFill="1" applyBorder="1"/>
    <xf numFmtId="165" fontId="4" fillId="0" borderId="0" xfId="1" applyNumberFormat="1"/>
    <xf numFmtId="0" fontId="5" fillId="2" borderId="6" xfId="1" applyFont="1" applyFill="1" applyBorder="1"/>
    <xf numFmtId="165" fontId="4" fillId="0" borderId="8" xfId="1" applyNumberFormat="1" applyBorder="1"/>
    <xf numFmtId="164" fontId="4" fillId="0" borderId="7" xfId="1" applyNumberFormat="1" applyBorder="1"/>
    <xf numFmtId="1" fontId="4" fillId="0" borderId="5" xfId="1" applyNumberFormat="1" applyBorder="1"/>
    <xf numFmtId="1" fontId="4" fillId="0" borderId="7" xfId="1" applyNumberFormat="1" applyBorder="1"/>
    <xf numFmtId="0" fontId="4" fillId="0" borderId="9" xfId="1" applyBorder="1"/>
    <xf numFmtId="165" fontId="4" fillId="3" borderId="10" xfId="1" applyNumberFormat="1" applyFill="1" applyBorder="1"/>
    <xf numFmtId="166" fontId="4" fillId="3" borderId="11" xfId="1" applyNumberFormat="1" applyFill="1" applyBorder="1"/>
    <xf numFmtId="165" fontId="4" fillId="3" borderId="11" xfId="1" applyNumberFormat="1" applyFill="1" applyBorder="1"/>
    <xf numFmtId="0" fontId="2" fillId="3" borderId="11" xfId="1" applyFont="1" applyFill="1" applyBorder="1" applyAlignment="1">
      <alignment horizontal="center"/>
    </xf>
    <xf numFmtId="166" fontId="4" fillId="3" borderId="12" xfId="1" applyNumberFormat="1" applyFill="1" applyBorder="1"/>
    <xf numFmtId="165" fontId="4" fillId="3" borderId="13" xfId="1" applyNumberFormat="1" applyFill="1" applyBorder="1"/>
    <xf numFmtId="165" fontId="4" fillId="3" borderId="12" xfId="1" applyNumberFormat="1" applyFill="1" applyBorder="1"/>
    <xf numFmtId="0" fontId="2" fillId="3" borderId="13" xfId="1" applyFont="1" applyFill="1" applyBorder="1" applyAlignment="1">
      <alignment horizontal="center"/>
    </xf>
    <xf numFmtId="166" fontId="4" fillId="3" borderId="13" xfId="1" applyNumberFormat="1" applyFill="1" applyBorder="1"/>
    <xf numFmtId="0" fontId="4" fillId="3" borderId="13" xfId="1" applyFill="1" applyBorder="1"/>
    <xf numFmtId="0" fontId="4" fillId="3" borderId="14" xfId="1" applyFill="1" applyBorder="1" applyAlignment="1">
      <alignment horizontal="center"/>
    </xf>
    <xf numFmtId="0" fontId="4" fillId="3" borderId="15" xfId="1" applyFill="1" applyBorder="1" applyAlignment="1">
      <alignment horizontal="center"/>
    </xf>
    <xf numFmtId="0" fontId="2" fillId="3" borderId="15" xfId="1" applyFont="1" applyFill="1" applyBorder="1" applyAlignment="1">
      <alignment horizontal="center"/>
    </xf>
    <xf numFmtId="0" fontId="3" fillId="4" borderId="16" xfId="1" applyFont="1" applyFill="1" applyBorder="1"/>
    <xf numFmtId="0" fontId="1" fillId="4" borderId="17" xfId="1" applyFont="1" applyFill="1" applyBorder="1"/>
    <xf numFmtId="0" fontId="3" fillId="5" borderId="16" xfId="1" applyFont="1" applyFill="1" applyBorder="1"/>
    <xf numFmtId="0" fontId="1" fillId="5" borderId="17" xfId="1" applyFont="1" applyFill="1" applyBorder="1"/>
    <xf numFmtId="0" fontId="4" fillId="3" borderId="18" xfId="1" applyFill="1" applyBorder="1"/>
    <xf numFmtId="168" fontId="4" fillId="0" borderId="0" xfId="1" applyNumberFormat="1"/>
    <xf numFmtId="0" fontId="4" fillId="0" borderId="19" xfId="1" applyBorder="1"/>
    <xf numFmtId="164" fontId="4" fillId="0" borderId="19" xfId="1" applyNumberFormat="1" applyBorder="1"/>
    <xf numFmtId="1" fontId="4" fillId="0" borderId="20" xfId="1" applyNumberFormat="1" applyBorder="1"/>
    <xf numFmtId="1" fontId="4" fillId="0" borderId="19" xfId="1" applyNumberFormat="1" applyBorder="1"/>
    <xf numFmtId="0" fontId="4" fillId="0" borderId="20" xfId="1" applyBorder="1"/>
    <xf numFmtId="165" fontId="4" fillId="0" borderId="19" xfId="1" applyNumberFormat="1" applyBorder="1"/>
    <xf numFmtId="0" fontId="4" fillId="0" borderId="21" xfId="1" applyBorder="1"/>
    <xf numFmtId="0" fontId="4" fillId="0" borderId="22" xfId="1" applyBorder="1"/>
    <xf numFmtId="0" fontId="4" fillId="2" borderId="22" xfId="1" applyFill="1" applyBorder="1"/>
    <xf numFmtId="0" fontId="4" fillId="0" borderId="0" xfId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7" fillId="3" borderId="23" xfId="1" applyFont="1" applyFill="1" applyBorder="1" applyAlignment="1">
      <alignment horizontal="center" vertical="center" wrapText="1"/>
    </xf>
    <xf numFmtId="0" fontId="7" fillId="3" borderId="24" xfId="1" applyFont="1" applyFill="1" applyBorder="1" applyAlignment="1">
      <alignment horizontal="center" vertical="center" wrapText="1"/>
    </xf>
    <xf numFmtId="0" fontId="7" fillId="3" borderId="25" xfId="1" applyFont="1" applyFill="1" applyBorder="1" applyAlignment="1">
      <alignment horizontal="center" vertical="center" wrapText="1"/>
    </xf>
    <xf numFmtId="0" fontId="7" fillId="3" borderId="26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>
      <alignment horizontal="center" vertical="center" wrapText="1"/>
    </xf>
    <xf numFmtId="0" fontId="7" fillId="3" borderId="28" xfId="1" applyFont="1" applyFill="1" applyBorder="1" applyAlignment="1">
      <alignment horizontal="center" vertical="center" wrapText="1"/>
    </xf>
    <xf numFmtId="0" fontId="4" fillId="0" borderId="0" xfId="1" applyAlignment="1">
      <alignment horizontal="center"/>
    </xf>
    <xf numFmtId="0" fontId="9" fillId="0" borderId="0" xfId="1" applyFont="1"/>
    <xf numFmtId="0" fontId="10" fillId="0" borderId="0" xfId="1" applyFont="1"/>
    <xf numFmtId="0" fontId="10" fillId="7" borderId="0" xfId="1" applyFont="1" applyFill="1"/>
    <xf numFmtId="0" fontId="11" fillId="8" borderId="0" xfId="1" applyFont="1" applyFill="1"/>
    <xf numFmtId="0" fontId="0" fillId="0" borderId="5" xfId="0" applyBorder="1"/>
    <xf numFmtId="0" fontId="0" fillId="3" borderId="29" xfId="0" applyFill="1" applyBorder="1"/>
    <xf numFmtId="0" fontId="0" fillId="0" borderId="12" xfId="0" applyBorder="1"/>
    <xf numFmtId="0" fontId="2" fillId="0" borderId="0" xfId="0" applyFont="1"/>
    <xf numFmtId="0" fontId="0" fillId="9" borderId="29" xfId="0" applyFill="1" applyBorder="1"/>
    <xf numFmtId="0" fontId="0" fillId="9" borderId="0" xfId="0" applyFill="1"/>
    <xf numFmtId="0" fontId="14" fillId="11" borderId="7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7" fillId="3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4" fillId="11" borderId="0" xfId="0" applyFont="1" applyFill="1" applyAlignment="1">
      <alignment vertical="center" wrapText="1"/>
    </xf>
    <xf numFmtId="0" fontId="0" fillId="0" borderId="13" xfId="0" applyBorder="1"/>
    <xf numFmtId="0" fontId="0" fillId="0" borderId="33" xfId="0" applyBorder="1"/>
    <xf numFmtId="0" fontId="0" fillId="0" borderId="31" xfId="0" applyBorder="1"/>
    <xf numFmtId="0" fontId="0" fillId="0" borderId="34" xfId="0" applyBorder="1"/>
    <xf numFmtId="0" fontId="2" fillId="0" borderId="34" xfId="0" applyFont="1" applyBorder="1"/>
    <xf numFmtId="0" fontId="0" fillId="0" borderId="10" xfId="0" applyBorder="1"/>
    <xf numFmtId="0" fontId="0" fillId="0" borderId="35" xfId="0" applyBorder="1"/>
    <xf numFmtId="0" fontId="0" fillId="0" borderId="18" xfId="0" applyBorder="1"/>
    <xf numFmtId="0" fontId="2" fillId="0" borderId="12" xfId="0" applyFont="1" applyBorder="1"/>
    <xf numFmtId="0" fontId="2" fillId="0" borderId="35" xfId="0" applyFont="1" applyBorder="1"/>
    <xf numFmtId="0" fontId="2" fillId="0" borderId="10" xfId="0" applyFont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" fillId="0" borderId="11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7" fontId="0" fillId="0" borderId="37" xfId="0" applyNumberFormat="1" applyBorder="1"/>
    <xf numFmtId="167" fontId="0" fillId="0" borderId="12" xfId="0" applyNumberFormat="1" applyBorder="1"/>
    <xf numFmtId="2" fontId="0" fillId="0" borderId="38" xfId="0" applyNumberFormat="1" applyBorder="1"/>
    <xf numFmtId="2" fontId="0" fillId="0" borderId="10" xfId="0" applyNumberFormat="1" applyBorder="1"/>
    <xf numFmtId="0" fontId="0" fillId="0" borderId="39" xfId="0" applyBorder="1"/>
    <xf numFmtId="0" fontId="0" fillId="0" borderId="32" xfId="0" applyBorder="1"/>
    <xf numFmtId="0" fontId="0" fillId="0" borderId="20" xfId="0" applyBorder="1" applyAlignment="1">
      <alignment wrapText="1"/>
    </xf>
    <xf numFmtId="0" fontId="0" fillId="0" borderId="32" xfId="0" applyBorder="1" applyAlignment="1">
      <alignment wrapText="1"/>
    </xf>
    <xf numFmtId="0" fontId="2" fillId="0" borderId="4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5" fillId="11" borderId="29" xfId="0" applyFont="1" applyFill="1" applyBorder="1"/>
    <xf numFmtId="0" fontId="15" fillId="11" borderId="15" xfId="0" applyFont="1" applyFill="1" applyBorder="1"/>
    <xf numFmtId="0" fontId="0" fillId="0" borderId="1" xfId="0" applyBorder="1"/>
    <xf numFmtId="0" fontId="0" fillId="0" borderId="7" xfId="0" applyBorder="1"/>
    <xf numFmtId="0" fontId="0" fillId="0" borderId="4" xfId="0" applyBorder="1"/>
    <xf numFmtId="0" fontId="0" fillId="3" borderId="30" xfId="0" applyFill="1" applyBorder="1"/>
    <xf numFmtId="166" fontId="0" fillId="0" borderId="0" xfId="0" applyNumberFormat="1"/>
    <xf numFmtId="166" fontId="0" fillId="0" borderId="40" xfId="0" applyNumberFormat="1" applyBorder="1"/>
    <xf numFmtId="166" fontId="0" fillId="3" borderId="0" xfId="0" applyNumberFormat="1" applyFill="1"/>
    <xf numFmtId="166" fontId="0" fillId="0" borderId="39" xfId="0" applyNumberFormat="1" applyBorder="1"/>
    <xf numFmtId="169" fontId="0" fillId="0" borderId="39" xfId="0" applyNumberFormat="1" applyBorder="1"/>
    <xf numFmtId="166" fontId="0" fillId="0" borderId="20" xfId="0" applyNumberFormat="1" applyBorder="1"/>
    <xf numFmtId="166" fontId="0" fillId="0" borderId="32" xfId="0" applyNumberFormat="1" applyBorder="1"/>
    <xf numFmtId="2" fontId="0" fillId="0" borderId="40" xfId="0" applyNumberFormat="1" applyBorder="1" applyAlignment="1">
      <alignment wrapText="1"/>
    </xf>
    <xf numFmtId="2" fontId="0" fillId="0" borderId="39" xfId="0" applyNumberFormat="1" applyBorder="1" applyAlignment="1">
      <alignment wrapText="1"/>
    </xf>
    <xf numFmtId="166" fontId="0" fillId="0" borderId="7" xfId="0" applyNumberFormat="1" applyBorder="1"/>
    <xf numFmtId="166" fontId="0" fillId="9" borderId="0" xfId="0" applyNumberFormat="1" applyFill="1"/>
    <xf numFmtId="0" fontId="2" fillId="0" borderId="32" xfId="0" applyFont="1" applyBorder="1"/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42" xfId="0" applyBorder="1"/>
    <xf numFmtId="0" fontId="0" fillId="3" borderId="5" xfId="0" applyFill="1" applyBorder="1"/>
    <xf numFmtId="0" fontId="0" fillId="3" borderId="1" xfId="0" applyFill="1" applyBorder="1"/>
    <xf numFmtId="0" fontId="0" fillId="3" borderId="15" xfId="0" applyFill="1" applyBorder="1"/>
    <xf numFmtId="166" fontId="0" fillId="0" borderId="4" xfId="0" applyNumberFormat="1" applyBorder="1"/>
    <xf numFmtId="0" fontId="0" fillId="3" borderId="43" xfId="0" applyFill="1" applyBorder="1"/>
    <xf numFmtId="0" fontId="0" fillId="0" borderId="7" xfId="0" applyBorder="1" applyAlignment="1">
      <alignment horizontal="center"/>
    </xf>
    <xf numFmtId="0" fontId="0" fillId="9" borderId="7" xfId="0" applyFill="1" applyBorder="1"/>
    <xf numFmtId="0" fontId="0" fillId="9" borderId="7" xfId="0" applyFill="1" applyBorder="1" applyAlignment="1">
      <alignment horizontal="center"/>
    </xf>
    <xf numFmtId="166" fontId="0" fillId="9" borderId="7" xfId="0" applyNumberFormat="1" applyFill="1" applyBorder="1"/>
    <xf numFmtId="0" fontId="0" fillId="0" borderId="7" xfId="0" applyBorder="1" applyAlignment="1">
      <alignment horizontal="right"/>
    </xf>
    <xf numFmtId="0" fontId="16" fillId="0" borderId="7" xfId="0" applyFont="1" applyBorder="1"/>
    <xf numFmtId="0" fontId="0" fillId="12" borderId="7" xfId="0" applyFill="1" applyBorder="1"/>
    <xf numFmtId="0" fontId="2" fillId="0" borderId="32" xfId="0" applyFont="1" applyBorder="1" applyAlignment="1">
      <alignment horizontal="center"/>
    </xf>
    <xf numFmtId="0" fontId="0" fillId="3" borderId="17" xfId="0" applyFill="1" applyBorder="1"/>
    <xf numFmtId="0" fontId="2" fillId="13" borderId="0" xfId="0" applyFont="1" applyFill="1"/>
    <xf numFmtId="0" fontId="7" fillId="3" borderId="35" xfId="1" applyFont="1" applyFill="1" applyBorder="1" applyAlignment="1">
      <alignment horizontal="center" vertical="center" wrapText="1"/>
    </xf>
    <xf numFmtId="166" fontId="0" fillId="0" borderId="31" xfId="0" applyNumberFormat="1" applyBorder="1"/>
    <xf numFmtId="0" fontId="0" fillId="0" borderId="25" xfId="0" applyBorder="1"/>
    <xf numFmtId="0" fontId="7" fillId="3" borderId="31" xfId="1" applyFont="1" applyFill="1" applyBorder="1" applyAlignment="1">
      <alignment horizontal="center" vertical="center" wrapText="1"/>
    </xf>
    <xf numFmtId="0" fontId="7" fillId="3" borderId="0" xfId="1" applyFont="1" applyFill="1" applyAlignment="1">
      <alignment horizontal="center" vertical="center" wrapText="1"/>
    </xf>
    <xf numFmtId="0" fontId="7" fillId="3" borderId="35" xfId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34" xfId="1" applyFont="1" applyFill="1" applyBorder="1" applyAlignment="1">
      <alignment horizontal="center" vertical="center" wrapText="1"/>
    </xf>
    <xf numFmtId="0" fontId="7" fillId="3" borderId="32" xfId="1" applyFont="1" applyFill="1" applyBorder="1" applyAlignment="1">
      <alignment horizontal="center" vertical="center" wrapText="1"/>
    </xf>
    <xf numFmtId="0" fontId="2" fillId="10" borderId="24" xfId="0" applyFont="1" applyFill="1" applyBorder="1" applyAlignment="1">
      <alignment horizontal="center"/>
    </xf>
    <xf numFmtId="0" fontId="2" fillId="10" borderId="25" xfId="0" applyFont="1" applyFill="1" applyBorder="1" applyAlignment="1">
      <alignment horizontal="center"/>
    </xf>
    <xf numFmtId="0" fontId="2" fillId="10" borderId="23" xfId="0" applyFont="1" applyFill="1" applyBorder="1" applyAlignment="1">
      <alignment horizontal="center"/>
    </xf>
    <xf numFmtId="0" fontId="2" fillId="9" borderId="24" xfId="0" applyFont="1" applyFill="1" applyBorder="1" applyAlignment="1">
      <alignment horizontal="center"/>
    </xf>
    <xf numFmtId="0" fontId="2" fillId="9" borderId="25" xfId="0" applyFont="1" applyFill="1" applyBorder="1" applyAlignment="1">
      <alignment horizontal="center"/>
    </xf>
    <xf numFmtId="0" fontId="2" fillId="9" borderId="0" xfId="0" applyFont="1" applyFill="1" applyAlignment="1">
      <alignment horizontal="center"/>
    </xf>
    <xf numFmtId="0" fontId="1" fillId="6" borderId="17" xfId="1" applyFont="1" applyFill="1" applyBorder="1" applyAlignment="1">
      <alignment horizontal="center"/>
    </xf>
    <xf numFmtId="0" fontId="1" fillId="6" borderId="16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7" borderId="0" xfId="0" applyFill="1" applyAlignment="1">
      <alignment horizontal="center"/>
    </xf>
    <xf numFmtId="0" fontId="7" fillId="3" borderId="21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/>
    </xf>
    <xf numFmtId="170" fontId="0" fillId="0" borderId="23" xfId="3" applyNumberFormat="1" applyFont="1" applyBorder="1"/>
  </cellXfs>
  <cellStyles count="4">
    <cellStyle name="Normal 2 2" xfId="2" xr:uid="{3A9862B1-82B3-8147-9A9D-E60A8DF0B5FF}"/>
    <cellStyle name="Prozent" xfId="3" builtinId="5"/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Overview!$B$55:$H$55</c:f>
              <c:numCache>
                <c:formatCode>0.00000</c:formatCode>
                <c:ptCount val="7"/>
                <c:pt idx="0">
                  <c:v>2.1095244648686919E-2</c:v>
                </c:pt>
                <c:pt idx="1">
                  <c:v>4.4826084806805451E-2</c:v>
                </c:pt>
                <c:pt idx="2">
                  <c:v>2.053862952371668E-2</c:v>
                </c:pt>
                <c:pt idx="3">
                  <c:v>2.7129676734329946E-2</c:v>
                </c:pt>
                <c:pt idx="4">
                  <c:v>2.0468189882796188E-2</c:v>
                </c:pt>
                <c:pt idx="5">
                  <c:v>2.0977738814857708E-2</c:v>
                </c:pt>
                <c:pt idx="6">
                  <c:v>2.5932870133998889E-2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59-DB48-9A04-FCB1C39C6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969728"/>
        <c:axId val="62971264"/>
      </c:barChart>
      <c:catAx>
        <c:axId val="6296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62971264"/>
        <c:crosses val="autoZero"/>
        <c:auto val="1"/>
        <c:lblAlgn val="ctr"/>
        <c:lblOffset val="100"/>
        <c:noMultiLvlLbl val="0"/>
      </c:catAx>
      <c:valAx>
        <c:axId val="629712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fuel</a:t>
                </a:r>
                <a:r>
                  <a:rPr lang="en-US" baseline="0"/>
                  <a:t> consumption [kg/km/seat]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888888888888888E-2"/>
              <c:y val="3.2882035578885971E-2"/>
            </c:manualLayout>
          </c:layout>
          <c:overlay val="0"/>
        </c:title>
        <c:numFmt formatCode="#,##0.000" sourceLinked="0"/>
        <c:majorTickMark val="out"/>
        <c:minorTickMark val="none"/>
        <c:tickLblPos val="nextTo"/>
        <c:crossAx val="62969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sz="1600" b="1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Statistic</a:t>
            </a:r>
            <a:r>
              <a:rPr lang="nl-BE" sz="1600" b="1" baseline="0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 to predict the typical number of seats</a:t>
            </a:r>
            <a:endParaRPr lang="nl-BE" sz="1600" b="1">
              <a:solidFill>
                <a:schemeClr val="tx1"/>
              </a:solidFill>
              <a:latin typeface="+mn-lt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375605061730892"/>
          <c:y val="1.939488962475216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Statistic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177692235985078E-3"/>
                  <c:y val="-0.34216683168442841"/>
                </c:manualLayout>
              </c:layout>
              <c:numFmt formatCode="0.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(Hurtecant!$C$11:$C$13,Hurtecant!$C$16:$C$18,Hurtecant!$C$24:$C$25,Hurtecant!$C$27,Hurtecant!$C$30:$C$32,Hurtecant!$C$35:$C$57,Hurtecant!$C$60:$C$77)</c:f>
              <c:numCache>
                <c:formatCode>General</c:formatCode>
                <c:ptCount val="53"/>
                <c:pt idx="0">
                  <c:v>156</c:v>
                </c:pt>
                <c:pt idx="1">
                  <c:v>180</c:v>
                </c:pt>
                <c:pt idx="2">
                  <c:v>194</c:v>
                </c:pt>
                <c:pt idx="3">
                  <c:v>406</c:v>
                </c:pt>
                <c:pt idx="4">
                  <c:v>440</c:v>
                </c:pt>
                <c:pt idx="5">
                  <c:v>440</c:v>
                </c:pt>
                <c:pt idx="6">
                  <c:v>50</c:v>
                </c:pt>
                <c:pt idx="7">
                  <c:v>74</c:v>
                </c:pt>
                <c:pt idx="8">
                  <c:v>106</c:v>
                </c:pt>
                <c:pt idx="9">
                  <c:v>149</c:v>
                </c:pt>
                <c:pt idx="10">
                  <c:v>168</c:v>
                </c:pt>
                <c:pt idx="11">
                  <c:v>132</c:v>
                </c:pt>
                <c:pt idx="12">
                  <c:v>189</c:v>
                </c:pt>
                <c:pt idx="13">
                  <c:v>624</c:v>
                </c:pt>
                <c:pt idx="14">
                  <c:v>515</c:v>
                </c:pt>
                <c:pt idx="15">
                  <c:v>239</c:v>
                </c:pt>
                <c:pt idx="16">
                  <c:v>295</c:v>
                </c:pt>
                <c:pt idx="17">
                  <c:v>350</c:v>
                </c:pt>
                <c:pt idx="18">
                  <c:v>375</c:v>
                </c:pt>
                <c:pt idx="19">
                  <c:v>440</c:v>
                </c:pt>
                <c:pt idx="20">
                  <c:v>440</c:v>
                </c:pt>
                <c:pt idx="21">
                  <c:v>440</c:v>
                </c:pt>
                <c:pt idx="22">
                  <c:v>550</c:v>
                </c:pt>
                <c:pt idx="23">
                  <c:v>550</c:v>
                </c:pt>
                <c:pt idx="24">
                  <c:v>375</c:v>
                </c:pt>
                <c:pt idx="25">
                  <c:v>408</c:v>
                </c:pt>
                <c:pt idx="26">
                  <c:v>440</c:v>
                </c:pt>
                <c:pt idx="27">
                  <c:v>410</c:v>
                </c:pt>
                <c:pt idx="28">
                  <c:v>172</c:v>
                </c:pt>
                <c:pt idx="29">
                  <c:v>172</c:v>
                </c:pt>
                <c:pt idx="30">
                  <c:v>40</c:v>
                </c:pt>
                <c:pt idx="31">
                  <c:v>56</c:v>
                </c:pt>
                <c:pt idx="32">
                  <c:v>50</c:v>
                </c:pt>
                <c:pt idx="33">
                  <c:v>50</c:v>
                </c:pt>
                <c:pt idx="34">
                  <c:v>78</c:v>
                </c:pt>
                <c:pt idx="35">
                  <c:v>39</c:v>
                </c:pt>
                <c:pt idx="36">
                  <c:v>86</c:v>
                </c:pt>
                <c:pt idx="37">
                  <c:v>19</c:v>
                </c:pt>
                <c:pt idx="38">
                  <c:v>19</c:v>
                </c:pt>
                <c:pt idx="39">
                  <c:v>78</c:v>
                </c:pt>
                <c:pt idx="40">
                  <c:v>84</c:v>
                </c:pt>
                <c:pt idx="41">
                  <c:v>106</c:v>
                </c:pt>
                <c:pt idx="42">
                  <c:v>114</c:v>
                </c:pt>
                <c:pt idx="43">
                  <c:v>118</c:v>
                </c:pt>
                <c:pt idx="44">
                  <c:v>146</c:v>
                </c:pt>
                <c:pt idx="45">
                  <c:v>30</c:v>
                </c:pt>
                <c:pt idx="46">
                  <c:v>37</c:v>
                </c:pt>
                <c:pt idx="47">
                  <c:v>44</c:v>
                </c:pt>
                <c:pt idx="48">
                  <c:v>50</c:v>
                </c:pt>
                <c:pt idx="49">
                  <c:v>109</c:v>
                </c:pt>
                <c:pt idx="50">
                  <c:v>80</c:v>
                </c:pt>
                <c:pt idx="51">
                  <c:v>56</c:v>
                </c:pt>
                <c:pt idx="52">
                  <c:v>37</c:v>
                </c:pt>
              </c:numCache>
            </c:numRef>
          </c:xVal>
          <c:yVal>
            <c:numRef>
              <c:f>(Hurtecant!$E$11:$E$13,Hurtecant!$E$16:$E$18,Hurtecant!$E$24:$E$25,Hurtecant!$E$27,Hurtecant!$E$30:$E$32,Hurtecant!$E$35:$E$57,Hurtecant!$E$60:$E$77)</c:f>
              <c:numCache>
                <c:formatCode>0.000</c:formatCode>
                <c:ptCount val="53"/>
                <c:pt idx="0">
                  <c:v>0.85897435897435892</c:v>
                </c:pt>
                <c:pt idx="1">
                  <c:v>0.83333333333333337</c:v>
                </c:pt>
                <c:pt idx="2">
                  <c:v>0.85051546391752575</c:v>
                </c:pt>
                <c:pt idx="3">
                  <c:v>0.60591133004926112</c:v>
                </c:pt>
                <c:pt idx="4">
                  <c:v>0.68181818181818177</c:v>
                </c:pt>
                <c:pt idx="5">
                  <c:v>0.76136363636363635</c:v>
                </c:pt>
                <c:pt idx="6">
                  <c:v>0.96</c:v>
                </c:pt>
                <c:pt idx="7">
                  <c:v>0.91891891891891897</c:v>
                </c:pt>
                <c:pt idx="8">
                  <c:v>1</c:v>
                </c:pt>
                <c:pt idx="9">
                  <c:v>0.84563758389261745</c:v>
                </c:pt>
                <c:pt idx="10">
                  <c:v>0.875</c:v>
                </c:pt>
                <c:pt idx="11">
                  <c:v>0.83333333333333337</c:v>
                </c:pt>
                <c:pt idx="12">
                  <c:v>0.93650793650793651</c:v>
                </c:pt>
                <c:pt idx="13">
                  <c:v>0.66666666666666663</c:v>
                </c:pt>
                <c:pt idx="14">
                  <c:v>0.90679611650485437</c:v>
                </c:pt>
                <c:pt idx="15">
                  <c:v>0.83682008368200833</c:v>
                </c:pt>
                <c:pt idx="16">
                  <c:v>0.82372881355932204</c:v>
                </c:pt>
                <c:pt idx="17">
                  <c:v>0.6</c:v>
                </c:pt>
                <c:pt idx="18">
                  <c:v>0.64800000000000002</c:v>
                </c:pt>
                <c:pt idx="19">
                  <c:v>0.69318181818181823</c:v>
                </c:pt>
                <c:pt idx="20">
                  <c:v>0.69318181818181823</c:v>
                </c:pt>
                <c:pt idx="21">
                  <c:v>0.68409090909090908</c:v>
                </c:pt>
                <c:pt idx="22">
                  <c:v>0.66909090909090907</c:v>
                </c:pt>
                <c:pt idx="23">
                  <c:v>0.66363636363636369</c:v>
                </c:pt>
                <c:pt idx="24">
                  <c:v>0.64533333333333331</c:v>
                </c:pt>
                <c:pt idx="25">
                  <c:v>0.71078431372549022</c:v>
                </c:pt>
                <c:pt idx="26">
                  <c:v>0.75</c:v>
                </c:pt>
                <c:pt idx="27">
                  <c:v>0.72682926829268291</c:v>
                </c:pt>
                <c:pt idx="28">
                  <c:v>0.83139534883720934</c:v>
                </c:pt>
                <c:pt idx="29">
                  <c:v>0.90116279069767447</c:v>
                </c:pt>
                <c:pt idx="30">
                  <c:v>0.92500000000000004</c:v>
                </c:pt>
                <c:pt idx="31">
                  <c:v>0.8928571428571429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0.94871794871794868</c:v>
                </c:pt>
                <c:pt idx="36">
                  <c:v>0.95348837209302328</c:v>
                </c:pt>
                <c:pt idx="37">
                  <c:v>1</c:v>
                </c:pt>
                <c:pt idx="38">
                  <c:v>1</c:v>
                </c:pt>
                <c:pt idx="39">
                  <c:v>0.94871794871794868</c:v>
                </c:pt>
                <c:pt idx="40">
                  <c:v>0.9285714285714286</c:v>
                </c:pt>
                <c:pt idx="41">
                  <c:v>0.94339622641509435</c:v>
                </c:pt>
                <c:pt idx="42">
                  <c:v>0.91228070175438591</c:v>
                </c:pt>
                <c:pt idx="43">
                  <c:v>1.0508474576271187</c:v>
                </c:pt>
                <c:pt idx="44">
                  <c:v>0.71232876712328763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0.88990825688073394</c:v>
                </c:pt>
                <c:pt idx="50">
                  <c:v>0.9</c:v>
                </c:pt>
                <c:pt idx="51">
                  <c:v>0.8214285714285714</c:v>
                </c:pt>
                <c:pt idx="52">
                  <c:v>0.91891891891891897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FD-5844-AC27-04097A82A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93760"/>
        <c:axId val="212271488"/>
      </c:scatterChart>
      <c:valAx>
        <c:axId val="185493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Max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2271488"/>
        <c:crosses val="autoZero"/>
        <c:crossBetween val="midCat"/>
      </c:valAx>
      <c:valAx>
        <c:axId val="21227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Typical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seats/ max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2295556974900189E-2"/>
              <c:y val="0.138498092326801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5493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4159658614101807E-2"/>
                  <c:y val="-7.1095060025331308E-2"/>
                </c:manualLayout>
              </c:layout>
              <c:numFmt formatCode="0.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(Hurtecant!$C$11:$C$13,Hurtecant!$C$16:$C$18,Hurtecant!$C$24:$C$25,Hurtecant!$C$27,Hurtecant!$C$30:$C$32,Hurtecant!$C$35:$C$57,Hurtecant!$C$60:$C$77)</c:f>
              <c:numCache>
                <c:formatCode>General</c:formatCode>
                <c:ptCount val="53"/>
                <c:pt idx="0">
                  <c:v>156</c:v>
                </c:pt>
                <c:pt idx="1">
                  <c:v>180</c:v>
                </c:pt>
                <c:pt idx="2">
                  <c:v>194</c:v>
                </c:pt>
                <c:pt idx="3">
                  <c:v>406</c:v>
                </c:pt>
                <c:pt idx="4">
                  <c:v>440</c:v>
                </c:pt>
                <c:pt idx="5">
                  <c:v>440</c:v>
                </c:pt>
                <c:pt idx="6">
                  <c:v>50</c:v>
                </c:pt>
                <c:pt idx="7">
                  <c:v>74</c:v>
                </c:pt>
                <c:pt idx="8">
                  <c:v>106</c:v>
                </c:pt>
                <c:pt idx="9">
                  <c:v>149</c:v>
                </c:pt>
                <c:pt idx="10">
                  <c:v>168</c:v>
                </c:pt>
                <c:pt idx="11">
                  <c:v>132</c:v>
                </c:pt>
                <c:pt idx="12">
                  <c:v>189</c:v>
                </c:pt>
                <c:pt idx="13">
                  <c:v>624</c:v>
                </c:pt>
                <c:pt idx="14">
                  <c:v>515</c:v>
                </c:pt>
                <c:pt idx="15">
                  <c:v>239</c:v>
                </c:pt>
                <c:pt idx="16">
                  <c:v>295</c:v>
                </c:pt>
                <c:pt idx="17">
                  <c:v>350</c:v>
                </c:pt>
                <c:pt idx="18">
                  <c:v>375</c:v>
                </c:pt>
                <c:pt idx="19">
                  <c:v>440</c:v>
                </c:pt>
                <c:pt idx="20">
                  <c:v>440</c:v>
                </c:pt>
                <c:pt idx="21">
                  <c:v>440</c:v>
                </c:pt>
                <c:pt idx="22">
                  <c:v>550</c:v>
                </c:pt>
                <c:pt idx="23">
                  <c:v>550</c:v>
                </c:pt>
                <c:pt idx="24">
                  <c:v>375</c:v>
                </c:pt>
                <c:pt idx="25">
                  <c:v>408</c:v>
                </c:pt>
                <c:pt idx="26">
                  <c:v>440</c:v>
                </c:pt>
                <c:pt idx="27">
                  <c:v>410</c:v>
                </c:pt>
                <c:pt idx="28">
                  <c:v>172</c:v>
                </c:pt>
                <c:pt idx="29">
                  <c:v>172</c:v>
                </c:pt>
                <c:pt idx="30">
                  <c:v>40</c:v>
                </c:pt>
                <c:pt idx="31">
                  <c:v>56</c:v>
                </c:pt>
                <c:pt idx="32">
                  <c:v>50</c:v>
                </c:pt>
                <c:pt idx="33">
                  <c:v>50</c:v>
                </c:pt>
                <c:pt idx="34">
                  <c:v>78</c:v>
                </c:pt>
                <c:pt idx="35">
                  <c:v>39</c:v>
                </c:pt>
                <c:pt idx="36">
                  <c:v>86</c:v>
                </c:pt>
                <c:pt idx="37">
                  <c:v>19</c:v>
                </c:pt>
                <c:pt idx="38">
                  <c:v>19</c:v>
                </c:pt>
                <c:pt idx="39">
                  <c:v>78</c:v>
                </c:pt>
                <c:pt idx="40">
                  <c:v>84</c:v>
                </c:pt>
                <c:pt idx="41">
                  <c:v>106</c:v>
                </c:pt>
                <c:pt idx="42">
                  <c:v>114</c:v>
                </c:pt>
                <c:pt idx="43">
                  <c:v>118</c:v>
                </c:pt>
                <c:pt idx="44">
                  <c:v>146</c:v>
                </c:pt>
                <c:pt idx="45">
                  <c:v>30</c:v>
                </c:pt>
                <c:pt idx="46">
                  <c:v>37</c:v>
                </c:pt>
                <c:pt idx="47">
                  <c:v>44</c:v>
                </c:pt>
                <c:pt idx="48">
                  <c:v>50</c:v>
                </c:pt>
                <c:pt idx="49">
                  <c:v>109</c:v>
                </c:pt>
                <c:pt idx="50">
                  <c:v>80</c:v>
                </c:pt>
                <c:pt idx="51">
                  <c:v>56</c:v>
                </c:pt>
                <c:pt idx="52">
                  <c:v>37</c:v>
                </c:pt>
              </c:numCache>
            </c:numRef>
          </c:xVal>
          <c:yVal>
            <c:numRef>
              <c:f>(Hurtecant!$D$11:$D$13,Hurtecant!$D$16:$D$18,Hurtecant!$D$24:$D$25,Hurtecant!$D$27,Hurtecant!$D$30:$D$32,Hurtecant!$D$35:$D$57,Hurtecant!$D$60:$D$77)</c:f>
              <c:numCache>
                <c:formatCode>General</c:formatCode>
                <c:ptCount val="53"/>
                <c:pt idx="0">
                  <c:v>134</c:v>
                </c:pt>
                <c:pt idx="1">
                  <c:v>150</c:v>
                </c:pt>
                <c:pt idx="2">
                  <c:v>165</c:v>
                </c:pt>
                <c:pt idx="3">
                  <c:v>246</c:v>
                </c:pt>
                <c:pt idx="4">
                  <c:v>300</c:v>
                </c:pt>
                <c:pt idx="5">
                  <c:v>335</c:v>
                </c:pt>
                <c:pt idx="6">
                  <c:v>48</c:v>
                </c:pt>
                <c:pt idx="7">
                  <c:v>68</c:v>
                </c:pt>
                <c:pt idx="8">
                  <c:v>106</c:v>
                </c:pt>
                <c:pt idx="9">
                  <c:v>126</c:v>
                </c:pt>
                <c:pt idx="10">
                  <c:v>147</c:v>
                </c:pt>
                <c:pt idx="11">
                  <c:v>110</c:v>
                </c:pt>
                <c:pt idx="12">
                  <c:v>177</c:v>
                </c:pt>
                <c:pt idx="13">
                  <c:v>416</c:v>
                </c:pt>
                <c:pt idx="14">
                  <c:v>467</c:v>
                </c:pt>
                <c:pt idx="15">
                  <c:v>200</c:v>
                </c:pt>
                <c:pt idx="16">
                  <c:v>243</c:v>
                </c:pt>
                <c:pt idx="17">
                  <c:v>210</c:v>
                </c:pt>
                <c:pt idx="18">
                  <c:v>243</c:v>
                </c:pt>
                <c:pt idx="19">
                  <c:v>305</c:v>
                </c:pt>
                <c:pt idx="20">
                  <c:v>305</c:v>
                </c:pt>
                <c:pt idx="21">
                  <c:v>301</c:v>
                </c:pt>
                <c:pt idx="22">
                  <c:v>368</c:v>
                </c:pt>
                <c:pt idx="23">
                  <c:v>365</c:v>
                </c:pt>
                <c:pt idx="24">
                  <c:v>242</c:v>
                </c:pt>
                <c:pt idx="25">
                  <c:v>290</c:v>
                </c:pt>
                <c:pt idx="26">
                  <c:v>330</c:v>
                </c:pt>
                <c:pt idx="27">
                  <c:v>298</c:v>
                </c:pt>
                <c:pt idx="28">
                  <c:v>143</c:v>
                </c:pt>
                <c:pt idx="29">
                  <c:v>155</c:v>
                </c:pt>
                <c:pt idx="30">
                  <c:v>37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78</c:v>
                </c:pt>
                <c:pt idx="35">
                  <c:v>37</c:v>
                </c:pt>
                <c:pt idx="36">
                  <c:v>82</c:v>
                </c:pt>
                <c:pt idx="37">
                  <c:v>19</c:v>
                </c:pt>
                <c:pt idx="38">
                  <c:v>19</c:v>
                </c:pt>
                <c:pt idx="39">
                  <c:v>74</c:v>
                </c:pt>
                <c:pt idx="40">
                  <c:v>78</c:v>
                </c:pt>
                <c:pt idx="41">
                  <c:v>100</c:v>
                </c:pt>
                <c:pt idx="42">
                  <c:v>104</c:v>
                </c:pt>
                <c:pt idx="43">
                  <c:v>124</c:v>
                </c:pt>
                <c:pt idx="44">
                  <c:v>104</c:v>
                </c:pt>
                <c:pt idx="45">
                  <c:v>30</c:v>
                </c:pt>
                <c:pt idx="46">
                  <c:v>37</c:v>
                </c:pt>
                <c:pt idx="47">
                  <c:v>44</c:v>
                </c:pt>
                <c:pt idx="48">
                  <c:v>50</c:v>
                </c:pt>
                <c:pt idx="49">
                  <c:v>97</c:v>
                </c:pt>
                <c:pt idx="50">
                  <c:v>72</c:v>
                </c:pt>
                <c:pt idx="51">
                  <c:v>46</c:v>
                </c:pt>
                <c:pt idx="52">
                  <c:v>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93-5642-B8AF-6CD8AAC26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964992"/>
        <c:axId val="376033280"/>
      </c:scatterChart>
      <c:valAx>
        <c:axId val="312964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pax</a:t>
                </a:r>
                <a:r>
                  <a:rPr lang="nl-BE" baseline="0"/>
                  <a:t> max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033280"/>
        <c:crosses val="autoZero"/>
        <c:crossBetween val="midCat"/>
      </c:valAx>
      <c:valAx>
        <c:axId val="37603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pax</a:t>
                </a:r>
                <a:r>
                  <a:rPr lang="nl-BE" baseline="0"/>
                  <a:t> typical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964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Fuel</a:t>
            </a:r>
            <a:r>
              <a:rPr lang="nl-BE" baseline="0"/>
              <a:t> consumption per seat in function of standard number of seats</a:t>
            </a:r>
            <a:endParaRPr lang="nl-BE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Hurtecant!$D$6:$D$7</c:f>
              <c:strCache>
                <c:ptCount val="2"/>
                <c:pt idx="0">
                  <c:v>120</c:v>
                </c:pt>
                <c:pt idx="1">
                  <c:v>150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(Hurtecant!$D$6:$D$7,Hurtecant!$D$11:$D$20,Hurtecant!$D$22:$D$28,Hurtecant!$D$30:$D$36,Hurtecant!$D$38:$D$40,Hurtecant!$D$42:$D$49,Hurtecant!$D$51,Hurtecant!$D$53:$D$66,Hurtecant!$D$68,Hurtecant!$D$70:$D$74,Hurtecant!$D$76:$D$79)</c:f>
              <c:numCache>
                <c:formatCode>General</c:formatCode>
                <c:ptCount val="62"/>
                <c:pt idx="0">
                  <c:v>120</c:v>
                </c:pt>
                <c:pt idx="1">
                  <c:v>150</c:v>
                </c:pt>
                <c:pt idx="2">
                  <c:v>134</c:v>
                </c:pt>
                <c:pt idx="3">
                  <c:v>150</c:v>
                </c:pt>
                <c:pt idx="4">
                  <c:v>165</c:v>
                </c:pt>
                <c:pt idx="5">
                  <c:v>185</c:v>
                </c:pt>
                <c:pt idx="6">
                  <c:v>206</c:v>
                </c:pt>
                <c:pt idx="7">
                  <c:v>246</c:v>
                </c:pt>
                <c:pt idx="8">
                  <c:v>300</c:v>
                </c:pt>
                <c:pt idx="9">
                  <c:v>335</c:v>
                </c:pt>
                <c:pt idx="10">
                  <c:v>380</c:v>
                </c:pt>
                <c:pt idx="11">
                  <c:v>315</c:v>
                </c:pt>
                <c:pt idx="12">
                  <c:v>369</c:v>
                </c:pt>
                <c:pt idx="13">
                  <c:v>575</c:v>
                </c:pt>
                <c:pt idx="14">
                  <c:v>48</c:v>
                </c:pt>
                <c:pt idx="15">
                  <c:v>68</c:v>
                </c:pt>
                <c:pt idx="16">
                  <c:v>19</c:v>
                </c:pt>
                <c:pt idx="17">
                  <c:v>106</c:v>
                </c:pt>
                <c:pt idx="18">
                  <c:v>162</c:v>
                </c:pt>
                <c:pt idx="19">
                  <c:v>126</c:v>
                </c:pt>
                <c:pt idx="20">
                  <c:v>147</c:v>
                </c:pt>
                <c:pt idx="21">
                  <c:v>110</c:v>
                </c:pt>
                <c:pt idx="22">
                  <c:v>128</c:v>
                </c:pt>
                <c:pt idx="23">
                  <c:v>160</c:v>
                </c:pt>
                <c:pt idx="24">
                  <c:v>177</c:v>
                </c:pt>
                <c:pt idx="25">
                  <c:v>416</c:v>
                </c:pt>
                <c:pt idx="26">
                  <c:v>200</c:v>
                </c:pt>
                <c:pt idx="27">
                  <c:v>243</c:v>
                </c:pt>
                <c:pt idx="28">
                  <c:v>210</c:v>
                </c:pt>
                <c:pt idx="29">
                  <c:v>305</c:v>
                </c:pt>
                <c:pt idx="30">
                  <c:v>305</c:v>
                </c:pt>
                <c:pt idx="31">
                  <c:v>301</c:v>
                </c:pt>
                <c:pt idx="32">
                  <c:v>368</c:v>
                </c:pt>
                <c:pt idx="33">
                  <c:v>365</c:v>
                </c:pt>
                <c:pt idx="34">
                  <c:v>242</c:v>
                </c:pt>
                <c:pt idx="35">
                  <c:v>290</c:v>
                </c:pt>
                <c:pt idx="36">
                  <c:v>330</c:v>
                </c:pt>
                <c:pt idx="37">
                  <c:v>143</c:v>
                </c:pt>
                <c:pt idx="38">
                  <c:v>37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78</c:v>
                </c:pt>
                <c:pt idx="43">
                  <c:v>90</c:v>
                </c:pt>
                <c:pt idx="44">
                  <c:v>104</c:v>
                </c:pt>
                <c:pt idx="45">
                  <c:v>37</c:v>
                </c:pt>
                <c:pt idx="46">
                  <c:v>82</c:v>
                </c:pt>
                <c:pt idx="47">
                  <c:v>19</c:v>
                </c:pt>
                <c:pt idx="48">
                  <c:v>19</c:v>
                </c:pt>
                <c:pt idx="49">
                  <c:v>74</c:v>
                </c:pt>
                <c:pt idx="50">
                  <c:v>78</c:v>
                </c:pt>
                <c:pt idx="51">
                  <c:v>100</c:v>
                </c:pt>
                <c:pt idx="52">
                  <c:v>124</c:v>
                </c:pt>
                <c:pt idx="53">
                  <c:v>30</c:v>
                </c:pt>
                <c:pt idx="54">
                  <c:v>37</c:v>
                </c:pt>
                <c:pt idx="55">
                  <c:v>44</c:v>
                </c:pt>
                <c:pt idx="56">
                  <c:v>50</c:v>
                </c:pt>
                <c:pt idx="57">
                  <c:v>97</c:v>
                </c:pt>
                <c:pt idx="58">
                  <c:v>46</c:v>
                </c:pt>
                <c:pt idx="59">
                  <c:v>34</c:v>
                </c:pt>
                <c:pt idx="60">
                  <c:v>100</c:v>
                </c:pt>
                <c:pt idx="61">
                  <c:v>300</c:v>
                </c:pt>
              </c:numCache>
            </c:numRef>
          </c:xVal>
          <c:yVal>
            <c:numRef>
              <c:f>(Hurtecant!$O$6:$O$7,Hurtecant!$O$11:$O$20,Hurtecant!$O$22:$O$28,Hurtecant!$O$30:$O$36,Hurtecant!$O$38:$O$40,Hurtecant!$O$42:$O$49,Hurtecant!$O$51,Hurtecant!$O$53:$O$66,Hurtecant!$O$68,Hurtecant!$O$70:$O$74,Hurtecant!$O$76:$O$79)</c:f>
              <c:numCache>
                <c:formatCode>0.0000</c:formatCode>
                <c:ptCount val="62"/>
                <c:pt idx="0">
                  <c:v>2.4134739959281885E-2</c:v>
                </c:pt>
                <c:pt idx="1">
                  <c:v>2.1225701943844488E-2</c:v>
                </c:pt>
                <c:pt idx="2">
                  <c:v>2.7400793011185975E-2</c:v>
                </c:pt>
                <c:pt idx="3">
                  <c:v>2.6618581487205903E-2</c:v>
                </c:pt>
                <c:pt idx="4">
                  <c:v>2.1683263732733694E-2</c:v>
                </c:pt>
                <c:pt idx="5">
                  <c:v>2.0134013016575303E-2</c:v>
                </c:pt>
                <c:pt idx="6">
                  <c:v>2.0367620948433311E-2</c:v>
                </c:pt>
                <c:pt idx="7">
                  <c:v>3.409633350760348E-2</c:v>
                </c:pt>
                <c:pt idx="8">
                  <c:v>2.8917950710000428E-2</c:v>
                </c:pt>
                <c:pt idx="9">
                  <c:v>3.0591521609127197E-2</c:v>
                </c:pt>
                <c:pt idx="10">
                  <c:v>3.0031936400660212E-2</c:v>
                </c:pt>
                <c:pt idx="11">
                  <c:v>2.4786426564698302E-2</c:v>
                </c:pt>
                <c:pt idx="12">
                  <c:v>2.5085584960564671E-2</c:v>
                </c:pt>
                <c:pt idx="13">
                  <c:v>2.9532674104790813E-2</c:v>
                </c:pt>
                <c:pt idx="14">
                  <c:v>4.0849673202614387E-2</c:v>
                </c:pt>
                <c:pt idx="15">
                  <c:v>3.1762164909160215E-2</c:v>
                </c:pt>
                <c:pt idx="16">
                  <c:v>7.9802069275753479E-2</c:v>
                </c:pt>
                <c:pt idx="17">
                  <c:v>4.0145071456327446E-2</c:v>
                </c:pt>
                <c:pt idx="18">
                  <c:v>2.127985068918567E-2</c:v>
                </c:pt>
                <c:pt idx="19">
                  <c:v>2.9832869466483888E-2</c:v>
                </c:pt>
                <c:pt idx="20">
                  <c:v>3.1255350513440486E-2</c:v>
                </c:pt>
                <c:pt idx="21">
                  <c:v>4.3930021868166212E-2</c:v>
                </c:pt>
                <c:pt idx="22">
                  <c:v>2.9463719898605838E-2</c:v>
                </c:pt>
                <c:pt idx="23">
                  <c:v>2.7139999999999991E-2</c:v>
                </c:pt>
                <c:pt idx="24">
                  <c:v>1.7780441971421951E-2</c:v>
                </c:pt>
                <c:pt idx="25">
                  <c:v>3.4299723455352593E-2</c:v>
                </c:pt>
                <c:pt idx="26">
                  <c:v>2.9391344596158289E-2</c:v>
                </c:pt>
                <c:pt idx="27">
                  <c:v>2.6403043773160884E-2</c:v>
                </c:pt>
                <c:pt idx="28">
                  <c:v>3.1705673094926043E-2</c:v>
                </c:pt>
                <c:pt idx="29">
                  <c:v>2.7980430864303487E-2</c:v>
                </c:pt>
                <c:pt idx="30">
                  <c:v>2.4164068982530103E-2</c:v>
                </c:pt>
                <c:pt idx="31">
                  <c:v>3.2720243643373795E-2</c:v>
                </c:pt>
                <c:pt idx="32">
                  <c:v>3.0126414363501476E-2</c:v>
                </c:pt>
                <c:pt idx="33">
                  <c:v>2.9614167606309725E-2</c:v>
                </c:pt>
                <c:pt idx="34">
                  <c:v>2.7141855698876925E-2</c:v>
                </c:pt>
                <c:pt idx="35">
                  <c:v>2.5762319581407563E-2</c:v>
                </c:pt>
                <c:pt idx="36">
                  <c:v>2.4086267661034021E-2</c:v>
                </c:pt>
                <c:pt idx="37">
                  <c:v>3.3889803443408938E-2</c:v>
                </c:pt>
                <c:pt idx="38">
                  <c:v>4.1860764656634415E-2</c:v>
                </c:pt>
                <c:pt idx="39">
                  <c:v>4.4195804195804191E-2</c:v>
                </c:pt>
                <c:pt idx="40">
                  <c:v>4.6732090284592728E-2</c:v>
                </c:pt>
                <c:pt idx="41">
                  <c:v>4.4882186616399616E-2</c:v>
                </c:pt>
                <c:pt idx="42">
                  <c:v>3.4518447252955498E-2</c:v>
                </c:pt>
                <c:pt idx="43">
                  <c:v>3.7942771431868014E-2</c:v>
                </c:pt>
                <c:pt idx="44">
                  <c:v>2.8071557155715562E-2</c:v>
                </c:pt>
                <c:pt idx="45">
                  <c:v>4.6377911388710544E-2</c:v>
                </c:pt>
                <c:pt idx="46">
                  <c:v>2.9719057935565032E-2</c:v>
                </c:pt>
                <c:pt idx="47">
                  <c:v>0.61896100943503474</c:v>
                </c:pt>
                <c:pt idx="48">
                  <c:v>6.1137692716640102E-2</c:v>
                </c:pt>
                <c:pt idx="49">
                  <c:v>4.4396581671645924E-2</c:v>
                </c:pt>
                <c:pt idx="50">
                  <c:v>4.0969131878222771E-2</c:v>
                </c:pt>
                <c:pt idx="51">
                  <c:v>3.8811771238200996E-2</c:v>
                </c:pt>
                <c:pt idx="52">
                  <c:v>3.4227939575987125E-2</c:v>
                </c:pt>
                <c:pt idx="53">
                  <c:v>6.2073246430788369E-2</c:v>
                </c:pt>
                <c:pt idx="54">
                  <c:v>4.9617652209444862E-2</c:v>
                </c:pt>
                <c:pt idx="55">
                  <c:v>4.9086982132338502E-2</c:v>
                </c:pt>
                <c:pt idx="56">
                  <c:v>3.9795338260375221E-2</c:v>
                </c:pt>
                <c:pt idx="57">
                  <c:v>3.9020390811229357E-2</c:v>
                </c:pt>
                <c:pt idx="58">
                  <c:v>3.7568974288733202E-2</c:v>
                </c:pt>
                <c:pt idx="59">
                  <c:v>1.313676835498466E-2</c:v>
                </c:pt>
                <c:pt idx="60">
                  <c:v>4.0692041522491333E-2</c:v>
                </c:pt>
                <c:pt idx="61">
                  <c:v>2.6328283482239204E-2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11-6948-9797-744A4F0DF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092160"/>
        <c:axId val="37609408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3.5811047276348672E-2"/>
                        <c:y val="-0.46113692159664871"/>
                      </c:manualLayout>
                    </c:layout>
                    <c:numFmt formatCode="0.000E+0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Lit>
                    <c:formatCode>General</c:formatCode>
                    <c:ptCount val="49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28.445812500000002</c:v>
                    </c:pt>
                    <c:pt idx="4">
                      <c:v>35</c:v>
                    </c:pt>
                    <c:pt idx="5">
                      <c:v>37</c:v>
                    </c:pt>
                    <c:pt idx="6">
                      <c:v>38</c:v>
                    </c:pt>
                    <c:pt idx="7">
                      <c:v>46.901412499999999</c:v>
                    </c:pt>
                    <c:pt idx="8">
                      <c:v>46.901412499999999</c:v>
                    </c:pt>
                    <c:pt idx="9">
                      <c:v>48</c:v>
                    </c:pt>
                    <c:pt idx="10">
                      <c:v>50</c:v>
                    </c:pt>
                    <c:pt idx="11">
                      <c:v>50</c:v>
                    </c:pt>
                    <c:pt idx="12">
                      <c:v>50</c:v>
                    </c:pt>
                    <c:pt idx="13">
                      <c:v>52.3588016</c:v>
                    </c:pt>
                    <c:pt idx="14">
                      <c:v>68</c:v>
                    </c:pt>
                    <c:pt idx="15">
                      <c:v>72.056130899999999</c:v>
                    </c:pt>
                    <c:pt idx="16">
                      <c:v>74</c:v>
                    </c:pt>
                    <c:pt idx="17">
                      <c:v>74</c:v>
                    </c:pt>
                    <c:pt idx="18">
                      <c:v>78</c:v>
                    </c:pt>
                    <c:pt idx="19">
                      <c:v>82.592752500000003</c:v>
                    </c:pt>
                    <c:pt idx="20">
                      <c:v>97</c:v>
                    </c:pt>
                    <c:pt idx="21">
                      <c:v>98</c:v>
                    </c:pt>
                    <c:pt idx="22">
                      <c:v>106</c:v>
                    </c:pt>
                    <c:pt idx="23">
                      <c:v>108</c:v>
                    </c:pt>
                    <c:pt idx="24">
                      <c:v>108</c:v>
                    </c:pt>
                    <c:pt idx="25">
                      <c:v>124</c:v>
                    </c:pt>
                    <c:pt idx="26">
                      <c:v>128</c:v>
                    </c:pt>
                    <c:pt idx="27">
                      <c:v>128</c:v>
                    </c:pt>
                    <c:pt idx="28">
                      <c:v>146</c:v>
                    </c:pt>
                    <c:pt idx="29">
                      <c:v>150</c:v>
                    </c:pt>
                    <c:pt idx="30">
                      <c:v>155</c:v>
                    </c:pt>
                    <c:pt idx="31">
                      <c:v>160</c:v>
                    </c:pt>
                    <c:pt idx="32">
                      <c:v>177</c:v>
                    </c:pt>
                    <c:pt idx="33">
                      <c:v>186</c:v>
                    </c:pt>
                    <c:pt idx="34">
                      <c:v>220</c:v>
                    </c:pt>
                    <c:pt idx="35">
                      <c:v>222.38661072500003</c:v>
                    </c:pt>
                    <c:pt idx="36">
                      <c:v>237</c:v>
                    </c:pt>
                    <c:pt idx="37">
                      <c:v>242</c:v>
                    </c:pt>
                    <c:pt idx="38">
                      <c:v>247</c:v>
                    </c:pt>
                    <c:pt idx="39">
                      <c:v>277</c:v>
                    </c:pt>
                    <c:pt idx="40">
                      <c:v>277</c:v>
                    </c:pt>
                    <c:pt idx="41">
                      <c:v>280</c:v>
                    </c:pt>
                    <c:pt idx="42">
                      <c:v>323</c:v>
                    </c:pt>
                    <c:pt idx="43">
                      <c:v>326</c:v>
                    </c:pt>
                    <c:pt idx="44">
                      <c:v>370</c:v>
                    </c:pt>
                    <c:pt idx="45">
                      <c:v>375</c:v>
                    </c:pt>
                    <c:pt idx="46">
                      <c:v>400</c:v>
                    </c:pt>
                    <c:pt idx="47">
                      <c:v>467</c:v>
                    </c:pt>
                    <c:pt idx="48">
                      <c:v>555</c:v>
                    </c:pt>
                  </c:numLit>
                </c:xVal>
                <c:yVal>
                  <c:numLit>
                    <c:formatCode>General</c:formatCode>
                    <c:ptCount val="49"/>
                    <c:pt idx="0">
                      <c:v>5.0697502160404924E-2</c:v>
                    </c:pt>
                    <c:pt idx="1">
                      <c:v>1.5395116032155317E-2</c:v>
                    </c:pt>
                    <c:pt idx="2">
                      <c:v>3.7808043239772028E-2</c:v>
                    </c:pt>
                    <c:pt idx="3">
                      <c:v>2.3342863553839518E-2</c:v>
                    </c:pt>
                    <c:pt idx="4">
                      <c:v>2.6015454725579552E-2</c:v>
                    </c:pt>
                    <c:pt idx="5">
                      <c:v>2.6976272046694581E-2</c:v>
                    </c:pt>
                    <c:pt idx="6">
                      <c:v>4.6276803118908381E-2</c:v>
                    </c:pt>
                    <c:pt idx="7">
                      <c:v>2.4899441605782561E-2</c:v>
                    </c:pt>
                    <c:pt idx="8">
                      <c:v>2.5824700978270707E-2</c:v>
                    </c:pt>
                    <c:pt idx="9">
                      <c:v>2.6129943502824857E-2</c:v>
                    </c:pt>
                    <c:pt idx="10">
                      <c:v>2.542372881355932E-2</c:v>
                    </c:pt>
                    <c:pt idx="11">
                      <c:v>2.3922705314009661E-2</c:v>
                    </c:pt>
                    <c:pt idx="12">
                      <c:v>2.3930232558139534E-2</c:v>
                    </c:pt>
                    <c:pt idx="13">
                      <c:v>1.9840604931254936E-2</c:v>
                    </c:pt>
                    <c:pt idx="14">
                      <c:v>2.0415385034161744E-2</c:v>
                    </c:pt>
                    <c:pt idx="15">
                      <c:v>2.2024013697277689E-2</c:v>
                    </c:pt>
                    <c:pt idx="16">
                      <c:v>2.8023415120189316E-2</c:v>
                    </c:pt>
                    <c:pt idx="17">
                      <c:v>2.127508070131021E-2</c:v>
                    </c:pt>
                    <c:pt idx="18">
                      <c:v>1.7724211272598371E-2</c:v>
                    </c:pt>
                    <c:pt idx="19">
                      <c:v>2.1694028750586836E-2</c:v>
                    </c:pt>
                    <c:pt idx="20">
                      <c:v>2.4906618855520691E-2</c:v>
                    </c:pt>
                    <c:pt idx="21">
                      <c:v>2.4400195201561614E-2</c:v>
                    </c:pt>
                    <c:pt idx="22">
                      <c:v>2.2289987206081458E-2</c:v>
                    </c:pt>
                    <c:pt idx="23">
                      <c:v>2.1938314621241451E-2</c:v>
                    </c:pt>
                    <c:pt idx="24">
                      <c:v>2.3699082960119428E-2</c:v>
                    </c:pt>
                    <c:pt idx="25">
                      <c:v>1.853911753800519E-2</c:v>
                    </c:pt>
                    <c:pt idx="26">
                      <c:v>1.9560842803030304E-2</c:v>
                    </c:pt>
                    <c:pt idx="27">
                      <c:v>2.1302688953488372E-2</c:v>
                    </c:pt>
                    <c:pt idx="28">
                      <c:v>2.2464954670713688E-2</c:v>
                    </c:pt>
                    <c:pt idx="29">
                      <c:v>1.8335862417804754E-2</c:v>
                    </c:pt>
                    <c:pt idx="30">
                      <c:v>1.9023463886516868E-2</c:v>
                    </c:pt>
                    <c:pt idx="31">
                      <c:v>1.7377006051039201E-2</c:v>
                    </c:pt>
                    <c:pt idx="32">
                      <c:v>1.7144061211857822E-2</c:v>
                    </c:pt>
                    <c:pt idx="33">
                      <c:v>2.3510620829663688E-2</c:v>
                    </c:pt>
                    <c:pt idx="34">
                      <c:v>1.4932457101131801E-2</c:v>
                    </c:pt>
                    <c:pt idx="35">
                      <c:v>2.266754174428311E-2</c:v>
                    </c:pt>
                    <c:pt idx="36">
                      <c:v>1.9848888966114406E-2</c:v>
                    </c:pt>
                    <c:pt idx="37">
                      <c:v>1.9124641592174061E-2</c:v>
                    </c:pt>
                    <c:pt idx="38">
                      <c:v>2.16105280197008E-2</c:v>
                    </c:pt>
                    <c:pt idx="39">
                      <c:v>1.6033385301983043E-2</c:v>
                    </c:pt>
                    <c:pt idx="40">
                      <c:v>2.2104037902987001E-2</c:v>
                    </c:pt>
                    <c:pt idx="41">
                      <c:v>1.790998148719531E-2</c:v>
                    </c:pt>
                    <c:pt idx="42">
                      <c:v>2.3391950464396283E-2</c:v>
                    </c:pt>
                    <c:pt idx="43">
                      <c:v>2.8239936541724821E-2</c:v>
                    </c:pt>
                    <c:pt idx="44">
                      <c:v>2.0872575438222032E-2</c:v>
                    </c:pt>
                    <c:pt idx="45">
                      <c:v>1.703737210554658E-2</c:v>
                    </c:pt>
                    <c:pt idx="46">
                      <c:v>2.3517786561264825E-2</c:v>
                    </c:pt>
                    <c:pt idx="47">
                      <c:v>2.1278419545156243E-2</c:v>
                    </c:pt>
                    <c:pt idx="48">
                      <c:v>2.1310727574226494E-2</c:v>
                    </c:pt>
                  </c:numLit>
                </c:yVal>
                <c:smooth val="0"/>
                <c:extLst>
                  <c:ext xmlns:c16="http://schemas.microsoft.com/office/drawing/2014/chart" uri="{C3380CC4-5D6E-409C-BE32-E72D297353CC}">
                    <c16:uniqueId val="{00000003-3611-6948-9797-744A4F0DF7C1}"/>
                  </c:ext>
                </c:extLst>
              </c15:ser>
            </c15:filteredScatterSeries>
          </c:ext>
        </c:extLst>
      </c:scatterChart>
      <c:valAx>
        <c:axId val="376092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Standard</a:t>
                </a:r>
                <a:r>
                  <a:rPr lang="nl-BE" baseline="0"/>
                  <a:t> number of seats (-)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094080"/>
        <c:crosses val="autoZero"/>
        <c:crossBetween val="midCat"/>
      </c:valAx>
      <c:valAx>
        <c:axId val="37609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OEM-based</a:t>
                </a:r>
                <a:r>
                  <a:rPr lang="nl-BE" baseline="0"/>
                  <a:t> fuel consumption per seat (kg/km)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1.3116057000319434E-2"/>
              <c:y val="0.1762543128206556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092160"/>
        <c:crosses val="autoZero"/>
        <c:crossBetween val="midCat"/>
        <c:majorUnit val="1.0000000000000004E-2"/>
        <c:minorUnit val="1.0000000000000005E-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sz="1600" b="1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Statistic</a:t>
            </a:r>
            <a:r>
              <a:rPr lang="nl-BE" sz="1600" b="1" baseline="0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 to predict the typical number of seats</a:t>
            </a:r>
            <a:endParaRPr lang="nl-BE" sz="1600" b="1">
              <a:solidFill>
                <a:schemeClr val="tx1"/>
              </a:solidFill>
              <a:latin typeface="+mn-lt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375605061730892"/>
          <c:y val="1.939488962475216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9070457313655713E-2"/>
          <c:y val="0.12310233046275772"/>
          <c:w val="0.87225351417711483"/>
          <c:h val="0.73670405280812934"/>
        </c:manualLayout>
      </c:layou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211058931830397"/>
                  <c:y val="-0.330727252602358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50" baseline="0"/>
                      <a:t>y = -0.0005x + 0.9724</a:t>
                    </a:r>
                    <a:br>
                      <a:rPr lang="en-US" sz="1050" baseline="0"/>
                    </a:br>
                    <a:r>
                      <a:rPr lang="en-US" sz="1050" baseline="0"/>
                      <a:t>R² = 0.6772</a:t>
                    </a:r>
                    <a:endParaRPr lang="en-US" sz="105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Hurtecant!$C$6:$C$79</c:f>
              <c:numCache>
                <c:formatCode>General</c:formatCode>
                <c:ptCount val="74"/>
                <c:pt idx="0">
                  <c:v>135</c:v>
                </c:pt>
                <c:pt idx="1">
                  <c:v>160</c:v>
                </c:pt>
                <c:pt idx="2">
                  <c:v>345</c:v>
                </c:pt>
                <c:pt idx="3">
                  <c:v>280</c:v>
                </c:pt>
                <c:pt idx="4">
                  <c:v>132</c:v>
                </c:pt>
                <c:pt idx="5">
                  <c:v>156</c:v>
                </c:pt>
                <c:pt idx="6">
                  <c:v>180</c:v>
                </c:pt>
                <c:pt idx="7">
                  <c:v>194</c:v>
                </c:pt>
                <c:pt idx="8">
                  <c:v>236</c:v>
                </c:pt>
                <c:pt idx="9">
                  <c:v>244</c:v>
                </c:pt>
                <c:pt idx="10">
                  <c:v>406</c:v>
                </c:pt>
                <c:pt idx="11">
                  <c:v>440</c:v>
                </c:pt>
                <c:pt idx="12">
                  <c:v>440</c:v>
                </c:pt>
                <c:pt idx="13">
                  <c:v>475</c:v>
                </c:pt>
                <c:pt idx="14">
                  <c:v>440</c:v>
                </c:pt>
                <c:pt idx="15">
                  <c:v>440</c:v>
                </c:pt>
                <c:pt idx="16">
                  <c:v>440</c:v>
                </c:pt>
                <c:pt idx="17">
                  <c:v>853</c:v>
                </c:pt>
                <c:pt idx="18">
                  <c:v>50</c:v>
                </c:pt>
                <c:pt idx="19">
                  <c:v>74</c:v>
                </c:pt>
                <c:pt idx="20">
                  <c:v>19</c:v>
                </c:pt>
                <c:pt idx="21">
                  <c:v>106</c:v>
                </c:pt>
                <c:pt idx="22">
                  <c:v>189</c:v>
                </c:pt>
                <c:pt idx="23">
                  <c:v>220</c:v>
                </c:pt>
                <c:pt idx="24">
                  <c:v>149</c:v>
                </c:pt>
                <c:pt idx="25">
                  <c:v>168</c:v>
                </c:pt>
                <c:pt idx="26">
                  <c:v>132</c:v>
                </c:pt>
                <c:pt idx="27">
                  <c:v>148</c:v>
                </c:pt>
                <c:pt idx="28">
                  <c:v>184</c:v>
                </c:pt>
                <c:pt idx="29">
                  <c:v>189</c:v>
                </c:pt>
                <c:pt idx="30">
                  <c:v>624</c:v>
                </c:pt>
                <c:pt idx="31">
                  <c:v>515</c:v>
                </c:pt>
                <c:pt idx="32">
                  <c:v>239</c:v>
                </c:pt>
                <c:pt idx="33">
                  <c:v>295</c:v>
                </c:pt>
                <c:pt idx="34">
                  <c:v>350</c:v>
                </c:pt>
                <c:pt idx="35">
                  <c:v>375</c:v>
                </c:pt>
                <c:pt idx="36">
                  <c:v>440</c:v>
                </c:pt>
                <c:pt idx="37">
                  <c:v>440</c:v>
                </c:pt>
                <c:pt idx="38">
                  <c:v>440</c:v>
                </c:pt>
                <c:pt idx="39">
                  <c:v>550</c:v>
                </c:pt>
                <c:pt idx="40">
                  <c:v>550</c:v>
                </c:pt>
                <c:pt idx="41">
                  <c:v>375</c:v>
                </c:pt>
                <c:pt idx="42">
                  <c:v>408</c:v>
                </c:pt>
                <c:pt idx="43">
                  <c:v>440</c:v>
                </c:pt>
                <c:pt idx="44">
                  <c:v>410</c:v>
                </c:pt>
                <c:pt idx="45">
                  <c:v>172</c:v>
                </c:pt>
                <c:pt idx="46">
                  <c:v>172</c:v>
                </c:pt>
                <c:pt idx="47">
                  <c:v>40</c:v>
                </c:pt>
                <c:pt idx="48">
                  <c:v>56</c:v>
                </c:pt>
                <c:pt idx="49">
                  <c:v>50</c:v>
                </c:pt>
                <c:pt idx="50">
                  <c:v>50</c:v>
                </c:pt>
                <c:pt idx="51">
                  <c:v>78</c:v>
                </c:pt>
                <c:pt idx="52">
                  <c:v>90</c:v>
                </c:pt>
                <c:pt idx="53">
                  <c:v>104</c:v>
                </c:pt>
                <c:pt idx="54">
                  <c:v>39</c:v>
                </c:pt>
                <c:pt idx="55">
                  <c:v>86</c:v>
                </c:pt>
                <c:pt idx="56">
                  <c:v>19</c:v>
                </c:pt>
                <c:pt idx="57">
                  <c:v>19</c:v>
                </c:pt>
                <c:pt idx="58">
                  <c:v>78</c:v>
                </c:pt>
                <c:pt idx="59">
                  <c:v>84</c:v>
                </c:pt>
                <c:pt idx="60">
                  <c:v>106</c:v>
                </c:pt>
                <c:pt idx="61">
                  <c:v>114</c:v>
                </c:pt>
                <c:pt idx="62">
                  <c:v>118</c:v>
                </c:pt>
                <c:pt idx="63">
                  <c:v>146</c:v>
                </c:pt>
                <c:pt idx="64">
                  <c:v>30</c:v>
                </c:pt>
                <c:pt idx="65">
                  <c:v>37</c:v>
                </c:pt>
                <c:pt idx="66">
                  <c:v>44</c:v>
                </c:pt>
                <c:pt idx="67">
                  <c:v>50</c:v>
                </c:pt>
                <c:pt idx="68">
                  <c:v>109</c:v>
                </c:pt>
                <c:pt idx="69">
                  <c:v>80</c:v>
                </c:pt>
                <c:pt idx="70">
                  <c:v>56</c:v>
                </c:pt>
                <c:pt idx="71">
                  <c:v>37</c:v>
                </c:pt>
                <c:pt idx="72">
                  <c:v>98</c:v>
                </c:pt>
                <c:pt idx="73">
                  <c:v>460</c:v>
                </c:pt>
              </c:numCache>
            </c:numRef>
          </c:xVal>
          <c:yVal>
            <c:numRef>
              <c:f>Hurtecant!$E$6:$E$79</c:f>
              <c:numCache>
                <c:formatCode>0.000</c:formatCode>
                <c:ptCount val="74"/>
                <c:pt idx="0">
                  <c:v>0.88888888888888884</c:v>
                </c:pt>
                <c:pt idx="1">
                  <c:v>0.9375</c:v>
                </c:pt>
                <c:pt idx="2">
                  <c:v>0.77971014492753621</c:v>
                </c:pt>
                <c:pt idx="3">
                  <c:v>0.8214285714285714</c:v>
                </c:pt>
                <c:pt idx="4">
                  <c:v>0.88636363636363635</c:v>
                </c:pt>
                <c:pt idx="5">
                  <c:v>0.85897435897435892</c:v>
                </c:pt>
                <c:pt idx="6">
                  <c:v>0.83333333333333337</c:v>
                </c:pt>
                <c:pt idx="7">
                  <c:v>0.85051546391752575</c:v>
                </c:pt>
                <c:pt idx="8">
                  <c:v>0.78389830508474578</c:v>
                </c:pt>
                <c:pt idx="9">
                  <c:v>0.84426229508196726</c:v>
                </c:pt>
                <c:pt idx="10">
                  <c:v>0.60591133004926112</c:v>
                </c:pt>
                <c:pt idx="11">
                  <c:v>0.68181818181818177</c:v>
                </c:pt>
                <c:pt idx="12">
                  <c:v>0.76136363636363635</c:v>
                </c:pt>
                <c:pt idx="13">
                  <c:v>0.8</c:v>
                </c:pt>
                <c:pt idx="14">
                  <c:v>0.71590909090909094</c:v>
                </c:pt>
                <c:pt idx="15">
                  <c:v>0.71590909090909094</c:v>
                </c:pt>
                <c:pt idx="16">
                  <c:v>0.83863636363636362</c:v>
                </c:pt>
                <c:pt idx="17">
                  <c:v>0.67409144196951931</c:v>
                </c:pt>
                <c:pt idx="18">
                  <c:v>0.96</c:v>
                </c:pt>
                <c:pt idx="19">
                  <c:v>0.91891891891891897</c:v>
                </c:pt>
                <c:pt idx="20">
                  <c:v>1</c:v>
                </c:pt>
                <c:pt idx="21">
                  <c:v>1</c:v>
                </c:pt>
                <c:pt idx="22">
                  <c:v>0.8571428571428571</c:v>
                </c:pt>
                <c:pt idx="23">
                  <c:v>0.81818181818181823</c:v>
                </c:pt>
                <c:pt idx="24">
                  <c:v>0.84563758389261745</c:v>
                </c:pt>
                <c:pt idx="25">
                  <c:v>0.875</c:v>
                </c:pt>
                <c:pt idx="26">
                  <c:v>0.83333333333333337</c:v>
                </c:pt>
                <c:pt idx="27">
                  <c:v>0.86486486486486491</c:v>
                </c:pt>
                <c:pt idx="28">
                  <c:v>0.86956521739130432</c:v>
                </c:pt>
                <c:pt idx="29">
                  <c:v>0.93650793650793651</c:v>
                </c:pt>
                <c:pt idx="30">
                  <c:v>0.66666666666666663</c:v>
                </c:pt>
                <c:pt idx="31">
                  <c:v>0.90679611650485437</c:v>
                </c:pt>
                <c:pt idx="32">
                  <c:v>0.83682008368200833</c:v>
                </c:pt>
                <c:pt idx="33">
                  <c:v>0.82372881355932204</c:v>
                </c:pt>
                <c:pt idx="34">
                  <c:v>0.6</c:v>
                </c:pt>
                <c:pt idx="35">
                  <c:v>0.64800000000000002</c:v>
                </c:pt>
                <c:pt idx="36">
                  <c:v>0.69318181818181823</c:v>
                </c:pt>
                <c:pt idx="37">
                  <c:v>0.69318181818181823</c:v>
                </c:pt>
                <c:pt idx="38">
                  <c:v>0.68409090909090908</c:v>
                </c:pt>
                <c:pt idx="39">
                  <c:v>0.66909090909090907</c:v>
                </c:pt>
                <c:pt idx="40">
                  <c:v>0.66363636363636369</c:v>
                </c:pt>
                <c:pt idx="41">
                  <c:v>0.64533333333333331</c:v>
                </c:pt>
                <c:pt idx="42">
                  <c:v>0.71078431372549022</c:v>
                </c:pt>
                <c:pt idx="43">
                  <c:v>0.75</c:v>
                </c:pt>
                <c:pt idx="44">
                  <c:v>0.72682926829268291</c:v>
                </c:pt>
                <c:pt idx="45">
                  <c:v>0.83139534883720934</c:v>
                </c:pt>
                <c:pt idx="46">
                  <c:v>0.90116279069767447</c:v>
                </c:pt>
                <c:pt idx="47">
                  <c:v>0.92500000000000004</c:v>
                </c:pt>
                <c:pt idx="48">
                  <c:v>0.8928571428571429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0.94871794871794868</c:v>
                </c:pt>
                <c:pt idx="55">
                  <c:v>0.95348837209302328</c:v>
                </c:pt>
                <c:pt idx="56">
                  <c:v>1</c:v>
                </c:pt>
                <c:pt idx="57">
                  <c:v>1</c:v>
                </c:pt>
                <c:pt idx="58">
                  <c:v>0.94871794871794868</c:v>
                </c:pt>
                <c:pt idx="59">
                  <c:v>0.9285714285714286</c:v>
                </c:pt>
                <c:pt idx="60">
                  <c:v>0.94339622641509435</c:v>
                </c:pt>
                <c:pt idx="61">
                  <c:v>0.91228070175438591</c:v>
                </c:pt>
                <c:pt idx="62">
                  <c:v>1.0508474576271187</c:v>
                </c:pt>
                <c:pt idx="63">
                  <c:v>0.71232876712328763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0.88990825688073394</c:v>
                </c:pt>
                <c:pt idx="69">
                  <c:v>0.9</c:v>
                </c:pt>
                <c:pt idx="70">
                  <c:v>0.8214285714285714</c:v>
                </c:pt>
                <c:pt idx="71">
                  <c:v>0.91891891891891897</c:v>
                </c:pt>
                <c:pt idx="72">
                  <c:v>1.0204081632653061</c:v>
                </c:pt>
                <c:pt idx="73">
                  <c:v>0.65217391304347827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75-C040-B860-8C0CA45E7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992512"/>
        <c:axId val="37699443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6.017769223598507E-3"/>
                        <c:y val="-0.34216683168442835"/>
                      </c:manualLayout>
                    </c:layout>
                    <c:numFmt formatCode="0.00000E+0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Lit>
                    <c:formatCode>General</c:formatCode>
                    <c:ptCount val="42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37</c:v>
                    </c:pt>
                    <c:pt idx="4">
                      <c:v>39</c:v>
                    </c:pt>
                    <c:pt idx="5">
                      <c:v>40</c:v>
                    </c:pt>
                    <c:pt idx="6">
                      <c:v>50</c:v>
                    </c:pt>
                    <c:pt idx="7">
                      <c:v>50</c:v>
                    </c:pt>
                    <c:pt idx="8">
                      <c:v>50</c:v>
                    </c:pt>
                    <c:pt idx="9">
                      <c:v>56</c:v>
                    </c:pt>
                    <c:pt idx="10">
                      <c:v>74</c:v>
                    </c:pt>
                    <c:pt idx="11">
                      <c:v>78</c:v>
                    </c:pt>
                    <c:pt idx="12">
                      <c:v>86</c:v>
                    </c:pt>
                    <c:pt idx="13">
                      <c:v>84</c:v>
                    </c:pt>
                    <c:pt idx="14">
                      <c:v>109</c:v>
                    </c:pt>
                    <c:pt idx="15">
                      <c:v>106</c:v>
                    </c:pt>
                    <c:pt idx="16">
                      <c:v>106</c:v>
                    </c:pt>
                    <c:pt idx="17">
                      <c:v>118</c:v>
                    </c:pt>
                    <c:pt idx="18">
                      <c:v>132</c:v>
                    </c:pt>
                    <c:pt idx="19">
                      <c:v>156</c:v>
                    </c:pt>
                    <c:pt idx="20">
                      <c:v>148</c:v>
                    </c:pt>
                    <c:pt idx="21">
                      <c:v>149</c:v>
                    </c:pt>
                    <c:pt idx="22">
                      <c:v>168</c:v>
                    </c:pt>
                    <c:pt idx="23">
                      <c:v>180</c:v>
                    </c:pt>
                    <c:pt idx="24">
                      <c:v>172</c:v>
                    </c:pt>
                    <c:pt idx="25">
                      <c:v>184</c:v>
                    </c:pt>
                    <c:pt idx="26">
                      <c:v>189</c:v>
                    </c:pt>
                    <c:pt idx="27">
                      <c:v>239</c:v>
                    </c:pt>
                    <c:pt idx="28">
                      <c:v>236</c:v>
                    </c:pt>
                    <c:pt idx="29">
                      <c:v>290</c:v>
                    </c:pt>
                    <c:pt idx="30">
                      <c:v>375</c:v>
                    </c:pt>
                    <c:pt idx="31">
                      <c:v>406</c:v>
                    </c:pt>
                    <c:pt idx="32">
                      <c:v>440</c:v>
                    </c:pt>
                    <c:pt idx="33">
                      <c:v>440</c:v>
                    </c:pt>
                    <c:pt idx="34">
                      <c:v>408</c:v>
                    </c:pt>
                    <c:pt idx="35">
                      <c:v>410</c:v>
                    </c:pt>
                    <c:pt idx="36">
                      <c:v>475</c:v>
                    </c:pt>
                    <c:pt idx="37">
                      <c:v>550</c:v>
                    </c:pt>
                    <c:pt idx="38">
                      <c:v>460</c:v>
                    </c:pt>
                    <c:pt idx="39">
                      <c:v>624</c:v>
                    </c:pt>
                    <c:pt idx="40">
                      <c:v>515</c:v>
                    </c:pt>
                    <c:pt idx="41">
                      <c:v>853</c:v>
                    </c:pt>
                  </c:numLit>
                </c:xVal>
                <c:yVal>
                  <c:numLit>
                    <c:formatCode>General</c:formatCode>
                    <c:ptCount val="42"/>
                    <c:pt idx="0">
                      <c:v>1</c:v>
                    </c:pt>
                    <c:pt idx="1">
                      <c:v>1</c:v>
                    </c:pt>
                    <c:pt idx="2">
                      <c:v>1</c:v>
                    </c:pt>
                    <c:pt idx="3">
                      <c:v>0.94594594594594594</c:v>
                    </c:pt>
                    <c:pt idx="4">
                      <c:v>0.94871794871794868</c:v>
                    </c:pt>
                    <c:pt idx="5">
                      <c:v>0.95</c:v>
                    </c:pt>
                    <c:pt idx="6">
                      <c:v>0.96</c:v>
                    </c:pt>
                    <c:pt idx="7">
                      <c:v>1</c:v>
                    </c:pt>
                    <c:pt idx="8">
                      <c:v>1</c:v>
                    </c:pt>
                    <c:pt idx="9">
                      <c:v>0.8928571428571429</c:v>
                    </c:pt>
                    <c:pt idx="10">
                      <c:v>0.91891891891891897</c:v>
                    </c:pt>
                    <c:pt idx="11">
                      <c:v>0.94871794871794868</c:v>
                    </c:pt>
                    <c:pt idx="12">
                      <c:v>0.86046511627906974</c:v>
                    </c:pt>
                    <c:pt idx="13">
                      <c:v>0.9285714285714286</c:v>
                    </c:pt>
                    <c:pt idx="14">
                      <c:v>0.88990825688073394</c:v>
                    </c:pt>
                    <c:pt idx="15">
                      <c:v>0.92452830188679247</c:v>
                    </c:pt>
                    <c:pt idx="16">
                      <c:v>1</c:v>
                    </c:pt>
                    <c:pt idx="17">
                      <c:v>0.9152542372881356</c:v>
                    </c:pt>
                    <c:pt idx="18">
                      <c:v>0.81818181818181823</c:v>
                    </c:pt>
                    <c:pt idx="19">
                      <c:v>0.79487179487179482</c:v>
                    </c:pt>
                    <c:pt idx="20">
                      <c:v>0.86486486486486491</c:v>
                    </c:pt>
                    <c:pt idx="21">
                      <c:v>0.85906040268456374</c:v>
                    </c:pt>
                    <c:pt idx="22">
                      <c:v>0.86904761904761907</c:v>
                    </c:pt>
                    <c:pt idx="23">
                      <c:v>0.83333333333333337</c:v>
                    </c:pt>
                    <c:pt idx="24">
                      <c:v>0.90116279069767447</c:v>
                    </c:pt>
                    <c:pt idx="25">
                      <c:v>0.86956521739130432</c:v>
                    </c:pt>
                    <c:pt idx="26">
                      <c:v>0.93650793650793651</c:v>
                    </c:pt>
                    <c:pt idx="27">
                      <c:v>0.77824267782426781</c:v>
                    </c:pt>
                    <c:pt idx="28">
                      <c:v>0.93220338983050843</c:v>
                    </c:pt>
                    <c:pt idx="29">
                      <c:v>0.8172413793103448</c:v>
                    </c:pt>
                    <c:pt idx="30">
                      <c:v>0.64533333333333331</c:v>
                    </c:pt>
                    <c:pt idx="31">
                      <c:v>0.60837438423645318</c:v>
                    </c:pt>
                    <c:pt idx="32">
                      <c:v>0.62954545454545452</c:v>
                    </c:pt>
                    <c:pt idx="33">
                      <c:v>0.62954545454545452</c:v>
                    </c:pt>
                    <c:pt idx="34">
                      <c:v>0.68627450980392157</c:v>
                    </c:pt>
                    <c:pt idx="35">
                      <c:v>0.78780487804878052</c:v>
                    </c:pt>
                    <c:pt idx="36">
                      <c:v>0.68631578947368421</c:v>
                    </c:pt>
                    <c:pt idx="37">
                      <c:v>0.67272727272727273</c:v>
                    </c:pt>
                    <c:pt idx="38">
                      <c:v>0.81521739130434778</c:v>
                    </c:pt>
                    <c:pt idx="39">
                      <c:v>0.64102564102564108</c:v>
                    </c:pt>
                    <c:pt idx="40">
                      <c:v>0.90679611650485437</c:v>
                    </c:pt>
                    <c:pt idx="41">
                      <c:v>0.65064478311840568</c:v>
                    </c:pt>
                  </c:numLit>
                </c:yVal>
                <c:smooth val="0"/>
                <c:extLst>
                  <c:ext uri="{02D57815-91ED-43cb-92C2-25804820EDAC}">
                    <c15:filteredSeriesTitle>
                      <c15:tx>
                        <c:v>Statistic</c:v>
                      </c15:tx>
                    </c15:filteredSeriesTitle>
                  </c:ext>
                  <c:ext xmlns:c16="http://schemas.microsoft.com/office/drawing/2014/chart" uri="{C3380CC4-5D6E-409C-BE32-E72D297353CC}">
                    <c16:uniqueId val="{00000003-0A75-C040-B860-8C0CA45E7512}"/>
                  </c:ext>
                </c:extLst>
              </c15:ser>
            </c15:filteredScatterSeries>
          </c:ext>
        </c:extLst>
      </c:scatterChart>
      <c:valAx>
        <c:axId val="376992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Max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994432"/>
        <c:crosses val="autoZero"/>
        <c:crossBetween val="midCat"/>
      </c:valAx>
      <c:valAx>
        <c:axId val="37699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Typical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seats/ max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2295556974900189E-2"/>
              <c:y val="0.138498092326801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992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425619945069198"/>
                  <c:y val="2.663754847739619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 algn="ctr" rtl="0">
                      <a:defRPr lang="en-US" sz="1200" b="0" i="0" u="none" strike="noStrike" kern="1200" baseline="0">
                        <a:solidFill>
                          <a:sysClr val="windowText" lastClr="000000">
                            <a:lumMod val="65000"/>
                            <a:lumOff val="3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y = 0.6696x + 22.858</a:t>
                    </a:r>
                    <a:br>
                      <a:rPr lang="en-US"/>
                    </a:br>
                    <a:r>
                      <a:rPr lang="en-US"/>
                      <a:t>R² = 0.9711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Hurtecant!$C$6:$C$79</c:f>
              <c:numCache>
                <c:formatCode>General</c:formatCode>
                <c:ptCount val="74"/>
                <c:pt idx="0">
                  <c:v>135</c:v>
                </c:pt>
                <c:pt idx="1">
                  <c:v>160</c:v>
                </c:pt>
                <c:pt idx="2">
                  <c:v>345</c:v>
                </c:pt>
                <c:pt idx="3">
                  <c:v>280</c:v>
                </c:pt>
                <c:pt idx="4">
                  <c:v>132</c:v>
                </c:pt>
                <c:pt idx="5">
                  <c:v>156</c:v>
                </c:pt>
                <c:pt idx="6">
                  <c:v>180</c:v>
                </c:pt>
                <c:pt idx="7">
                  <c:v>194</c:v>
                </c:pt>
                <c:pt idx="8">
                  <c:v>236</c:v>
                </c:pt>
                <c:pt idx="9">
                  <c:v>244</c:v>
                </c:pt>
                <c:pt idx="10">
                  <c:v>406</c:v>
                </c:pt>
                <c:pt idx="11">
                  <c:v>440</c:v>
                </c:pt>
                <c:pt idx="12">
                  <c:v>440</c:v>
                </c:pt>
                <c:pt idx="13">
                  <c:v>475</c:v>
                </c:pt>
                <c:pt idx="14">
                  <c:v>440</c:v>
                </c:pt>
                <c:pt idx="15">
                  <c:v>440</c:v>
                </c:pt>
                <c:pt idx="16">
                  <c:v>440</c:v>
                </c:pt>
                <c:pt idx="17">
                  <c:v>853</c:v>
                </c:pt>
                <c:pt idx="18">
                  <c:v>50</c:v>
                </c:pt>
                <c:pt idx="19">
                  <c:v>74</c:v>
                </c:pt>
                <c:pt idx="20">
                  <c:v>19</c:v>
                </c:pt>
                <c:pt idx="21">
                  <c:v>106</c:v>
                </c:pt>
                <c:pt idx="22">
                  <c:v>189</c:v>
                </c:pt>
                <c:pt idx="23">
                  <c:v>220</c:v>
                </c:pt>
                <c:pt idx="24">
                  <c:v>149</c:v>
                </c:pt>
                <c:pt idx="25">
                  <c:v>168</c:v>
                </c:pt>
                <c:pt idx="26">
                  <c:v>132</c:v>
                </c:pt>
                <c:pt idx="27">
                  <c:v>148</c:v>
                </c:pt>
                <c:pt idx="28">
                  <c:v>184</c:v>
                </c:pt>
                <c:pt idx="29">
                  <c:v>189</c:v>
                </c:pt>
                <c:pt idx="30">
                  <c:v>624</c:v>
                </c:pt>
                <c:pt idx="31">
                  <c:v>515</c:v>
                </c:pt>
                <c:pt idx="32">
                  <c:v>239</c:v>
                </c:pt>
                <c:pt idx="33">
                  <c:v>295</c:v>
                </c:pt>
                <c:pt idx="34">
                  <c:v>350</c:v>
                </c:pt>
                <c:pt idx="35">
                  <c:v>375</c:v>
                </c:pt>
                <c:pt idx="36">
                  <c:v>440</c:v>
                </c:pt>
                <c:pt idx="37">
                  <c:v>440</c:v>
                </c:pt>
                <c:pt idx="38">
                  <c:v>440</c:v>
                </c:pt>
                <c:pt idx="39">
                  <c:v>550</c:v>
                </c:pt>
                <c:pt idx="40">
                  <c:v>550</c:v>
                </c:pt>
                <c:pt idx="41">
                  <c:v>375</c:v>
                </c:pt>
                <c:pt idx="42">
                  <c:v>408</c:v>
                </c:pt>
                <c:pt idx="43">
                  <c:v>440</c:v>
                </c:pt>
                <c:pt idx="44">
                  <c:v>410</c:v>
                </c:pt>
                <c:pt idx="45">
                  <c:v>172</c:v>
                </c:pt>
                <c:pt idx="46">
                  <c:v>172</c:v>
                </c:pt>
                <c:pt idx="47">
                  <c:v>40</c:v>
                </c:pt>
                <c:pt idx="48">
                  <c:v>56</c:v>
                </c:pt>
                <c:pt idx="49">
                  <c:v>50</c:v>
                </c:pt>
                <c:pt idx="50">
                  <c:v>50</c:v>
                </c:pt>
                <c:pt idx="51">
                  <c:v>78</c:v>
                </c:pt>
                <c:pt idx="52">
                  <c:v>90</c:v>
                </c:pt>
                <c:pt idx="53">
                  <c:v>104</c:v>
                </c:pt>
                <c:pt idx="54">
                  <c:v>39</c:v>
                </c:pt>
                <c:pt idx="55">
                  <c:v>86</c:v>
                </c:pt>
                <c:pt idx="56">
                  <c:v>19</c:v>
                </c:pt>
                <c:pt idx="57">
                  <c:v>19</c:v>
                </c:pt>
                <c:pt idx="58">
                  <c:v>78</c:v>
                </c:pt>
                <c:pt idx="59">
                  <c:v>84</c:v>
                </c:pt>
                <c:pt idx="60">
                  <c:v>106</c:v>
                </c:pt>
                <c:pt idx="61">
                  <c:v>114</c:v>
                </c:pt>
                <c:pt idx="62">
                  <c:v>118</c:v>
                </c:pt>
                <c:pt idx="63">
                  <c:v>146</c:v>
                </c:pt>
                <c:pt idx="64">
                  <c:v>30</c:v>
                </c:pt>
                <c:pt idx="65">
                  <c:v>37</c:v>
                </c:pt>
                <c:pt idx="66">
                  <c:v>44</c:v>
                </c:pt>
                <c:pt idx="67">
                  <c:v>50</c:v>
                </c:pt>
                <c:pt idx="68">
                  <c:v>109</c:v>
                </c:pt>
                <c:pt idx="69">
                  <c:v>80</c:v>
                </c:pt>
                <c:pt idx="70">
                  <c:v>56</c:v>
                </c:pt>
                <c:pt idx="71">
                  <c:v>37</c:v>
                </c:pt>
                <c:pt idx="72">
                  <c:v>98</c:v>
                </c:pt>
                <c:pt idx="73">
                  <c:v>460</c:v>
                </c:pt>
              </c:numCache>
            </c:numRef>
          </c:xVal>
          <c:yVal>
            <c:numRef>
              <c:f>Hurtecant!$D$6:$D$79</c:f>
              <c:numCache>
                <c:formatCode>General</c:formatCode>
                <c:ptCount val="74"/>
                <c:pt idx="0">
                  <c:v>120</c:v>
                </c:pt>
                <c:pt idx="1">
                  <c:v>150</c:v>
                </c:pt>
                <c:pt idx="2">
                  <c:v>269</c:v>
                </c:pt>
                <c:pt idx="3">
                  <c:v>230</c:v>
                </c:pt>
                <c:pt idx="4">
                  <c:v>117</c:v>
                </c:pt>
                <c:pt idx="5">
                  <c:v>134</c:v>
                </c:pt>
                <c:pt idx="6">
                  <c:v>150</c:v>
                </c:pt>
                <c:pt idx="7">
                  <c:v>165</c:v>
                </c:pt>
                <c:pt idx="8">
                  <c:v>185</c:v>
                </c:pt>
                <c:pt idx="9">
                  <c:v>206</c:v>
                </c:pt>
                <c:pt idx="10">
                  <c:v>246</c:v>
                </c:pt>
                <c:pt idx="11">
                  <c:v>300</c:v>
                </c:pt>
                <c:pt idx="12">
                  <c:v>335</c:v>
                </c:pt>
                <c:pt idx="13">
                  <c:v>380</c:v>
                </c:pt>
                <c:pt idx="14">
                  <c:v>315</c:v>
                </c:pt>
                <c:pt idx="15">
                  <c:v>315</c:v>
                </c:pt>
                <c:pt idx="16">
                  <c:v>369</c:v>
                </c:pt>
                <c:pt idx="17">
                  <c:v>575</c:v>
                </c:pt>
                <c:pt idx="18">
                  <c:v>48</c:v>
                </c:pt>
                <c:pt idx="19">
                  <c:v>68</c:v>
                </c:pt>
                <c:pt idx="20">
                  <c:v>19</c:v>
                </c:pt>
                <c:pt idx="21">
                  <c:v>106</c:v>
                </c:pt>
                <c:pt idx="22">
                  <c:v>162</c:v>
                </c:pt>
                <c:pt idx="23">
                  <c:v>180</c:v>
                </c:pt>
                <c:pt idx="24">
                  <c:v>126</c:v>
                </c:pt>
                <c:pt idx="25">
                  <c:v>147</c:v>
                </c:pt>
                <c:pt idx="26">
                  <c:v>110</c:v>
                </c:pt>
                <c:pt idx="27">
                  <c:v>128</c:v>
                </c:pt>
                <c:pt idx="28">
                  <c:v>160</c:v>
                </c:pt>
                <c:pt idx="29">
                  <c:v>177</c:v>
                </c:pt>
                <c:pt idx="30">
                  <c:v>416</c:v>
                </c:pt>
                <c:pt idx="31">
                  <c:v>467</c:v>
                </c:pt>
                <c:pt idx="32">
                  <c:v>200</c:v>
                </c:pt>
                <c:pt idx="33">
                  <c:v>243</c:v>
                </c:pt>
                <c:pt idx="34">
                  <c:v>210</c:v>
                </c:pt>
                <c:pt idx="35">
                  <c:v>243</c:v>
                </c:pt>
                <c:pt idx="36">
                  <c:v>305</c:v>
                </c:pt>
                <c:pt idx="37">
                  <c:v>305</c:v>
                </c:pt>
                <c:pt idx="38">
                  <c:v>301</c:v>
                </c:pt>
                <c:pt idx="39">
                  <c:v>368</c:v>
                </c:pt>
                <c:pt idx="40">
                  <c:v>365</c:v>
                </c:pt>
                <c:pt idx="41">
                  <c:v>242</c:v>
                </c:pt>
                <c:pt idx="42">
                  <c:v>290</c:v>
                </c:pt>
                <c:pt idx="43">
                  <c:v>330</c:v>
                </c:pt>
                <c:pt idx="44">
                  <c:v>298</c:v>
                </c:pt>
                <c:pt idx="45">
                  <c:v>143</c:v>
                </c:pt>
                <c:pt idx="46">
                  <c:v>155</c:v>
                </c:pt>
                <c:pt idx="47">
                  <c:v>37</c:v>
                </c:pt>
                <c:pt idx="48">
                  <c:v>50</c:v>
                </c:pt>
                <c:pt idx="49">
                  <c:v>50</c:v>
                </c:pt>
                <c:pt idx="50">
                  <c:v>50</c:v>
                </c:pt>
                <c:pt idx="51">
                  <c:v>78</c:v>
                </c:pt>
                <c:pt idx="52">
                  <c:v>90</c:v>
                </c:pt>
                <c:pt idx="53">
                  <c:v>104</c:v>
                </c:pt>
                <c:pt idx="54">
                  <c:v>37</c:v>
                </c:pt>
                <c:pt idx="55">
                  <c:v>82</c:v>
                </c:pt>
                <c:pt idx="56">
                  <c:v>19</c:v>
                </c:pt>
                <c:pt idx="57">
                  <c:v>19</c:v>
                </c:pt>
                <c:pt idx="58">
                  <c:v>74</c:v>
                </c:pt>
                <c:pt idx="59">
                  <c:v>78</c:v>
                </c:pt>
                <c:pt idx="60">
                  <c:v>100</c:v>
                </c:pt>
                <c:pt idx="61">
                  <c:v>104</c:v>
                </c:pt>
                <c:pt idx="62">
                  <c:v>124</c:v>
                </c:pt>
                <c:pt idx="63">
                  <c:v>104</c:v>
                </c:pt>
                <c:pt idx="64">
                  <c:v>30</c:v>
                </c:pt>
                <c:pt idx="65">
                  <c:v>37</c:v>
                </c:pt>
                <c:pt idx="66">
                  <c:v>44</c:v>
                </c:pt>
                <c:pt idx="67">
                  <c:v>50</c:v>
                </c:pt>
                <c:pt idx="68">
                  <c:v>97</c:v>
                </c:pt>
                <c:pt idx="69">
                  <c:v>72</c:v>
                </c:pt>
                <c:pt idx="70">
                  <c:v>46</c:v>
                </c:pt>
                <c:pt idx="71">
                  <c:v>34</c:v>
                </c:pt>
                <c:pt idx="72">
                  <c:v>100</c:v>
                </c:pt>
                <c:pt idx="73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17-3949-969C-7A2E0E2D7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077760"/>
        <c:axId val="37707968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3.4159658614101807E-2"/>
                        <c:y val="-7.1095060025331294E-2"/>
                      </c:manualLayout>
                    </c:layout>
                    <c:numFmt formatCode="0.00000E+0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lang="en-US" sz="1200" b="0" i="0" u="none" strike="noStrike" kern="1200" baseline="0">
                            <a:solidFill>
                              <a:sysClr val="windowText" lastClr="000000">
                                <a:lumMod val="65000"/>
                                <a:lumOff val="35000"/>
                              </a:sys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Lit>
                    <c:formatCode>General</c:formatCode>
                    <c:ptCount val="42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37</c:v>
                    </c:pt>
                    <c:pt idx="4">
                      <c:v>39</c:v>
                    </c:pt>
                    <c:pt idx="5">
                      <c:v>40</c:v>
                    </c:pt>
                    <c:pt idx="6">
                      <c:v>50</c:v>
                    </c:pt>
                    <c:pt idx="7">
                      <c:v>50</c:v>
                    </c:pt>
                    <c:pt idx="8">
                      <c:v>50</c:v>
                    </c:pt>
                    <c:pt idx="9">
                      <c:v>56</c:v>
                    </c:pt>
                    <c:pt idx="10">
                      <c:v>74</c:v>
                    </c:pt>
                    <c:pt idx="11">
                      <c:v>78</c:v>
                    </c:pt>
                    <c:pt idx="12">
                      <c:v>86</c:v>
                    </c:pt>
                    <c:pt idx="13">
                      <c:v>84</c:v>
                    </c:pt>
                    <c:pt idx="14">
                      <c:v>109</c:v>
                    </c:pt>
                    <c:pt idx="15">
                      <c:v>106</c:v>
                    </c:pt>
                    <c:pt idx="16">
                      <c:v>106</c:v>
                    </c:pt>
                    <c:pt idx="17">
                      <c:v>118</c:v>
                    </c:pt>
                    <c:pt idx="18">
                      <c:v>132</c:v>
                    </c:pt>
                    <c:pt idx="19">
                      <c:v>156</c:v>
                    </c:pt>
                    <c:pt idx="20">
                      <c:v>148</c:v>
                    </c:pt>
                    <c:pt idx="21">
                      <c:v>149</c:v>
                    </c:pt>
                    <c:pt idx="22">
                      <c:v>168</c:v>
                    </c:pt>
                    <c:pt idx="23">
                      <c:v>180</c:v>
                    </c:pt>
                    <c:pt idx="24">
                      <c:v>172</c:v>
                    </c:pt>
                    <c:pt idx="25">
                      <c:v>184</c:v>
                    </c:pt>
                    <c:pt idx="26">
                      <c:v>189</c:v>
                    </c:pt>
                    <c:pt idx="27">
                      <c:v>239</c:v>
                    </c:pt>
                    <c:pt idx="28">
                      <c:v>236</c:v>
                    </c:pt>
                    <c:pt idx="29">
                      <c:v>290</c:v>
                    </c:pt>
                    <c:pt idx="30">
                      <c:v>375</c:v>
                    </c:pt>
                    <c:pt idx="31">
                      <c:v>406</c:v>
                    </c:pt>
                    <c:pt idx="32">
                      <c:v>440</c:v>
                    </c:pt>
                    <c:pt idx="33">
                      <c:v>440</c:v>
                    </c:pt>
                    <c:pt idx="34">
                      <c:v>408</c:v>
                    </c:pt>
                    <c:pt idx="35">
                      <c:v>410</c:v>
                    </c:pt>
                    <c:pt idx="36">
                      <c:v>475</c:v>
                    </c:pt>
                    <c:pt idx="37">
                      <c:v>550</c:v>
                    </c:pt>
                    <c:pt idx="38">
                      <c:v>460</c:v>
                    </c:pt>
                    <c:pt idx="39">
                      <c:v>624</c:v>
                    </c:pt>
                    <c:pt idx="40">
                      <c:v>515</c:v>
                    </c:pt>
                    <c:pt idx="41">
                      <c:v>853</c:v>
                    </c:pt>
                  </c:numLit>
                </c:xVal>
                <c:yVal>
                  <c:numLit>
                    <c:formatCode>General</c:formatCode>
                    <c:ptCount val="42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35</c:v>
                    </c:pt>
                    <c:pt idx="4">
                      <c:v>37</c:v>
                    </c:pt>
                    <c:pt idx="5">
                      <c:v>38</c:v>
                    </c:pt>
                    <c:pt idx="6">
                      <c:v>48</c:v>
                    </c:pt>
                    <c:pt idx="7">
                      <c:v>50</c:v>
                    </c:pt>
                    <c:pt idx="8">
                      <c:v>50</c:v>
                    </c:pt>
                    <c:pt idx="9">
                      <c:v>50</c:v>
                    </c:pt>
                    <c:pt idx="10">
                      <c:v>68</c:v>
                    </c:pt>
                    <c:pt idx="11">
                      <c:v>74</c:v>
                    </c:pt>
                    <c:pt idx="12">
                      <c:v>74</c:v>
                    </c:pt>
                    <c:pt idx="13">
                      <c:v>78</c:v>
                    </c:pt>
                    <c:pt idx="14">
                      <c:v>97</c:v>
                    </c:pt>
                    <c:pt idx="15">
                      <c:v>98</c:v>
                    </c:pt>
                    <c:pt idx="16">
                      <c:v>106</c:v>
                    </c:pt>
                    <c:pt idx="17">
                      <c:v>108</c:v>
                    </c:pt>
                    <c:pt idx="18">
                      <c:v>108</c:v>
                    </c:pt>
                    <c:pt idx="19">
                      <c:v>124</c:v>
                    </c:pt>
                    <c:pt idx="20">
                      <c:v>128</c:v>
                    </c:pt>
                    <c:pt idx="21">
                      <c:v>128</c:v>
                    </c:pt>
                    <c:pt idx="22">
                      <c:v>146</c:v>
                    </c:pt>
                    <c:pt idx="23">
                      <c:v>150</c:v>
                    </c:pt>
                    <c:pt idx="24">
                      <c:v>155</c:v>
                    </c:pt>
                    <c:pt idx="25">
                      <c:v>160</c:v>
                    </c:pt>
                    <c:pt idx="26">
                      <c:v>177</c:v>
                    </c:pt>
                    <c:pt idx="27">
                      <c:v>186</c:v>
                    </c:pt>
                    <c:pt idx="28">
                      <c:v>220</c:v>
                    </c:pt>
                    <c:pt idx="29">
                      <c:v>237</c:v>
                    </c:pt>
                    <c:pt idx="30">
                      <c:v>242</c:v>
                    </c:pt>
                    <c:pt idx="31">
                      <c:v>247</c:v>
                    </c:pt>
                    <c:pt idx="32">
                      <c:v>277</c:v>
                    </c:pt>
                    <c:pt idx="33">
                      <c:v>277</c:v>
                    </c:pt>
                    <c:pt idx="34">
                      <c:v>280</c:v>
                    </c:pt>
                    <c:pt idx="35">
                      <c:v>323</c:v>
                    </c:pt>
                    <c:pt idx="36">
                      <c:v>326</c:v>
                    </c:pt>
                    <c:pt idx="37">
                      <c:v>370</c:v>
                    </c:pt>
                    <c:pt idx="38">
                      <c:v>375</c:v>
                    </c:pt>
                    <c:pt idx="39">
                      <c:v>400</c:v>
                    </c:pt>
                    <c:pt idx="40">
                      <c:v>467</c:v>
                    </c:pt>
                    <c:pt idx="41">
                      <c:v>555</c:v>
                    </c:pt>
                  </c:numLit>
                </c:yVal>
                <c:smooth val="0"/>
                <c:extLst>
                  <c:ext xmlns:c16="http://schemas.microsoft.com/office/drawing/2014/chart" uri="{C3380CC4-5D6E-409C-BE32-E72D297353CC}">
                    <c16:uniqueId val="{00000003-7017-3949-969C-7A2E0E2D7458}"/>
                  </c:ext>
                </c:extLst>
              </c15:ser>
            </c15:filteredScatterSeries>
          </c:ext>
        </c:extLst>
      </c:scatterChart>
      <c:valAx>
        <c:axId val="377077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Maximum number of seats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en-US" sz="1200" b="0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7079680"/>
        <c:crosses val="autoZero"/>
        <c:crossBetween val="midCat"/>
      </c:valAx>
      <c:valAx>
        <c:axId val="37707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nl-BE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Typical number of seats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en-US" sz="1200" b="0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7077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 rtl="0">
        <a:defRPr lang="en-US" sz="1200" b="0" i="0" u="none" strike="noStrike" kern="1200" baseline="0">
          <a:solidFill>
            <a:sysClr val="windowText" lastClr="000000">
              <a:lumMod val="65000"/>
              <a:lumOff val="35000"/>
            </a:sysClr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Hurtecant!$U$6:$U$35</c:f>
              <c:numCache>
                <c:formatCode>0.000000</c:formatCode>
                <c:ptCount val="30"/>
                <c:pt idx="0">
                  <c:v>2.2221766973589607E-3</c:v>
                </c:pt>
                <c:pt idx="1">
                  <c:v>4.4443533947179214E-3</c:v>
                </c:pt>
                <c:pt idx="2">
                  <c:v>6.6665300920768821E-3</c:v>
                </c:pt>
                <c:pt idx="3">
                  <c:v>8.8887067894358428E-3</c:v>
                </c:pt>
                <c:pt idx="4">
                  <c:v>1.1110883486794804E-2</c:v>
                </c:pt>
                <c:pt idx="5">
                  <c:v>1.3333060184153766E-2</c:v>
                </c:pt>
                <c:pt idx="6">
                  <c:v>1.5555236881512727E-2</c:v>
                </c:pt>
                <c:pt idx="7">
                  <c:v>1.7777413578871689E-2</c:v>
                </c:pt>
                <c:pt idx="8">
                  <c:v>1.9999590276230651E-2</c:v>
                </c:pt>
                <c:pt idx="9">
                  <c:v>2.2221766973589612E-2</c:v>
                </c:pt>
                <c:pt idx="10">
                  <c:v>2.4443943670948574E-2</c:v>
                </c:pt>
                <c:pt idx="11">
                  <c:v>2.6666120368307535E-2</c:v>
                </c:pt>
                <c:pt idx="12">
                  <c:v>2.8888297065666497E-2</c:v>
                </c:pt>
                <c:pt idx="13">
                  <c:v>3.1110473763025458E-2</c:v>
                </c:pt>
                <c:pt idx="14">
                  <c:v>3.3332650460384416E-2</c:v>
                </c:pt>
                <c:pt idx="15">
                  <c:v>3.5554827157743378E-2</c:v>
                </c:pt>
                <c:pt idx="16">
                  <c:v>3.777700385510234E-2</c:v>
                </c:pt>
                <c:pt idx="17">
                  <c:v>3.9999180552461301E-2</c:v>
                </c:pt>
                <c:pt idx="18">
                  <c:v>4.2221357249820263E-2</c:v>
                </c:pt>
                <c:pt idx="19">
                  <c:v>4.4443533947179224E-2</c:v>
                </c:pt>
                <c:pt idx="20">
                  <c:v>4.6665710644538186E-2</c:v>
                </c:pt>
                <c:pt idx="21">
                  <c:v>4.8887887341897147E-2</c:v>
                </c:pt>
                <c:pt idx="22">
                  <c:v>5.1110064039256109E-2</c:v>
                </c:pt>
                <c:pt idx="23">
                  <c:v>5.3332240736615071E-2</c:v>
                </c:pt>
                <c:pt idx="24">
                  <c:v>5.5554417433974032E-2</c:v>
                </c:pt>
                <c:pt idx="25">
                  <c:v>5.7776594131332994E-2</c:v>
                </c:pt>
                <c:pt idx="26">
                  <c:v>5.9998770828691955E-2</c:v>
                </c:pt>
                <c:pt idx="27">
                  <c:v>6.2220947526050917E-2</c:v>
                </c:pt>
                <c:pt idx="28">
                  <c:v>6.4443124223409878E-2</c:v>
                </c:pt>
                <c:pt idx="29">
                  <c:v>6.6665300920768833E-2</c:v>
                </c:pt>
              </c:numCache>
            </c:numRef>
          </c:cat>
          <c:val>
            <c:numRef>
              <c:f>Hurtecant!$V$6:$V$35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5</c:v>
                </c:pt>
                <c:pt idx="9">
                  <c:v>3</c:v>
                </c:pt>
                <c:pt idx="10">
                  <c:v>6</c:v>
                </c:pt>
                <c:pt idx="11">
                  <c:v>5</c:v>
                </c:pt>
                <c:pt idx="12">
                  <c:v>10</c:v>
                </c:pt>
                <c:pt idx="13">
                  <c:v>4</c:v>
                </c:pt>
                <c:pt idx="14">
                  <c:v>5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4-B545-B394-12CE78769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7202944"/>
        <c:axId val="377229696"/>
      </c:barChart>
      <c:catAx>
        <c:axId val="377202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lang="en-US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/>
                  <a:t>Fuel consumption (kg/km/seat)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77229696"/>
        <c:crosses val="autoZero"/>
        <c:auto val="1"/>
        <c:lblAlgn val="ctr"/>
        <c:lblOffset val="100"/>
        <c:noMultiLvlLbl val="0"/>
      </c:catAx>
      <c:valAx>
        <c:axId val="37722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en-US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/>
                  <a:t>Quantity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77202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 rtl="0">
        <a:defRPr lang="en-US" sz="1200" b="0" i="0" u="none" strike="noStrike" kern="1200" baseline="0">
          <a:solidFill>
            <a:schemeClr val="tx1">
              <a:lumMod val="65000"/>
              <a:lumOff val="35000"/>
            </a:schemeClr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invertIfNegative val="0"/>
          <c:val>
            <c:numRef>
              <c:f>Overview!$B$57:$H$57</c:f>
              <c:numCache>
                <c:formatCode>0.00000</c:formatCode>
                <c:ptCount val="7"/>
                <c:pt idx="0">
                  <c:v>0.27283102480798815</c:v>
                </c:pt>
                <c:pt idx="1">
                  <c:v>1.8468930952279505</c:v>
                </c:pt>
                <c:pt idx="2">
                  <c:v>0.30603913566215479</c:v>
                </c:pt>
                <c:pt idx="3">
                  <c:v>0.25596433495304677</c:v>
                </c:pt>
                <c:pt idx="4">
                  <c:v>0.30685213838830877</c:v>
                </c:pt>
                <c:pt idx="5">
                  <c:v>0.21611430480961924</c:v>
                </c:pt>
                <c:pt idx="6">
                  <c:v>0.2630745752823348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4-1F4C-A89F-4C2CBBEE8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44576"/>
        <c:axId val="210829312"/>
      </c:barChart>
      <c:catAx>
        <c:axId val="20114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10829312"/>
        <c:crosses val="autoZero"/>
        <c:auto val="1"/>
        <c:lblAlgn val="ctr"/>
        <c:lblOffset val="100"/>
        <c:noMultiLvlLbl val="0"/>
      </c:catAx>
      <c:valAx>
        <c:axId val="210829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consumption, coeff. of variation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01144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</c:spPr>
          <c:invertIfNegative val="0"/>
          <c:val>
            <c:numRef>
              <c:f>Matrix!$C$12:$I$12</c:f>
              <c:numCache>
                <c:formatCode>0.00000</c:formatCode>
                <c:ptCount val="7"/>
                <c:pt idx="0">
                  <c:v>0.37821407493079801</c:v>
                </c:pt>
                <c:pt idx="1">
                  <c:v>0.45780337533622895</c:v>
                </c:pt>
                <c:pt idx="2">
                  <c:v>0.26069352530441275</c:v>
                </c:pt>
                <c:pt idx="3">
                  <c:v>0.38029476080668578</c:v>
                </c:pt>
                <c:pt idx="4">
                  <c:v>0.23824292020275553</c:v>
                </c:pt>
                <c:pt idx="5">
                  <c:v>0.24250157529038963</c:v>
                </c:pt>
                <c:pt idx="6">
                  <c:v>0.36952510344341205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F4-F345-AEBB-DBBD72D26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214848"/>
        <c:axId val="272166912"/>
      </c:barChart>
      <c:catAx>
        <c:axId val="27121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72166912"/>
        <c:crosses val="autoZero"/>
        <c:auto val="1"/>
        <c:lblAlgn val="ctr"/>
        <c:lblOffset val="100"/>
        <c:noMultiLvlLbl val="0"/>
      </c:catAx>
      <c:valAx>
        <c:axId val="272166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average of determination coefficient[-]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14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71214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Overview!$D$127:$D$133</c:f>
              <c:numCache>
                <c:formatCode>General</c:formatCode>
                <c:ptCount val="7"/>
                <c:pt idx="0">
                  <c:v>0.46189999999999998</c:v>
                </c:pt>
                <c:pt idx="1">
                  <c:v>0.58309999999999995</c:v>
                </c:pt>
                <c:pt idx="2">
                  <c:v>2.1499999999999998E-2</c:v>
                </c:pt>
                <c:pt idx="3">
                  <c:v>0.4834</c:v>
                </c:pt>
                <c:pt idx="4">
                  <c:v>4.7100000000000003E-2</c:v>
                </c:pt>
                <c:pt idx="5">
                  <c:v>3.4099999999999998E-2</c:v>
                </c:pt>
                <c:pt idx="6">
                  <c:v>0.4572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5-824A-8CF7-30A14C70A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2170368"/>
        <c:axId val="272255232"/>
      </c:barChart>
      <c:catAx>
        <c:axId val="27217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72255232"/>
        <c:crosses val="autoZero"/>
        <c:auto val="1"/>
        <c:lblAlgn val="ctr"/>
        <c:lblOffset val="100"/>
        <c:noMultiLvlLbl val="0"/>
      </c:catAx>
      <c:valAx>
        <c:axId val="272255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vaules of the eigenvector of highest eigenvalue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28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72170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val>
            <c:numRef>
              <c:f>Matrix!$X$4:$X$10</c:f>
              <c:numCache>
                <c:formatCode>0.00000</c:formatCode>
                <c:ptCount val="7"/>
                <c:pt idx="0">
                  <c:v>0.35858560865350708</c:v>
                </c:pt>
                <c:pt idx="1">
                  <c:v>0.23122637985172942</c:v>
                </c:pt>
                <c:pt idx="2">
                  <c:v>0.20346937370049964</c:v>
                </c:pt>
                <c:pt idx="3">
                  <c:v>0.15244799447885646</c:v>
                </c:pt>
                <c:pt idx="4">
                  <c:v>0.27260085309123827</c:v>
                </c:pt>
                <c:pt idx="5">
                  <c:v>0.18314183087330557</c:v>
                </c:pt>
                <c:pt idx="6">
                  <c:v>0.23574964473907611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D0-1743-B203-78009A925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2350592"/>
        <c:axId val="272652160"/>
      </c:barChart>
      <c:catAx>
        <c:axId val="27235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72652160"/>
        <c:crosses val="autoZero"/>
        <c:auto val="1"/>
        <c:lblAlgn val="ctr"/>
        <c:lblOffset val="100"/>
        <c:noMultiLvlLbl val="0"/>
      </c:catAx>
      <c:valAx>
        <c:axId val="272652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 MAPE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0.31528944298629336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72350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invertIfNegative val="0"/>
          <c:val>
            <c:numRef>
              <c:f>Overview!$B$56:$H$56</c:f>
              <c:numCache>
                <c:formatCode>0.00000</c:formatCode>
                <c:ptCount val="7"/>
                <c:pt idx="0">
                  <c:v>5.75543721607648E-3</c:v>
                </c:pt>
                <c:pt idx="1">
                  <c:v>8.2788986515791529E-2</c:v>
                </c:pt>
                <c:pt idx="2">
                  <c:v>6.2856244271234669E-3</c:v>
                </c:pt>
                <c:pt idx="3">
                  <c:v>6.9442296627939106E-3</c:v>
                </c:pt>
                <c:pt idx="4">
                  <c:v>6.2807078344739569E-3</c:v>
                </c:pt>
                <c:pt idx="5">
                  <c:v>4.5335894404507394E-3</c:v>
                </c:pt>
                <c:pt idx="6">
                  <c:v>6.8222787963537019E-3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CF-9D44-9B1D-CA4DFB91F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44576"/>
        <c:axId val="210829312"/>
      </c:barChart>
      <c:catAx>
        <c:axId val="20114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10829312"/>
        <c:crosses val="autoZero"/>
        <c:auto val="1"/>
        <c:lblAlgn val="ctr"/>
        <c:lblOffset val="100"/>
        <c:noMultiLvlLbl val="0"/>
      </c:catAx>
      <c:valAx>
        <c:axId val="210829312"/>
        <c:scaling>
          <c:orientation val="minMax"/>
          <c:max val="9.0000000000000028E-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consumption, standard deviation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E-2"/>
            </c:manualLayout>
          </c:layout>
          <c:overlay val="0"/>
        </c:title>
        <c:numFmt formatCode="#,##0.000" sourceLinked="0"/>
        <c:majorTickMark val="out"/>
        <c:minorTickMark val="none"/>
        <c:tickLblPos val="nextTo"/>
        <c:crossAx val="201144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'Fuel Consumption Analysis'!$B$1</c:f>
              <c:strCache>
                <c:ptCount val="1"/>
                <c:pt idx="0">
                  <c:v>Fuel Consumption, SAR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Analysis'!$B$2:$B$51</c:f>
              <c:numCache>
                <c:formatCode>0.00000</c:formatCode>
                <c:ptCount val="49"/>
                <c:pt idx="0">
                  <c:v>1.7824956503039901E-2</c:v>
                </c:pt>
                <c:pt idx="1">
                  <c:v>1.514441951440002E-2</c:v>
                </c:pt>
                <c:pt idx="2">
                  <c:v>1.5166712466794907E-2</c:v>
                </c:pt>
                <c:pt idx="3">
                  <c:v>1.3905139814485087E-2</c:v>
                </c:pt>
                <c:pt idx="4">
                  <c:v>1.7757516552697274E-2</c:v>
                </c:pt>
                <c:pt idx="5">
                  <c:v>1.5381437835141541E-2</c:v>
                </c:pt>
                <c:pt idx="6">
                  <c:v>1.4973628691983123E-2</c:v>
                </c:pt>
                <c:pt idx="7">
                  <c:v>2.6780615158684833E-2</c:v>
                </c:pt>
                <c:pt idx="8">
                  <c:v>1.7078213511287424E-2</c:v>
                </c:pt>
                <c:pt idx="9">
                  <c:v>1.743908265647396E-2</c:v>
                </c:pt>
                <c:pt idx="10">
                  <c:v>1.8508486818345972E-2</c:v>
                </c:pt>
                <c:pt idx="11">
                  <c:v>1.8014143284121684E-2</c:v>
                </c:pt>
                <c:pt idx="12">
                  <c:v>2.0947588654360551E-2</c:v>
                </c:pt>
                <c:pt idx="13">
                  <c:v>1.8335862417804754E-2</c:v>
                </c:pt>
                <c:pt idx="14">
                  <c:v>1.8964467005076143E-2</c:v>
                </c:pt>
                <c:pt idx="15">
                  <c:v>1.7155601303825697E-2</c:v>
                </c:pt>
                <c:pt idx="16">
                  <c:v>1.822785285520246E-2</c:v>
                </c:pt>
                <c:pt idx="17">
                  <c:v>1.8957909029192123E-2</c:v>
                </c:pt>
                <c:pt idx="18">
                  <c:v>1.502087832973362E-2</c:v>
                </c:pt>
                <c:pt idx="19">
                  <c:v>1.9107564347532878E-2</c:v>
                </c:pt>
                <c:pt idx="20">
                  <c:v>1.9124641592174061E-2</c:v>
                </c:pt>
                <c:pt idx="21">
                  <c:v>1.8771550362775787E-2</c:v>
                </c:pt>
                <c:pt idx="22">
                  <c:v>2.0865347769781356E-2</c:v>
                </c:pt>
                <c:pt idx="23">
                  <c:v>2.0794985497545739E-2</c:v>
                </c:pt>
                <c:pt idx="24">
                  <c:v>2.0415385034161744E-2</c:v>
                </c:pt>
                <c:pt idx="25">
                  <c:v>2.0345707870697873E-2</c:v>
                </c:pt>
                <c:pt idx="26">
                  <c:v>2.1640826873385012E-2</c:v>
                </c:pt>
                <c:pt idx="27">
                  <c:v>2.1864877371587231E-2</c:v>
                </c:pt>
                <c:pt idx="28">
                  <c:v>1.937711609657311E-2</c:v>
                </c:pt>
                <c:pt idx="29">
                  <c:v>2.0569484875992528E-2</c:v>
                </c:pt>
                <c:pt idx="30">
                  <c:v>2.2312131849824477E-2</c:v>
                </c:pt>
                <c:pt idx="31">
                  <c:v>2.1158501129156581E-2</c:v>
                </c:pt>
                <c:pt idx="32">
                  <c:v>1.7717478052673583E-2</c:v>
                </c:pt>
                <c:pt idx="33">
                  <c:v>2.1346886912325287E-2</c:v>
                </c:pt>
                <c:pt idx="34">
                  <c:v>1.9816118935837245E-2</c:v>
                </c:pt>
                <c:pt idx="35">
                  <c:v>2.6976272046694581E-2</c:v>
                </c:pt>
                <c:pt idx="36">
                  <c:v>2.4224299065420559E-2</c:v>
                </c:pt>
                <c:pt idx="37">
                  <c:v>2.0380980712360799E-2</c:v>
                </c:pt>
                <c:pt idx="38">
                  <c:v>2.3912191297530382E-2</c:v>
                </c:pt>
                <c:pt idx="39">
                  <c:v>2.2077597957342241E-2</c:v>
                </c:pt>
                <c:pt idx="40">
                  <c:v>2.2657754616517502E-2</c:v>
                </c:pt>
                <c:pt idx="41">
                  <c:v>2.2613256308908484E-2</c:v>
                </c:pt>
                <c:pt idx="42">
                  <c:v>2.2289987206081458E-2</c:v>
                </c:pt>
                <c:pt idx="43">
                  <c:v>2.8077753779697626E-2</c:v>
                </c:pt>
                <c:pt idx="44">
                  <c:v>2.2850469069351172E-2</c:v>
                </c:pt>
                <c:pt idx="45">
                  <c:v>2.2059439095856007E-2</c:v>
                </c:pt>
                <c:pt idx="46">
                  <c:v>2.6129943502824857E-2</c:v>
                </c:pt>
                <c:pt idx="47">
                  <c:v>2.3268190542662711E-2</c:v>
                </c:pt>
                <c:pt idx="48">
                  <c:v>3.5087719298245612E-2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EA-5242-A5BD-119278933D34}"/>
            </c:ext>
          </c:extLst>
        </c:ser>
        <c:ser>
          <c:idx val="2"/>
          <c:order val="1"/>
          <c:tx>
            <c:strRef>
              <c:f>'Fuel Consumption Analysis'!$C$1</c:f>
              <c:strCache>
                <c:ptCount val="1"/>
                <c:pt idx="0">
                  <c:v>Fuel Consumption, Extended Payload-Range Diagram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Analysis'!$C$2:$C$51</c:f>
              <c:numCache>
                <c:formatCode>0.00000</c:formatCode>
                <c:ptCount val="49"/>
                <c:pt idx="0">
                  <c:v>1.7780441971421951E-2</c:v>
                </c:pt>
                <c:pt idx="1">
                  <c:v>2.0367620948433311E-2</c:v>
                </c:pt>
                <c:pt idx="2">
                  <c:v>2.079073674106071E-2</c:v>
                </c:pt>
                <c:pt idx="3">
                  <c:v>2.1683263732733694E-2</c:v>
                </c:pt>
                <c:pt idx="4">
                  <c:v>2.0134013016575303E-2</c:v>
                </c:pt>
                <c:pt idx="5">
                  <c:v>2.127985068918567E-2</c:v>
                </c:pt>
                <c:pt idx="6">
                  <c:v>2.1225701943844488E-2</c:v>
                </c:pt>
                <c:pt idx="7">
                  <c:v>1.313676835498466E-2</c:v>
                </c:pt>
                <c:pt idx="8">
                  <c:v>2.9719057935565032E-2</c:v>
                </c:pt>
                <c:pt idx="9">
                  <c:v>2.8071557155715562E-2</c:v>
                </c:pt>
                <c:pt idx="10">
                  <c:v>2.6367849257874824E-2</c:v>
                </c:pt>
                <c:pt idx="11">
                  <c:v>2.4786426564698302E-2</c:v>
                </c:pt>
                <c:pt idx="12">
                  <c:v>2.4164068982530103E-2</c:v>
                </c:pt>
                <c:pt idx="13">
                  <c:v>2.6618581487205903E-2</c:v>
                </c:pt>
                <c:pt idx="14">
                  <c:v>4.4195804195804191E-2</c:v>
                </c:pt>
                <c:pt idx="15">
                  <c:v>2.7400793011185975E-2</c:v>
                </c:pt>
                <c:pt idx="16">
                  <c:v>2.5762319581407563E-2</c:v>
                </c:pt>
                <c:pt idx="17">
                  <c:v>2.7139999999999991E-2</c:v>
                </c:pt>
                <c:pt idx="18">
                  <c:v>2.8917950710000428E-2</c:v>
                </c:pt>
                <c:pt idx="19">
                  <c:v>3.4227939575987125E-2</c:v>
                </c:pt>
                <c:pt idx="20">
                  <c:v>2.7141855698876925E-2</c:v>
                </c:pt>
                <c:pt idx="21">
                  <c:v>2.9373302394186319E-2</c:v>
                </c:pt>
                <c:pt idx="22">
                  <c:v>2.7980430864303487E-2</c:v>
                </c:pt>
                <c:pt idx="23">
                  <c:v>2.9463719898605838E-2</c:v>
                </c:pt>
                <c:pt idx="24">
                  <c:v>3.1762164909160215E-2</c:v>
                </c:pt>
                <c:pt idx="25">
                  <c:v>3.4518447252955498E-2</c:v>
                </c:pt>
                <c:pt idx="26">
                  <c:v>2.9832869466483888E-2</c:v>
                </c:pt>
                <c:pt idx="27">
                  <c:v>2.9391344596158289E-2</c:v>
                </c:pt>
                <c:pt idx="28">
                  <c:v>3.3889803443408938E-2</c:v>
                </c:pt>
                <c:pt idx="29">
                  <c:v>2.9532674104790813E-2</c:v>
                </c:pt>
                <c:pt idx="30">
                  <c:v>3.1255350513440486E-2</c:v>
                </c:pt>
                <c:pt idx="31">
                  <c:v>2.9614167606309725E-2</c:v>
                </c:pt>
                <c:pt idx="32">
                  <c:v>4.0692041522491333E-2</c:v>
                </c:pt>
                <c:pt idx="33">
                  <c:v>4.6732090284592728E-2</c:v>
                </c:pt>
                <c:pt idx="34">
                  <c:v>3.7942771431868014E-2</c:v>
                </c:pt>
                <c:pt idx="35">
                  <c:v>4.6377911388710544E-2</c:v>
                </c:pt>
                <c:pt idx="36">
                  <c:v>4.4882186616399616E-2</c:v>
                </c:pt>
                <c:pt idx="37">
                  <c:v>3.409633350760348E-2</c:v>
                </c:pt>
                <c:pt idx="38">
                  <c:v>3.8811771238200996E-2</c:v>
                </c:pt>
                <c:pt idx="39">
                  <c:v>3.9020390811229357E-2</c:v>
                </c:pt>
                <c:pt idx="40">
                  <c:v>4.0969131878222771E-2</c:v>
                </c:pt>
                <c:pt idx="41">
                  <c:v>3.4299723455352593E-2</c:v>
                </c:pt>
                <c:pt idx="42">
                  <c:v>4.0145071456327446E-2</c:v>
                </c:pt>
                <c:pt idx="43">
                  <c:v>3.9795338260375221E-2</c:v>
                </c:pt>
                <c:pt idx="44">
                  <c:v>4.4396581671645924E-2</c:v>
                </c:pt>
                <c:pt idx="45">
                  <c:v>6.2073246430788369E-2</c:v>
                </c:pt>
                <c:pt idx="46">
                  <c:v>4.0849673202614387E-2</c:v>
                </c:pt>
                <c:pt idx="47">
                  <c:v>4.3930021868166212E-2</c:v>
                </c:pt>
                <c:pt idx="48">
                  <c:v>7.9802069275753479E-2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EA-5242-A5BD-119278933D34}"/>
            </c:ext>
          </c:extLst>
        </c:ser>
        <c:ser>
          <c:idx val="3"/>
          <c:order val="2"/>
          <c:tx>
            <c:strRef>
              <c:f>'Fuel Consumption Analysis'!$D$1</c:f>
              <c:strCache>
                <c:ptCount val="1"/>
                <c:pt idx="0">
                  <c:v>Fuel Consumption, Bathtub Curve (Harmonic Range)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Analysis'!$D$2:$D$51</c:f>
              <c:numCache>
                <c:formatCode>0.00000</c:formatCode>
                <c:ptCount val="49"/>
                <c:pt idx="0">
                  <c:v>1.3785310734463277E-2</c:v>
                </c:pt>
                <c:pt idx="1">
                  <c:v>1.7184466019417477E-2</c:v>
                </c:pt>
                <c:pt idx="2">
                  <c:v>1.6944444444444443E-2</c:v>
                </c:pt>
                <c:pt idx="3">
                  <c:v>1.7575757575757574E-2</c:v>
                </c:pt>
                <c:pt idx="4">
                  <c:v>1.6108108108108109E-2</c:v>
                </c:pt>
                <c:pt idx="5">
                  <c:v>1.7469135802469136E-2</c:v>
                </c:pt>
                <c:pt idx="6">
                  <c:v>1.8266666666666667E-2</c:v>
                </c:pt>
                <c:pt idx="8">
                  <c:v>1.3414634146341465E-2</c:v>
                </c:pt>
                <c:pt idx="9">
                  <c:v>1.8173076923076924E-2</c:v>
                </c:pt>
                <c:pt idx="10">
                  <c:v>2.0192307692307693E-2</c:v>
                </c:pt>
                <c:pt idx="11">
                  <c:v>2.2285714285714284E-2</c:v>
                </c:pt>
                <c:pt idx="12">
                  <c:v>2.0295081967213115E-2</c:v>
                </c:pt>
                <c:pt idx="13">
                  <c:v>2.0933333333333335E-2</c:v>
                </c:pt>
                <c:pt idx="14">
                  <c:v>3.4000000000000002E-3</c:v>
                </c:pt>
                <c:pt idx="15">
                  <c:v>2.2388059701492536E-2</c:v>
                </c:pt>
                <c:pt idx="16">
                  <c:v>2.296551724137931E-2</c:v>
                </c:pt>
                <c:pt idx="17">
                  <c:v>2.1187500000000001E-2</c:v>
                </c:pt>
                <c:pt idx="18">
                  <c:v>2.5266666666666666E-2</c:v>
                </c:pt>
                <c:pt idx="19">
                  <c:v>1.6451612903225808E-2</c:v>
                </c:pt>
                <c:pt idx="20">
                  <c:v>2.4297520661157024E-2</c:v>
                </c:pt>
                <c:pt idx="21">
                  <c:v>2.3409961685823755E-2</c:v>
                </c:pt>
                <c:pt idx="22">
                  <c:v>2.3704918032786886E-2</c:v>
                </c:pt>
                <c:pt idx="23">
                  <c:v>2.328125E-2</c:v>
                </c:pt>
                <c:pt idx="24">
                  <c:v>2.1911764705882353E-2</c:v>
                </c:pt>
                <c:pt idx="25">
                  <c:v>1.9358974358974358E-2</c:v>
                </c:pt>
                <c:pt idx="26">
                  <c:v>2.2777777777777779E-2</c:v>
                </c:pt>
                <c:pt idx="27">
                  <c:v>2.3700000000000002E-2</c:v>
                </c:pt>
                <c:pt idx="28">
                  <c:v>2.3636363636363636E-2</c:v>
                </c:pt>
                <c:pt idx="29">
                  <c:v>2.6834782608695651E-2</c:v>
                </c:pt>
                <c:pt idx="30">
                  <c:v>2.3537414965986395E-2</c:v>
                </c:pt>
                <c:pt idx="31">
                  <c:v>2.6602739726027398E-2</c:v>
                </c:pt>
                <c:pt idx="32">
                  <c:v>1.9E-2</c:v>
                </c:pt>
                <c:pt idx="33">
                  <c:v>1.1399999999999999E-2</c:v>
                </c:pt>
                <c:pt idx="34">
                  <c:v>2.2555555555555554E-2</c:v>
                </c:pt>
                <c:pt idx="35">
                  <c:v>7.8378378378378376E-3</c:v>
                </c:pt>
                <c:pt idx="36">
                  <c:v>1.24E-2</c:v>
                </c:pt>
                <c:pt idx="37">
                  <c:v>3.0121951219512194E-2</c:v>
                </c:pt>
                <c:pt idx="38">
                  <c:v>2.2099999999999998E-2</c:v>
                </c:pt>
                <c:pt idx="39">
                  <c:v>2.4020618556701033E-2</c:v>
                </c:pt>
                <c:pt idx="40">
                  <c:v>2.3461538461538461E-2</c:v>
                </c:pt>
                <c:pt idx="41">
                  <c:v>3.09375E-2</c:v>
                </c:pt>
                <c:pt idx="42">
                  <c:v>2.5754716981132075E-2</c:v>
                </c:pt>
                <c:pt idx="43">
                  <c:v>2.2200000000000001E-2</c:v>
                </c:pt>
                <c:pt idx="44">
                  <c:v>2.662162162162162E-2</c:v>
                </c:pt>
                <c:pt idx="45">
                  <c:v>1.4333333333333333E-2</c:v>
                </c:pt>
                <c:pt idx="46">
                  <c:v>3.1875000000000001E-2</c:v>
                </c:pt>
                <c:pt idx="47">
                  <c:v>3.1909090909090908E-2</c:v>
                </c:pt>
                <c:pt idx="48">
                  <c:v>2.1052631578947368E-2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8EA-5242-A5BD-119278933D34}"/>
            </c:ext>
          </c:extLst>
        </c:ser>
        <c:ser>
          <c:idx val="0"/>
          <c:order val="3"/>
          <c:tx>
            <c:strRef>
              <c:f>'Fuel Consumption Analysis'!$F$1</c:f>
              <c:strCache>
                <c:ptCount val="1"/>
                <c:pt idx="0">
                  <c:v>Fuel Consumption, EEA Master Emission Calculator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Analysis'!$F$2:$F$51</c:f>
              <c:numCache>
                <c:formatCode>0.00000</c:formatCode>
                <c:ptCount val="49"/>
                <c:pt idx="0">
                  <c:v>2.0470158997449694E-2</c:v>
                </c:pt>
                <c:pt idx="2">
                  <c:v>1.94016558675306E-2</c:v>
                </c:pt>
                <c:pt idx="4">
                  <c:v>2.1769100060915009E-2</c:v>
                </c:pt>
                <c:pt idx="5">
                  <c:v>2.0479472312736804E-2</c:v>
                </c:pt>
                <c:pt idx="10">
                  <c:v>2.5626981004218858E-2</c:v>
                </c:pt>
                <c:pt idx="11">
                  <c:v>1.8797049738978052E-2</c:v>
                </c:pt>
                <c:pt idx="12">
                  <c:v>2.5031396470139716E-2</c:v>
                </c:pt>
                <c:pt idx="13">
                  <c:v>2.1738279237506441E-2</c:v>
                </c:pt>
                <c:pt idx="15">
                  <c:v>2.1596015602333905E-2</c:v>
                </c:pt>
                <c:pt idx="16">
                  <c:v>2.0555472726885477E-2</c:v>
                </c:pt>
                <c:pt idx="17">
                  <c:v>2.1632000000000002E-2</c:v>
                </c:pt>
                <c:pt idx="18">
                  <c:v>2.1721610773015668E-2</c:v>
                </c:pt>
                <c:pt idx="19">
                  <c:v>2.7900396151669497E-2</c:v>
                </c:pt>
                <c:pt idx="20">
                  <c:v>2.2908286044854953E-2</c:v>
                </c:pt>
                <c:pt idx="21">
                  <c:v>2.4249042145593872E-2</c:v>
                </c:pt>
                <c:pt idx="22">
                  <c:v>2.490612393785941E-2</c:v>
                </c:pt>
                <c:pt idx="23">
                  <c:v>2.4817411280101391E-2</c:v>
                </c:pt>
                <c:pt idx="24">
                  <c:v>2.7779189429551519E-2</c:v>
                </c:pt>
                <c:pt idx="26">
                  <c:v>2.7905398856256664E-2</c:v>
                </c:pt>
                <c:pt idx="27">
                  <c:v>2.4276556352696134E-2</c:v>
                </c:pt>
                <c:pt idx="28">
                  <c:v>3.0674194176674149E-2</c:v>
                </c:pt>
                <c:pt idx="29">
                  <c:v>2.5951020203359699E-2</c:v>
                </c:pt>
                <c:pt idx="30">
                  <c:v>2.6013204545169817E-2</c:v>
                </c:pt>
                <c:pt idx="31">
                  <c:v>2.6364108106420914E-2</c:v>
                </c:pt>
                <c:pt idx="34">
                  <c:v>2.859005422868351E-2</c:v>
                </c:pt>
                <c:pt idx="37">
                  <c:v>2.7488558785867451E-2</c:v>
                </c:pt>
                <c:pt idx="38">
                  <c:v>3.2252082176568581E-2</c:v>
                </c:pt>
                <c:pt idx="39">
                  <c:v>3.3925471559651602E-2</c:v>
                </c:pt>
                <c:pt idx="40">
                  <c:v>3.166066256975348E-2</c:v>
                </c:pt>
                <c:pt idx="41">
                  <c:v>2.675983370933702E-2</c:v>
                </c:pt>
                <c:pt idx="42">
                  <c:v>3.1029748283752861E-2</c:v>
                </c:pt>
                <c:pt idx="43">
                  <c:v>3.6604889141557705E-2</c:v>
                </c:pt>
                <c:pt idx="44">
                  <c:v>3.2640867088167859E-2</c:v>
                </c:pt>
                <c:pt idx="45">
                  <c:v>5.822594661700807E-2</c:v>
                </c:pt>
                <c:pt idx="46">
                  <c:v>3.3870829033367737E-2</c:v>
                </c:pt>
                <c:pt idx="47">
                  <c:v>3.1055295220243671E-2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88EA-5242-A5BD-119278933D34}"/>
            </c:ext>
          </c:extLst>
        </c:ser>
        <c:ser>
          <c:idx val="4"/>
          <c:order val="4"/>
          <c:tx>
            <c:strRef>
              <c:f>'Fuel Consumption Analysis'!$G$1</c:f>
              <c:strCache>
                <c:ptCount val="1"/>
                <c:pt idx="0">
                  <c:v>Fuel Consumption, BADA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Analysis'!$G$2:$G$51</c:f>
              <c:numCache>
                <c:formatCode>0.00000</c:formatCode>
                <c:ptCount val="49"/>
                <c:pt idx="8">
                  <c:v>5.6789224608664E-3</c:v>
                </c:pt>
                <c:pt idx="13">
                  <c:v>1.9310691354613139E-2</c:v>
                </c:pt>
                <c:pt idx="14">
                  <c:v>1.1818181818181821E-2</c:v>
                </c:pt>
                <c:pt idx="17">
                  <c:v>2.4284424358767077E-2</c:v>
                </c:pt>
                <c:pt idx="18">
                  <c:v>2.0504068530704626E-2</c:v>
                </c:pt>
                <c:pt idx="21">
                  <c:v>2.1776550110563196E-2</c:v>
                </c:pt>
                <c:pt idx="23">
                  <c:v>3.0355530448458845E-2</c:v>
                </c:pt>
                <c:pt idx="24">
                  <c:v>1.076470588235294E-2</c:v>
                </c:pt>
                <c:pt idx="26">
                  <c:v>2.3527383546380294E-2</c:v>
                </c:pt>
                <c:pt idx="27">
                  <c:v>2.0687181572734151E-2</c:v>
                </c:pt>
                <c:pt idx="28">
                  <c:v>2.4063292725679707E-2</c:v>
                </c:pt>
                <c:pt idx="30">
                  <c:v>2.0166328754040251E-2</c:v>
                </c:pt>
                <c:pt idx="35">
                  <c:v>1.6864864864864867E-2</c:v>
                </c:pt>
                <c:pt idx="37">
                  <c:v>2.5004961622810521E-2</c:v>
                </c:pt>
                <c:pt idx="39">
                  <c:v>2.219061544142191E-2</c:v>
                </c:pt>
                <c:pt idx="41">
                  <c:v>3.1292904344961785E-2</c:v>
                </c:pt>
                <c:pt idx="45">
                  <c:v>1.7770034843205582E-2</c:v>
                </c:pt>
                <c:pt idx="46">
                  <c:v>1.5885416666666669E-2</c:v>
                </c:pt>
                <c:pt idx="47">
                  <c:v>2.694954842585379E-2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88EA-5242-A5BD-119278933D34}"/>
            </c:ext>
          </c:extLst>
        </c:ser>
        <c:ser>
          <c:idx val="5"/>
          <c:order val="5"/>
          <c:tx>
            <c:strRef>
              <c:f>'Fuel Consumption Analysis'!$H$1</c:f>
              <c:strCache>
                <c:ptCount val="1"/>
                <c:pt idx="0">
                  <c:v>Fuel Consumption, Handbook Methods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Analysis'!$H$2:$H$51</c:f>
              <c:numCache>
                <c:formatCode>0.00000</c:formatCode>
                <c:ptCount val="49"/>
                <c:pt idx="0">
                  <c:v>1.6927057579567518E-2</c:v>
                </c:pt>
                <c:pt idx="1">
                  <c:v>1.4399446119038739E-2</c:v>
                </c:pt>
                <c:pt idx="2">
                  <c:v>1.654243077155056E-2</c:v>
                </c:pt>
                <c:pt idx="3">
                  <c:v>1.5173537318064468E-2</c:v>
                </c:pt>
                <c:pt idx="4">
                  <c:v>1.962226134258228E-2</c:v>
                </c:pt>
                <c:pt idx="5">
                  <c:v>1.7096347711813648E-2</c:v>
                </c:pt>
                <c:pt idx="6">
                  <c:v>1.4454743795292326E-2</c:v>
                </c:pt>
                <c:pt idx="9">
                  <c:v>1.7362786693673686E-2</c:v>
                </c:pt>
                <c:pt idx="10">
                  <c:v>1.8428636458143025E-2</c:v>
                </c:pt>
                <c:pt idx="11">
                  <c:v>2.4326911959472754E-2</c:v>
                </c:pt>
                <c:pt idx="12">
                  <c:v>2.6621315134700074E-2</c:v>
                </c:pt>
                <c:pt idx="13">
                  <c:v>1.9808164212606581E-2</c:v>
                </c:pt>
                <c:pt idx="15">
                  <c:v>2.0842312585967006E-2</c:v>
                </c:pt>
                <c:pt idx="16">
                  <c:v>2.3010585738148896E-2</c:v>
                </c:pt>
                <c:pt idx="17">
                  <c:v>1.9335959540771976E-2</c:v>
                </c:pt>
                <c:pt idx="18">
                  <c:v>2.6331405352900066E-2</c:v>
                </c:pt>
                <c:pt idx="19">
                  <c:v>1.3082963201166111E-2</c:v>
                </c:pt>
                <c:pt idx="20">
                  <c:v>2.435066770491438E-2</c:v>
                </c:pt>
                <c:pt idx="21">
                  <c:v>2.550425584500297E-2</c:v>
                </c:pt>
                <c:pt idx="22">
                  <c:v>2.7022516690302818E-2</c:v>
                </c:pt>
                <c:pt idx="23">
                  <c:v>2.1102979634677506E-2</c:v>
                </c:pt>
                <c:pt idx="25">
                  <c:v>1.8797915196435474E-2</c:v>
                </c:pt>
                <c:pt idx="26">
                  <c:v>2.1505421768622586E-2</c:v>
                </c:pt>
                <c:pt idx="27">
                  <c:v>2.1869181912474379E-2</c:v>
                </c:pt>
                <c:pt idx="28">
                  <c:v>2.2928504088358195E-2</c:v>
                </c:pt>
                <c:pt idx="29">
                  <c:v>2.9207794641665907E-2</c:v>
                </c:pt>
                <c:pt idx="30">
                  <c:v>2.0469488397419605E-2</c:v>
                </c:pt>
                <c:pt idx="31">
                  <c:v>2.7091113995536553E-2</c:v>
                </c:pt>
                <c:pt idx="32">
                  <c:v>1.9923066893285987E-2</c:v>
                </c:pt>
                <c:pt idx="33">
                  <c:v>1.8964041321593437E-2</c:v>
                </c:pt>
                <c:pt idx="34">
                  <c:v>1.8626311532869602E-2</c:v>
                </c:pt>
                <c:pt idx="36">
                  <c:v>1.8943503525986907E-2</c:v>
                </c:pt>
                <c:pt idx="37">
                  <c:v>3.1136511210591595E-2</c:v>
                </c:pt>
                <c:pt idx="38">
                  <c:v>1.6655375787836733E-2</c:v>
                </c:pt>
                <c:pt idx="39">
                  <c:v>2.3379662989747387E-2</c:v>
                </c:pt>
                <c:pt idx="40">
                  <c:v>2.0982137857828265E-2</c:v>
                </c:pt>
                <c:pt idx="41">
                  <c:v>3.0998428062404364E-2</c:v>
                </c:pt>
                <c:pt idx="42">
                  <c:v>1.277511049732645E-2</c:v>
                </c:pt>
                <c:pt idx="43">
                  <c:v>1.9206750491913904E-2</c:v>
                </c:pt>
                <c:pt idx="44">
                  <c:v>2.0893849574731151E-2</c:v>
                </c:pt>
                <c:pt idx="47">
                  <c:v>2.4385836272180196E-2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88EA-5242-A5BD-119278933D34}"/>
            </c:ext>
          </c:extLst>
        </c:ser>
        <c:ser>
          <c:idx val="6"/>
          <c:order val="6"/>
          <c:tx>
            <c:strRef>
              <c:f>'Fuel Consumption Analysis'!$I$1</c:f>
              <c:strCache>
                <c:ptCount val="1"/>
                <c:pt idx="0">
                  <c:v>Fuel Consumption, Literature Review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Analysis'!$I$2:$I$51</c:f>
              <c:numCache>
                <c:formatCode>0.00000</c:formatCode>
                <c:ptCount val="49"/>
                <c:pt idx="0">
                  <c:v>1.9006479481641469E-2</c:v>
                </c:pt>
                <c:pt idx="1">
                  <c:v>1.7742375727119331E-2</c:v>
                </c:pt>
                <c:pt idx="2">
                  <c:v>1.84931822011879E-2</c:v>
                </c:pt>
                <c:pt idx="3">
                  <c:v>1.8194732838307477E-2</c:v>
                </c:pt>
                <c:pt idx="4">
                  <c:v>2.023519258185745E-2</c:v>
                </c:pt>
                <c:pt idx="5">
                  <c:v>1.8466149558172211E-2</c:v>
                </c:pt>
                <c:pt idx="6">
                  <c:v>1.9E-2</c:v>
                </c:pt>
                <c:pt idx="7">
                  <c:v>2.9805615550755941E-2</c:v>
                </c:pt>
                <c:pt idx="8">
                  <c:v>2.231707317073171E-2</c:v>
                </c:pt>
                <c:pt idx="9">
                  <c:v>2.6600000000000002E-2</c:v>
                </c:pt>
                <c:pt idx="10">
                  <c:v>2.3257575757575755E-2</c:v>
                </c:pt>
                <c:pt idx="11">
                  <c:v>2.4487041036717064E-2</c:v>
                </c:pt>
                <c:pt idx="12">
                  <c:v>2.3122923588039867E-2</c:v>
                </c:pt>
                <c:pt idx="13">
                  <c:v>2.11365784332311E-2</c:v>
                </c:pt>
                <c:pt idx="15">
                  <c:v>2.3912834987313801E-2</c:v>
                </c:pt>
                <c:pt idx="16">
                  <c:v>2.4673599331252519E-2</c:v>
                </c:pt>
                <c:pt idx="17">
                  <c:v>1.9546436285097193E-2</c:v>
                </c:pt>
                <c:pt idx="18">
                  <c:v>2.98E-2</c:v>
                </c:pt>
                <c:pt idx="19">
                  <c:v>2.6515103919099139E-2</c:v>
                </c:pt>
                <c:pt idx="20">
                  <c:v>2.1451372125524074E-2</c:v>
                </c:pt>
                <c:pt idx="21">
                  <c:v>2.0500359971202305E-2</c:v>
                </c:pt>
                <c:pt idx="22">
                  <c:v>2.2393442622950819E-2</c:v>
                </c:pt>
                <c:pt idx="23">
                  <c:v>2.2408207343412527E-2</c:v>
                </c:pt>
                <c:pt idx="24">
                  <c:v>1.9722222222222221E-2</c:v>
                </c:pt>
                <c:pt idx="25">
                  <c:v>3.5230057223718962E-2</c:v>
                </c:pt>
                <c:pt idx="26">
                  <c:v>2.7698412698412701E-2</c:v>
                </c:pt>
                <c:pt idx="27">
                  <c:v>1.8574514038876888E-2</c:v>
                </c:pt>
                <c:pt idx="29">
                  <c:v>2.5558935135541826E-2</c:v>
                </c:pt>
                <c:pt idx="31">
                  <c:v>2.1814254859611231E-2</c:v>
                </c:pt>
                <c:pt idx="32">
                  <c:v>2.8673469387755102E-2</c:v>
                </c:pt>
                <c:pt idx="33">
                  <c:v>3.7400000000000003E-2</c:v>
                </c:pt>
                <c:pt idx="34">
                  <c:v>3.3170583683490948E-2</c:v>
                </c:pt>
                <c:pt idx="36">
                  <c:v>3.6000000000000004E-2</c:v>
                </c:pt>
                <c:pt idx="37">
                  <c:v>3.1099999999999999E-2</c:v>
                </c:pt>
                <c:pt idx="38">
                  <c:v>2.8615069399156777E-2</c:v>
                </c:pt>
                <c:pt idx="40">
                  <c:v>3.1662780679049679E-2</c:v>
                </c:pt>
                <c:pt idx="41">
                  <c:v>2.6700863930885527E-2</c:v>
                </c:pt>
                <c:pt idx="43">
                  <c:v>3.1229503662361938E-2</c:v>
                </c:pt>
                <c:pt idx="44">
                  <c:v>3.3023342529235181E-2</c:v>
                </c:pt>
                <c:pt idx="45">
                  <c:v>3.0912526997840167E-2</c:v>
                </c:pt>
                <c:pt idx="46">
                  <c:v>2.6249999999999999E-2</c:v>
                </c:pt>
                <c:pt idx="48">
                  <c:v>5.2777732668604554E-2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88EA-5242-A5BD-119278933D34}"/>
            </c:ext>
          </c:extLst>
        </c:ser>
        <c:ser>
          <c:idx val="7"/>
          <c:order val="7"/>
          <c:tx>
            <c:strRef>
              <c:f>'Fuel Consumption Analysis'!$E$1:$E$2</c:f>
              <c:strCache>
                <c:ptCount val="2"/>
                <c:pt idx="0">
                  <c:v>Average Fuel Consumption, SAR (kg/km/seat), Fuel Consumption, Extended Payload-Range Diagram (kg/km/seat), Fuel Consumption, Bathtub Curve (Harmonic Range) (kg/km/seat)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Analysis'!$E$3:$E$51</c:f>
              <c:numCache>
                <c:formatCode>0.00000</c:formatCode>
                <c:ptCount val="49"/>
                <c:pt idx="0">
                  <c:v>1.6463569736308376E-2</c:v>
                </c:pt>
                <c:pt idx="1">
                  <c:v>1.7565502160750267E-2</c:v>
                </c:pt>
                <c:pt idx="2">
                  <c:v>1.7633964550766688E-2</c:v>
                </c:pt>
                <c:pt idx="3">
                  <c:v>1.7721387040992118E-2</c:v>
                </c:pt>
                <c:pt idx="4">
                  <c:v>1.7999879225793564E-2</c:v>
                </c:pt>
                <c:pt idx="5">
                  <c:v>1.804347477559878E-2</c:v>
                </c:pt>
                <c:pt idx="6">
                  <c:v>1.8155332434164759E-2</c:v>
                </c:pt>
                <c:pt idx="7">
                  <c:v>1.9958691756834748E-2</c:v>
                </c:pt>
                <c:pt idx="8">
                  <c:v>2.0070635197731307E-2</c:v>
                </c:pt>
                <c:pt idx="9">
                  <c:v>2.1227905578422149E-2</c:v>
                </c:pt>
                <c:pt idx="10">
                  <c:v>2.168954792284283E-2</c:v>
                </c:pt>
                <c:pt idx="11">
                  <c:v>2.1695428044844756E-2</c:v>
                </c:pt>
                <c:pt idx="12">
                  <c:v>2.1802246534701253E-2</c:v>
                </c:pt>
                <c:pt idx="13">
                  <c:v>2.1962592412781329E-2</c:v>
                </c:pt>
                <c:pt idx="14">
                  <c:v>2.2186757066960109E-2</c:v>
                </c:pt>
                <c:pt idx="15">
                  <c:v>2.2314818005501402E-2</c:v>
                </c:pt>
                <c:pt idx="16">
                  <c:v>2.2318563225996443E-2</c:v>
                </c:pt>
                <c:pt idx="17">
                  <c:v>2.2428469676397372E-2</c:v>
                </c:pt>
                <c:pt idx="18">
                  <c:v>2.3068498568800239E-2</c:v>
                </c:pt>
                <c:pt idx="19">
                  <c:v>2.3262372275581936E-2</c:v>
                </c:pt>
                <c:pt idx="20">
                  <c:v>2.3521339317402672E-2</c:v>
                </c:pt>
                <c:pt idx="21">
                  <c:v>2.3851604814261951E-2</c:v>
                </c:pt>
                <c:pt idx="22">
                  <c:v>2.4183565555623912E-2</c:v>
                </c:pt>
                <c:pt idx="23">
                  <c:v>2.4513318465383859E-2</c:v>
                </c:pt>
                <c:pt idx="24">
                  <c:v>2.469643821640144E-2</c:v>
                </c:pt>
                <c:pt idx="25">
                  <c:v>2.4741043160875911E-2</c:v>
                </c:pt>
                <c:pt idx="26">
                  <c:v>2.4750491372548894E-2</c:v>
                </c:pt>
                <c:pt idx="27">
                  <c:v>2.4985407322581841E-2</c:v>
                </c:pt>
                <c:pt idx="28">
                  <c:v>2.563442772544856E-2</c:v>
                </c:pt>
                <c:pt idx="29">
                  <c:v>2.5645647196492996E-2</c:v>
                </c:pt>
                <c:pt idx="30">
                  <c:v>2.5701632443083784E-2</c:v>
                </c:pt>
                <c:pt idx="31">
                  <c:v>2.5791802820497905E-2</c:v>
                </c:pt>
                <c:pt idx="32">
                  <c:v>2.5803173191721637E-2</c:v>
                </c:pt>
                <c:pt idx="33">
                  <c:v>2.6492992398972671E-2</c:v>
                </c:pt>
                <c:pt idx="34">
                  <c:v>2.677148197442027E-2</c:v>
                </c:pt>
                <c:pt idx="35">
                  <c:v>2.7064007091080988E-2</c:v>
                </c:pt>
                <c:pt idx="36">
                  <c:v>2.7168828560606723E-2</c:v>
                </c:pt>
                <c:pt idx="37">
                  <c:v>2.8199755146492159E-2</c:v>
                </c:pt>
                <c:pt idx="38">
                  <c:v>2.8274654178577122E-2</c:v>
                </c:pt>
                <c:pt idx="39">
                  <c:v>2.8372869108424209E-2</c:v>
                </c:pt>
                <c:pt idx="40">
                  <c:v>2.9029474985426244E-2</c:v>
                </c:pt>
                <c:pt idx="41">
                  <c:v>2.9283493254753695E-2</c:v>
                </c:pt>
                <c:pt idx="42">
                  <c:v>2.9396591881180326E-2</c:v>
                </c:pt>
                <c:pt idx="43">
                  <c:v>3.0024364013357615E-2</c:v>
                </c:pt>
                <c:pt idx="44">
                  <c:v>3.1289557454206245E-2</c:v>
                </c:pt>
                <c:pt idx="45">
                  <c:v>3.2822006286659239E-2</c:v>
                </c:pt>
                <c:pt idx="46">
                  <c:v>3.2951538901813078E-2</c:v>
                </c:pt>
                <c:pt idx="47">
                  <c:v>3.3035767773306607E-2</c:v>
                </c:pt>
                <c:pt idx="48">
                  <c:v>4.5314140050982159E-2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97-4105-B43C-BA03ED1A5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986111"/>
        <c:axId val="327988607"/>
      </c:lineChart>
      <c:catAx>
        <c:axId val="327986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8607"/>
        <c:crosses val="autoZero"/>
        <c:auto val="1"/>
        <c:lblAlgn val="ctr"/>
        <c:lblOffset val="100"/>
        <c:noMultiLvlLbl val="0"/>
      </c:catAx>
      <c:valAx>
        <c:axId val="32798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6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332218839815661"/>
          <c:y val="2.1426796502508189E-2"/>
          <c:w val="0.15019996477527051"/>
          <c:h val="0.724855473710947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'Fuel Consumption Analysis'!$B$1</c:f>
              <c:strCache>
                <c:ptCount val="1"/>
                <c:pt idx="0">
                  <c:v>Fuel Consumption, SAR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Analysis'!$B$2:$B$51</c:f>
              <c:numCache>
                <c:formatCode>0.00000</c:formatCode>
                <c:ptCount val="49"/>
                <c:pt idx="0">
                  <c:v>1.7824956503039901E-2</c:v>
                </c:pt>
                <c:pt idx="1">
                  <c:v>1.514441951440002E-2</c:v>
                </c:pt>
                <c:pt idx="2">
                  <c:v>1.5166712466794907E-2</c:v>
                </c:pt>
                <c:pt idx="3">
                  <c:v>1.3905139814485087E-2</c:v>
                </c:pt>
                <c:pt idx="4">
                  <c:v>1.7757516552697274E-2</c:v>
                </c:pt>
                <c:pt idx="5">
                  <c:v>1.5381437835141541E-2</c:v>
                </c:pt>
                <c:pt idx="6">
                  <c:v>1.4973628691983123E-2</c:v>
                </c:pt>
                <c:pt idx="7">
                  <c:v>2.6780615158684833E-2</c:v>
                </c:pt>
                <c:pt idx="8">
                  <c:v>1.7078213511287424E-2</c:v>
                </c:pt>
                <c:pt idx="9">
                  <c:v>1.743908265647396E-2</c:v>
                </c:pt>
                <c:pt idx="10">
                  <c:v>1.8508486818345972E-2</c:v>
                </c:pt>
                <c:pt idx="11">
                  <c:v>1.8014143284121684E-2</c:v>
                </c:pt>
                <c:pt idx="12">
                  <c:v>2.0947588654360551E-2</c:v>
                </c:pt>
                <c:pt idx="13">
                  <c:v>1.8335862417804754E-2</c:v>
                </c:pt>
                <c:pt idx="14">
                  <c:v>1.8964467005076143E-2</c:v>
                </c:pt>
                <c:pt idx="15">
                  <c:v>1.7155601303825697E-2</c:v>
                </c:pt>
                <c:pt idx="16">
                  <c:v>1.822785285520246E-2</c:v>
                </c:pt>
                <c:pt idx="17">
                  <c:v>1.8957909029192123E-2</c:v>
                </c:pt>
                <c:pt idx="18">
                  <c:v>1.502087832973362E-2</c:v>
                </c:pt>
                <c:pt idx="19">
                  <c:v>1.9107564347532878E-2</c:v>
                </c:pt>
                <c:pt idx="20">
                  <c:v>1.9124641592174061E-2</c:v>
                </c:pt>
                <c:pt idx="21">
                  <c:v>1.8771550362775787E-2</c:v>
                </c:pt>
                <c:pt idx="22">
                  <c:v>2.0865347769781356E-2</c:v>
                </c:pt>
                <c:pt idx="23">
                  <c:v>2.0794985497545739E-2</c:v>
                </c:pt>
                <c:pt idx="24">
                  <c:v>2.0415385034161744E-2</c:v>
                </c:pt>
                <c:pt idx="25">
                  <c:v>2.0345707870697873E-2</c:v>
                </c:pt>
                <c:pt idx="26">
                  <c:v>2.1640826873385012E-2</c:v>
                </c:pt>
                <c:pt idx="27">
                  <c:v>2.1864877371587231E-2</c:v>
                </c:pt>
                <c:pt idx="28">
                  <c:v>1.937711609657311E-2</c:v>
                </c:pt>
                <c:pt idx="29">
                  <c:v>2.0569484875992528E-2</c:v>
                </c:pt>
                <c:pt idx="30">
                  <c:v>2.2312131849824477E-2</c:v>
                </c:pt>
                <c:pt idx="31">
                  <c:v>2.1158501129156581E-2</c:v>
                </c:pt>
                <c:pt idx="32">
                  <c:v>1.7717478052673583E-2</c:v>
                </c:pt>
                <c:pt idx="33">
                  <c:v>2.1346886912325287E-2</c:v>
                </c:pt>
                <c:pt idx="34">
                  <c:v>1.9816118935837245E-2</c:v>
                </c:pt>
                <c:pt idx="35">
                  <c:v>2.6976272046694581E-2</c:v>
                </c:pt>
                <c:pt idx="36">
                  <c:v>2.4224299065420559E-2</c:v>
                </c:pt>
                <c:pt idx="37">
                  <c:v>2.0380980712360799E-2</c:v>
                </c:pt>
                <c:pt idx="38">
                  <c:v>2.3912191297530382E-2</c:v>
                </c:pt>
                <c:pt idx="39">
                  <c:v>2.2077597957342241E-2</c:v>
                </c:pt>
                <c:pt idx="40">
                  <c:v>2.2657754616517502E-2</c:v>
                </c:pt>
                <c:pt idx="41">
                  <c:v>2.2613256308908484E-2</c:v>
                </c:pt>
                <c:pt idx="42">
                  <c:v>2.2289987206081458E-2</c:v>
                </c:pt>
                <c:pt idx="43">
                  <c:v>2.8077753779697626E-2</c:v>
                </c:pt>
                <c:pt idx="44">
                  <c:v>2.2850469069351172E-2</c:v>
                </c:pt>
                <c:pt idx="45">
                  <c:v>2.2059439095856007E-2</c:v>
                </c:pt>
                <c:pt idx="46">
                  <c:v>2.6129943502824857E-2</c:v>
                </c:pt>
                <c:pt idx="47">
                  <c:v>2.3268190542662711E-2</c:v>
                </c:pt>
                <c:pt idx="48">
                  <c:v>3.5087719298245612E-2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7E-9B44-9096-5FAC3A8A8B3D}"/>
            </c:ext>
          </c:extLst>
        </c:ser>
        <c:ser>
          <c:idx val="2"/>
          <c:order val="1"/>
          <c:tx>
            <c:strRef>
              <c:f>'Fuel Consumption Analysis'!$C$1</c:f>
              <c:strCache>
                <c:ptCount val="1"/>
                <c:pt idx="0">
                  <c:v>Fuel Consumption, Extended Payload-Range Diagram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Analysis'!$C$2:$C$51</c:f>
              <c:numCache>
                <c:formatCode>0.00000</c:formatCode>
                <c:ptCount val="49"/>
                <c:pt idx="0">
                  <c:v>1.7780441971421951E-2</c:v>
                </c:pt>
                <c:pt idx="1">
                  <c:v>2.0367620948433311E-2</c:v>
                </c:pt>
                <c:pt idx="2">
                  <c:v>2.079073674106071E-2</c:v>
                </c:pt>
                <c:pt idx="3">
                  <c:v>2.1683263732733694E-2</c:v>
                </c:pt>
                <c:pt idx="4">
                  <c:v>2.0134013016575303E-2</c:v>
                </c:pt>
                <c:pt idx="5">
                  <c:v>2.127985068918567E-2</c:v>
                </c:pt>
                <c:pt idx="6">
                  <c:v>2.1225701943844488E-2</c:v>
                </c:pt>
                <c:pt idx="7">
                  <c:v>1.313676835498466E-2</c:v>
                </c:pt>
                <c:pt idx="8">
                  <c:v>2.9719057935565032E-2</c:v>
                </c:pt>
                <c:pt idx="9">
                  <c:v>2.8071557155715562E-2</c:v>
                </c:pt>
                <c:pt idx="10">
                  <c:v>2.6367849257874824E-2</c:v>
                </c:pt>
                <c:pt idx="11">
                  <c:v>2.4786426564698302E-2</c:v>
                </c:pt>
                <c:pt idx="12">
                  <c:v>2.4164068982530103E-2</c:v>
                </c:pt>
                <c:pt idx="13">
                  <c:v>2.6618581487205903E-2</c:v>
                </c:pt>
                <c:pt idx="14">
                  <c:v>4.4195804195804191E-2</c:v>
                </c:pt>
                <c:pt idx="15">
                  <c:v>2.7400793011185975E-2</c:v>
                </c:pt>
                <c:pt idx="16">
                  <c:v>2.5762319581407563E-2</c:v>
                </c:pt>
                <c:pt idx="17">
                  <c:v>2.7139999999999991E-2</c:v>
                </c:pt>
                <c:pt idx="18">
                  <c:v>2.8917950710000428E-2</c:v>
                </c:pt>
                <c:pt idx="19">
                  <c:v>3.4227939575987125E-2</c:v>
                </c:pt>
                <c:pt idx="20">
                  <c:v>2.7141855698876925E-2</c:v>
                </c:pt>
                <c:pt idx="21">
                  <c:v>2.9373302394186319E-2</c:v>
                </c:pt>
                <c:pt idx="22">
                  <c:v>2.7980430864303487E-2</c:v>
                </c:pt>
                <c:pt idx="23">
                  <c:v>2.9463719898605838E-2</c:v>
                </c:pt>
                <c:pt idx="24">
                  <c:v>3.1762164909160215E-2</c:v>
                </c:pt>
                <c:pt idx="25">
                  <c:v>3.4518447252955498E-2</c:v>
                </c:pt>
                <c:pt idx="26">
                  <c:v>2.9832869466483888E-2</c:v>
                </c:pt>
                <c:pt idx="27">
                  <c:v>2.9391344596158289E-2</c:v>
                </c:pt>
                <c:pt idx="28">
                  <c:v>3.3889803443408938E-2</c:v>
                </c:pt>
                <c:pt idx="29">
                  <c:v>2.9532674104790813E-2</c:v>
                </c:pt>
                <c:pt idx="30">
                  <c:v>3.1255350513440486E-2</c:v>
                </c:pt>
                <c:pt idx="31">
                  <c:v>2.9614167606309725E-2</c:v>
                </c:pt>
                <c:pt idx="32">
                  <c:v>4.0692041522491333E-2</c:v>
                </c:pt>
                <c:pt idx="33">
                  <c:v>4.6732090284592728E-2</c:v>
                </c:pt>
                <c:pt idx="34">
                  <c:v>3.7942771431868014E-2</c:v>
                </c:pt>
                <c:pt idx="35">
                  <c:v>4.6377911388710544E-2</c:v>
                </c:pt>
                <c:pt idx="36">
                  <c:v>4.4882186616399616E-2</c:v>
                </c:pt>
                <c:pt idx="37">
                  <c:v>3.409633350760348E-2</c:v>
                </c:pt>
                <c:pt idx="38">
                  <c:v>3.8811771238200996E-2</c:v>
                </c:pt>
                <c:pt idx="39">
                  <c:v>3.9020390811229357E-2</c:v>
                </c:pt>
                <c:pt idx="40">
                  <c:v>4.0969131878222771E-2</c:v>
                </c:pt>
                <c:pt idx="41">
                  <c:v>3.4299723455352593E-2</c:v>
                </c:pt>
                <c:pt idx="42">
                  <c:v>4.0145071456327446E-2</c:v>
                </c:pt>
                <c:pt idx="43">
                  <c:v>3.9795338260375221E-2</c:v>
                </c:pt>
                <c:pt idx="44">
                  <c:v>4.4396581671645924E-2</c:v>
                </c:pt>
                <c:pt idx="45">
                  <c:v>6.2073246430788369E-2</c:v>
                </c:pt>
                <c:pt idx="46">
                  <c:v>4.0849673202614387E-2</c:v>
                </c:pt>
                <c:pt idx="47">
                  <c:v>4.3930021868166212E-2</c:v>
                </c:pt>
                <c:pt idx="48">
                  <c:v>7.9802069275753479E-2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7E-9B44-9096-5FAC3A8A8B3D}"/>
            </c:ext>
          </c:extLst>
        </c:ser>
        <c:ser>
          <c:idx val="3"/>
          <c:order val="2"/>
          <c:tx>
            <c:strRef>
              <c:f>'Fuel Consumption Analysis'!$D$1</c:f>
              <c:strCache>
                <c:ptCount val="1"/>
                <c:pt idx="0">
                  <c:v>Fuel Consumption, Bathtub Curve (Harmonic Range)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25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</c:dPt>
          <c:dPt>
            <c:idx val="30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</c:dPt>
          <c:cat>
            <c:strRef>
              <c:f>'Fuel Consumption Analysis'!$A$2:$A$51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Analysis'!$D$2:$D$51</c:f>
              <c:numCache>
                <c:formatCode>0.00000</c:formatCode>
                <c:ptCount val="49"/>
                <c:pt idx="0">
                  <c:v>1.3785310734463277E-2</c:v>
                </c:pt>
                <c:pt idx="1">
                  <c:v>1.7184466019417477E-2</c:v>
                </c:pt>
                <c:pt idx="2">
                  <c:v>1.6944444444444443E-2</c:v>
                </c:pt>
                <c:pt idx="3">
                  <c:v>1.7575757575757574E-2</c:v>
                </c:pt>
                <c:pt idx="4">
                  <c:v>1.6108108108108109E-2</c:v>
                </c:pt>
                <c:pt idx="5">
                  <c:v>1.7469135802469136E-2</c:v>
                </c:pt>
                <c:pt idx="6">
                  <c:v>1.8266666666666667E-2</c:v>
                </c:pt>
                <c:pt idx="8">
                  <c:v>1.3414634146341465E-2</c:v>
                </c:pt>
                <c:pt idx="9">
                  <c:v>1.8173076923076924E-2</c:v>
                </c:pt>
                <c:pt idx="10">
                  <c:v>2.0192307692307693E-2</c:v>
                </c:pt>
                <c:pt idx="11">
                  <c:v>2.2285714285714284E-2</c:v>
                </c:pt>
                <c:pt idx="12">
                  <c:v>2.0295081967213115E-2</c:v>
                </c:pt>
                <c:pt idx="13">
                  <c:v>2.0933333333333335E-2</c:v>
                </c:pt>
                <c:pt idx="14">
                  <c:v>3.4000000000000002E-3</c:v>
                </c:pt>
                <c:pt idx="15">
                  <c:v>2.2388059701492536E-2</c:v>
                </c:pt>
                <c:pt idx="16">
                  <c:v>2.296551724137931E-2</c:v>
                </c:pt>
                <c:pt idx="17">
                  <c:v>2.1187500000000001E-2</c:v>
                </c:pt>
                <c:pt idx="18">
                  <c:v>2.5266666666666666E-2</c:v>
                </c:pt>
                <c:pt idx="19">
                  <c:v>1.6451612903225808E-2</c:v>
                </c:pt>
                <c:pt idx="20">
                  <c:v>2.4297520661157024E-2</c:v>
                </c:pt>
                <c:pt idx="21">
                  <c:v>2.3409961685823755E-2</c:v>
                </c:pt>
                <c:pt idx="22">
                  <c:v>2.3704918032786886E-2</c:v>
                </c:pt>
                <c:pt idx="23">
                  <c:v>2.328125E-2</c:v>
                </c:pt>
                <c:pt idx="24">
                  <c:v>2.1911764705882353E-2</c:v>
                </c:pt>
                <c:pt idx="25">
                  <c:v>1.9358974358974358E-2</c:v>
                </c:pt>
                <c:pt idx="26">
                  <c:v>2.2777777777777779E-2</c:v>
                </c:pt>
                <c:pt idx="27">
                  <c:v>2.3700000000000002E-2</c:v>
                </c:pt>
                <c:pt idx="28">
                  <c:v>2.3636363636363636E-2</c:v>
                </c:pt>
                <c:pt idx="29">
                  <c:v>2.6834782608695651E-2</c:v>
                </c:pt>
                <c:pt idx="30">
                  <c:v>2.3537414965986395E-2</c:v>
                </c:pt>
                <c:pt idx="31">
                  <c:v>2.6602739726027398E-2</c:v>
                </c:pt>
                <c:pt idx="32">
                  <c:v>1.9E-2</c:v>
                </c:pt>
                <c:pt idx="33">
                  <c:v>1.1399999999999999E-2</c:v>
                </c:pt>
                <c:pt idx="34">
                  <c:v>2.2555555555555554E-2</c:v>
                </c:pt>
                <c:pt idx="35">
                  <c:v>7.8378378378378376E-3</c:v>
                </c:pt>
                <c:pt idx="36">
                  <c:v>1.24E-2</c:v>
                </c:pt>
                <c:pt idx="37">
                  <c:v>3.0121951219512194E-2</c:v>
                </c:pt>
                <c:pt idx="38">
                  <c:v>2.2099999999999998E-2</c:v>
                </c:pt>
                <c:pt idx="39">
                  <c:v>2.4020618556701033E-2</c:v>
                </c:pt>
                <c:pt idx="40">
                  <c:v>2.3461538461538461E-2</c:v>
                </c:pt>
                <c:pt idx="41">
                  <c:v>3.09375E-2</c:v>
                </c:pt>
                <c:pt idx="42">
                  <c:v>2.5754716981132075E-2</c:v>
                </c:pt>
                <c:pt idx="43">
                  <c:v>2.2200000000000001E-2</c:v>
                </c:pt>
                <c:pt idx="44">
                  <c:v>2.662162162162162E-2</c:v>
                </c:pt>
                <c:pt idx="45">
                  <c:v>1.4333333333333333E-2</c:v>
                </c:pt>
                <c:pt idx="46">
                  <c:v>3.1875000000000001E-2</c:v>
                </c:pt>
                <c:pt idx="47">
                  <c:v>3.1909090909090908E-2</c:v>
                </c:pt>
                <c:pt idx="48">
                  <c:v>2.1052631578947368E-2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7E-9B44-9096-5FAC3A8A8B3D}"/>
            </c:ext>
          </c:extLst>
        </c:ser>
        <c:ser>
          <c:idx val="0"/>
          <c:order val="3"/>
          <c:tx>
            <c:strRef>
              <c:f>'Fuel Consumption Analysis'!$E$1</c:f>
              <c:strCache>
                <c:ptCount val="1"/>
                <c:pt idx="0">
                  <c:v>Average Fuel Consumption, SAR (kg/km/seat), Fuel Consumption, Extended Payload-Range Diagram (kg/km/seat), Fuel Consumption, Bathtub Curve (Harmonic Range)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Analysis'!$E$2:$E$51</c:f>
              <c:numCache>
                <c:formatCode>0.00000</c:formatCode>
                <c:ptCount val="49"/>
                <c:pt idx="0">
                  <c:v>1.6463569736308376E-2</c:v>
                </c:pt>
                <c:pt idx="1">
                  <c:v>1.7565502160750267E-2</c:v>
                </c:pt>
                <c:pt idx="2">
                  <c:v>1.7633964550766688E-2</c:v>
                </c:pt>
                <c:pt idx="3">
                  <c:v>1.7721387040992118E-2</c:v>
                </c:pt>
                <c:pt idx="4">
                  <c:v>1.7999879225793564E-2</c:v>
                </c:pt>
                <c:pt idx="5">
                  <c:v>1.804347477559878E-2</c:v>
                </c:pt>
                <c:pt idx="6">
                  <c:v>1.8155332434164759E-2</c:v>
                </c:pt>
                <c:pt idx="7">
                  <c:v>1.9958691756834748E-2</c:v>
                </c:pt>
                <c:pt idx="8">
                  <c:v>2.0070635197731307E-2</c:v>
                </c:pt>
                <c:pt idx="9">
                  <c:v>2.1227905578422149E-2</c:v>
                </c:pt>
                <c:pt idx="10">
                  <c:v>2.168954792284283E-2</c:v>
                </c:pt>
                <c:pt idx="11">
                  <c:v>2.1695428044844756E-2</c:v>
                </c:pt>
                <c:pt idx="12">
                  <c:v>2.1802246534701253E-2</c:v>
                </c:pt>
                <c:pt idx="13">
                  <c:v>2.1962592412781329E-2</c:v>
                </c:pt>
                <c:pt idx="14">
                  <c:v>2.2186757066960109E-2</c:v>
                </c:pt>
                <c:pt idx="15">
                  <c:v>2.2314818005501402E-2</c:v>
                </c:pt>
                <c:pt idx="16">
                  <c:v>2.2318563225996443E-2</c:v>
                </c:pt>
                <c:pt idx="17">
                  <c:v>2.2428469676397372E-2</c:v>
                </c:pt>
                <c:pt idx="18">
                  <c:v>2.3068498568800239E-2</c:v>
                </c:pt>
                <c:pt idx="19">
                  <c:v>2.3262372275581936E-2</c:v>
                </c:pt>
                <c:pt idx="20">
                  <c:v>2.3521339317402672E-2</c:v>
                </c:pt>
                <c:pt idx="21">
                  <c:v>2.3851604814261951E-2</c:v>
                </c:pt>
                <c:pt idx="22">
                  <c:v>2.4183565555623912E-2</c:v>
                </c:pt>
                <c:pt idx="23">
                  <c:v>2.4513318465383859E-2</c:v>
                </c:pt>
                <c:pt idx="24">
                  <c:v>2.469643821640144E-2</c:v>
                </c:pt>
                <c:pt idx="25">
                  <c:v>2.4741043160875911E-2</c:v>
                </c:pt>
                <c:pt idx="26">
                  <c:v>2.4750491372548894E-2</c:v>
                </c:pt>
                <c:pt idx="27">
                  <c:v>2.4985407322581841E-2</c:v>
                </c:pt>
                <c:pt idx="28">
                  <c:v>2.563442772544856E-2</c:v>
                </c:pt>
                <c:pt idx="29">
                  <c:v>2.5645647196492996E-2</c:v>
                </c:pt>
                <c:pt idx="30">
                  <c:v>2.5701632443083784E-2</c:v>
                </c:pt>
                <c:pt idx="31">
                  <c:v>2.5791802820497905E-2</c:v>
                </c:pt>
                <c:pt idx="32">
                  <c:v>2.5803173191721637E-2</c:v>
                </c:pt>
                <c:pt idx="33">
                  <c:v>2.6492992398972671E-2</c:v>
                </c:pt>
                <c:pt idx="34">
                  <c:v>2.677148197442027E-2</c:v>
                </c:pt>
                <c:pt idx="35">
                  <c:v>2.7064007091080988E-2</c:v>
                </c:pt>
                <c:pt idx="36">
                  <c:v>2.7168828560606723E-2</c:v>
                </c:pt>
                <c:pt idx="37">
                  <c:v>2.8199755146492159E-2</c:v>
                </c:pt>
                <c:pt idx="38">
                  <c:v>2.8274654178577122E-2</c:v>
                </c:pt>
                <c:pt idx="39">
                  <c:v>2.8372869108424209E-2</c:v>
                </c:pt>
                <c:pt idx="40">
                  <c:v>2.9029474985426244E-2</c:v>
                </c:pt>
                <c:pt idx="41">
                  <c:v>2.9283493254753695E-2</c:v>
                </c:pt>
                <c:pt idx="42">
                  <c:v>2.9396591881180326E-2</c:v>
                </c:pt>
                <c:pt idx="43">
                  <c:v>3.0024364013357615E-2</c:v>
                </c:pt>
                <c:pt idx="44">
                  <c:v>3.1289557454206245E-2</c:v>
                </c:pt>
                <c:pt idx="45">
                  <c:v>3.2822006286659239E-2</c:v>
                </c:pt>
                <c:pt idx="46">
                  <c:v>3.2951538901813078E-2</c:v>
                </c:pt>
                <c:pt idx="47">
                  <c:v>3.3035767773306607E-2</c:v>
                </c:pt>
                <c:pt idx="48">
                  <c:v>4.5314140050982159E-2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7E-9B44-9096-5FAC3A8A8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986111"/>
        <c:axId val="327988607"/>
      </c:lineChart>
      <c:catAx>
        <c:axId val="327986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8607"/>
        <c:crosses val="autoZero"/>
        <c:auto val="1"/>
        <c:lblAlgn val="ctr"/>
        <c:lblOffset val="100"/>
        <c:noMultiLvlLbl val="0"/>
      </c:catAx>
      <c:valAx>
        <c:axId val="32798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6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005141148459206"/>
          <c:y val="9.9231847319124156E-2"/>
          <c:w val="0.20099745740058064"/>
          <c:h val="0.51069557001796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Fuel</a:t>
            </a:r>
            <a:r>
              <a:rPr lang="nl-BE" baseline="0"/>
              <a:t> consumption per seat in function of standard number of seats</a:t>
            </a:r>
            <a:endParaRPr lang="nl-BE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5811047276348679E-2"/>
                  <c:y val="-0.46113692159664876"/>
                </c:manualLayout>
              </c:layout>
              <c:numFmt formatCode="0.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Hurtecant!$F$11:$F$77</c:f>
              <c:numCache>
                <c:formatCode>General</c:formatCode>
                <c:ptCount val="67"/>
                <c:pt idx="0">
                  <c:v>134</c:v>
                </c:pt>
                <c:pt idx="1">
                  <c:v>150</c:v>
                </c:pt>
                <c:pt idx="2">
                  <c:v>165</c:v>
                </c:pt>
                <c:pt idx="3">
                  <c:v>185</c:v>
                </c:pt>
                <c:pt idx="4">
                  <c:v>206</c:v>
                </c:pt>
                <c:pt idx="5">
                  <c:v>246</c:v>
                </c:pt>
                <c:pt idx="6">
                  <c:v>300</c:v>
                </c:pt>
                <c:pt idx="7">
                  <c:v>335</c:v>
                </c:pt>
                <c:pt idx="8">
                  <c:v>380</c:v>
                </c:pt>
                <c:pt idx="9">
                  <c:v>315</c:v>
                </c:pt>
                <c:pt idx="10">
                  <c:v>315</c:v>
                </c:pt>
                <c:pt idx="11">
                  <c:v>369</c:v>
                </c:pt>
                <c:pt idx="12">
                  <c:v>575</c:v>
                </c:pt>
                <c:pt idx="13">
                  <c:v>48</c:v>
                </c:pt>
                <c:pt idx="14">
                  <c:v>68</c:v>
                </c:pt>
                <c:pt idx="15">
                  <c:v>19</c:v>
                </c:pt>
                <c:pt idx="16">
                  <c:v>106</c:v>
                </c:pt>
                <c:pt idx="17">
                  <c:v>162</c:v>
                </c:pt>
                <c:pt idx="18">
                  <c:v>180</c:v>
                </c:pt>
                <c:pt idx="19">
                  <c:v>126</c:v>
                </c:pt>
                <c:pt idx="20">
                  <c:v>147</c:v>
                </c:pt>
                <c:pt idx="21">
                  <c:v>110</c:v>
                </c:pt>
                <c:pt idx="22">
                  <c:v>128</c:v>
                </c:pt>
                <c:pt idx="23">
                  <c:v>160</c:v>
                </c:pt>
                <c:pt idx="24">
                  <c:v>177</c:v>
                </c:pt>
                <c:pt idx="25">
                  <c:v>416</c:v>
                </c:pt>
                <c:pt idx="26">
                  <c:v>467</c:v>
                </c:pt>
                <c:pt idx="27">
                  <c:v>200</c:v>
                </c:pt>
                <c:pt idx="28">
                  <c:v>243</c:v>
                </c:pt>
                <c:pt idx="29">
                  <c:v>210</c:v>
                </c:pt>
                <c:pt idx="30">
                  <c:v>243</c:v>
                </c:pt>
                <c:pt idx="31">
                  <c:v>305</c:v>
                </c:pt>
                <c:pt idx="32">
                  <c:v>305</c:v>
                </c:pt>
                <c:pt idx="33">
                  <c:v>301</c:v>
                </c:pt>
                <c:pt idx="34">
                  <c:v>368</c:v>
                </c:pt>
                <c:pt idx="35">
                  <c:v>365</c:v>
                </c:pt>
                <c:pt idx="36">
                  <c:v>242</c:v>
                </c:pt>
                <c:pt idx="37">
                  <c:v>290</c:v>
                </c:pt>
                <c:pt idx="38">
                  <c:v>330</c:v>
                </c:pt>
                <c:pt idx="39">
                  <c:v>298</c:v>
                </c:pt>
                <c:pt idx="40">
                  <c:v>143</c:v>
                </c:pt>
                <c:pt idx="41">
                  <c:v>155</c:v>
                </c:pt>
                <c:pt idx="42">
                  <c:v>37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78</c:v>
                </c:pt>
                <c:pt idx="47">
                  <c:v>90</c:v>
                </c:pt>
                <c:pt idx="48">
                  <c:v>104</c:v>
                </c:pt>
                <c:pt idx="49">
                  <c:v>37</c:v>
                </c:pt>
                <c:pt idx="50">
                  <c:v>82</c:v>
                </c:pt>
                <c:pt idx="51">
                  <c:v>19</c:v>
                </c:pt>
                <c:pt idx="52">
                  <c:v>19</c:v>
                </c:pt>
                <c:pt idx="53">
                  <c:v>74</c:v>
                </c:pt>
                <c:pt idx="54">
                  <c:v>78</c:v>
                </c:pt>
                <c:pt idx="55">
                  <c:v>100</c:v>
                </c:pt>
                <c:pt idx="56">
                  <c:v>104</c:v>
                </c:pt>
                <c:pt idx="57">
                  <c:v>124</c:v>
                </c:pt>
                <c:pt idx="58">
                  <c:v>104</c:v>
                </c:pt>
                <c:pt idx="59">
                  <c:v>30</c:v>
                </c:pt>
                <c:pt idx="60">
                  <c:v>37</c:v>
                </c:pt>
                <c:pt idx="61">
                  <c:v>44</c:v>
                </c:pt>
                <c:pt idx="62">
                  <c:v>50</c:v>
                </c:pt>
                <c:pt idx="63">
                  <c:v>97</c:v>
                </c:pt>
                <c:pt idx="64">
                  <c:v>72</c:v>
                </c:pt>
                <c:pt idx="65">
                  <c:v>46</c:v>
                </c:pt>
                <c:pt idx="66">
                  <c:v>34</c:v>
                </c:pt>
              </c:numCache>
            </c:numRef>
          </c:xVal>
          <c:yVal>
            <c:numRef>
              <c:f>Hurtecant!$O$11:$O$77</c:f>
              <c:numCache>
                <c:formatCode>0.0000</c:formatCode>
                <c:ptCount val="67"/>
                <c:pt idx="0">
                  <c:v>2.7400793011185975E-2</c:v>
                </c:pt>
                <c:pt idx="1">
                  <c:v>2.6618581487205903E-2</c:v>
                </c:pt>
                <c:pt idx="2">
                  <c:v>2.1683263732733694E-2</c:v>
                </c:pt>
                <c:pt idx="3">
                  <c:v>2.0134013016575303E-2</c:v>
                </c:pt>
                <c:pt idx="4">
                  <c:v>2.0367620948433311E-2</c:v>
                </c:pt>
                <c:pt idx="5">
                  <c:v>3.409633350760348E-2</c:v>
                </c:pt>
                <c:pt idx="6">
                  <c:v>2.8917950710000428E-2</c:v>
                </c:pt>
                <c:pt idx="7">
                  <c:v>3.0591521609127197E-2</c:v>
                </c:pt>
                <c:pt idx="8">
                  <c:v>3.0031936400660212E-2</c:v>
                </c:pt>
                <c:pt idx="9">
                  <c:v>2.4786426564698302E-2</c:v>
                </c:pt>
                <c:pt idx="10">
                  <c:v>2.5874324290551021E-2</c:v>
                </c:pt>
                <c:pt idx="11">
                  <c:v>2.5085584960564671E-2</c:v>
                </c:pt>
                <c:pt idx="12">
                  <c:v>2.9532674104790813E-2</c:v>
                </c:pt>
                <c:pt idx="13">
                  <c:v>4.0849673202614387E-2</c:v>
                </c:pt>
                <c:pt idx="14">
                  <c:v>3.1762164909160215E-2</c:v>
                </c:pt>
                <c:pt idx="15">
                  <c:v>7.9802069275753479E-2</c:v>
                </c:pt>
                <c:pt idx="16">
                  <c:v>4.0145071456327446E-2</c:v>
                </c:pt>
                <c:pt idx="17">
                  <c:v>2.127985068918567E-2</c:v>
                </c:pt>
                <c:pt idx="18">
                  <c:v>2.079073674106071E-2</c:v>
                </c:pt>
                <c:pt idx="19">
                  <c:v>2.9832869466483888E-2</c:v>
                </c:pt>
                <c:pt idx="20">
                  <c:v>3.1255350513440486E-2</c:v>
                </c:pt>
                <c:pt idx="21">
                  <c:v>4.3930021868166212E-2</c:v>
                </c:pt>
                <c:pt idx="22">
                  <c:v>2.9463719898605838E-2</c:v>
                </c:pt>
                <c:pt idx="23">
                  <c:v>2.7139999999999991E-2</c:v>
                </c:pt>
                <c:pt idx="24">
                  <c:v>1.7780441971421951E-2</c:v>
                </c:pt>
                <c:pt idx="25">
                  <c:v>3.4299723455352593E-2</c:v>
                </c:pt>
                <c:pt idx="26">
                  <c:v>2.9957161653921042E-2</c:v>
                </c:pt>
                <c:pt idx="27">
                  <c:v>2.9391344596158289E-2</c:v>
                </c:pt>
                <c:pt idx="28">
                  <c:v>2.6403043773160884E-2</c:v>
                </c:pt>
                <c:pt idx="29">
                  <c:v>3.1705673094926043E-2</c:v>
                </c:pt>
                <c:pt idx="30">
                  <c:v>3.2600186984960346E-2</c:v>
                </c:pt>
                <c:pt idx="31">
                  <c:v>2.7980430864303487E-2</c:v>
                </c:pt>
                <c:pt idx="32">
                  <c:v>2.4164068982530103E-2</c:v>
                </c:pt>
                <c:pt idx="33">
                  <c:v>3.2720243643373795E-2</c:v>
                </c:pt>
                <c:pt idx="34">
                  <c:v>3.0126414363501476E-2</c:v>
                </c:pt>
                <c:pt idx="35">
                  <c:v>2.9614167606309725E-2</c:v>
                </c:pt>
                <c:pt idx="36">
                  <c:v>2.7141855698876925E-2</c:v>
                </c:pt>
                <c:pt idx="37">
                  <c:v>2.5762319581407563E-2</c:v>
                </c:pt>
                <c:pt idx="38">
                  <c:v>2.4086267661034021E-2</c:v>
                </c:pt>
                <c:pt idx="39">
                  <c:v>3.2795346343344391E-2</c:v>
                </c:pt>
                <c:pt idx="40">
                  <c:v>3.3889803443408938E-2</c:v>
                </c:pt>
                <c:pt idx="41">
                  <c:v>3.3400003058763957E-2</c:v>
                </c:pt>
                <c:pt idx="42">
                  <c:v>4.1860764656634415E-2</c:v>
                </c:pt>
                <c:pt idx="43">
                  <c:v>4.4195804195804191E-2</c:v>
                </c:pt>
                <c:pt idx="44">
                  <c:v>4.6732090284592728E-2</c:v>
                </c:pt>
                <c:pt idx="45">
                  <c:v>4.4882186616399616E-2</c:v>
                </c:pt>
                <c:pt idx="46">
                  <c:v>3.4518447252955498E-2</c:v>
                </c:pt>
                <c:pt idx="47">
                  <c:v>3.7942771431868014E-2</c:v>
                </c:pt>
                <c:pt idx="48">
                  <c:v>2.8071557155715562E-2</c:v>
                </c:pt>
                <c:pt idx="49">
                  <c:v>4.6377911388710544E-2</c:v>
                </c:pt>
                <c:pt idx="50">
                  <c:v>2.9719057935565032E-2</c:v>
                </c:pt>
                <c:pt idx="51">
                  <c:v>0.61896100943503474</c:v>
                </c:pt>
                <c:pt idx="52">
                  <c:v>6.1137692716640102E-2</c:v>
                </c:pt>
                <c:pt idx="53">
                  <c:v>4.4396581671645924E-2</c:v>
                </c:pt>
                <c:pt idx="54">
                  <c:v>4.0969131878222771E-2</c:v>
                </c:pt>
                <c:pt idx="55">
                  <c:v>3.8811771238200996E-2</c:v>
                </c:pt>
                <c:pt idx="56">
                  <c:v>2.3422709886798284E-2</c:v>
                </c:pt>
                <c:pt idx="57">
                  <c:v>3.4227939575987125E-2</c:v>
                </c:pt>
                <c:pt idx="58">
                  <c:v>2.6367849257874824E-2</c:v>
                </c:pt>
                <c:pt idx="59">
                  <c:v>6.2073246430788369E-2</c:v>
                </c:pt>
                <c:pt idx="60">
                  <c:v>4.9617652209444862E-2</c:v>
                </c:pt>
                <c:pt idx="61">
                  <c:v>4.9086982132338502E-2</c:v>
                </c:pt>
                <c:pt idx="62">
                  <c:v>3.9795338260375221E-2</c:v>
                </c:pt>
                <c:pt idx="63">
                  <c:v>3.9020390811229357E-2</c:v>
                </c:pt>
                <c:pt idx="64">
                  <c:v>4.4699557657776029E-2</c:v>
                </c:pt>
                <c:pt idx="65">
                  <c:v>3.7568974288733202E-2</c:v>
                </c:pt>
                <c:pt idx="66">
                  <c:v>1.313676835498466E-2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2-6749-AEFF-3340EAEAA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65216"/>
        <c:axId val="179467392"/>
      </c:scatterChart>
      <c:valAx>
        <c:axId val="17946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Standard</a:t>
                </a:r>
                <a:r>
                  <a:rPr lang="nl-BE" baseline="0"/>
                  <a:t> number of seats (-)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467392"/>
        <c:crosses val="autoZero"/>
        <c:crossBetween val="midCat"/>
      </c:valAx>
      <c:valAx>
        <c:axId val="17946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OEM-based</a:t>
                </a:r>
                <a:r>
                  <a:rPr lang="nl-BE" baseline="0"/>
                  <a:t> fuel consumption per seat (kg/km)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1.3116057000319434E-2"/>
              <c:y val="0.1762543128206556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465216"/>
        <c:crosses val="autoZero"/>
        <c:crossBetween val="midCat"/>
        <c:majorUnit val="1.0000000000000004E-2"/>
        <c:minorUnit val="1.0000000000000005E-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622300</xdr:colOff>
      <xdr:row>59</xdr:row>
      <xdr:rowOff>12700</xdr:rowOff>
    </xdr:from>
    <xdr:to>
      <xdr:col>6</xdr:col>
      <xdr:colOff>752475</xdr:colOff>
      <xdr:row>72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5B2D6C3-5FCD-2641-B148-5186DAB813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647700</xdr:colOff>
      <xdr:row>91</xdr:row>
      <xdr:rowOff>63500</xdr:rowOff>
    </xdr:from>
    <xdr:to>
      <xdr:col>6</xdr:col>
      <xdr:colOff>777875</xdr:colOff>
      <xdr:row>105</xdr:row>
      <xdr:rowOff>3175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0845771-DC58-5E48-9A4B-38BB9A3540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736600</xdr:colOff>
      <xdr:row>108</xdr:row>
      <xdr:rowOff>152400</xdr:rowOff>
    </xdr:from>
    <xdr:to>
      <xdr:col>6</xdr:col>
      <xdr:colOff>866775</xdr:colOff>
      <xdr:row>122</xdr:row>
      <xdr:rowOff>95250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702C846-9E82-A348-BAD0-30870F42FD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698500</xdr:colOff>
      <xdr:row>125</xdr:row>
      <xdr:rowOff>50800</xdr:rowOff>
    </xdr:from>
    <xdr:to>
      <xdr:col>6</xdr:col>
      <xdr:colOff>828675</xdr:colOff>
      <xdr:row>138</xdr:row>
      <xdr:rowOff>196850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8589CF76-31C4-BA4A-8AA6-C46E7E7A9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546100</xdr:colOff>
      <xdr:row>142</xdr:row>
      <xdr:rowOff>0</xdr:rowOff>
    </xdr:from>
    <xdr:to>
      <xdr:col>6</xdr:col>
      <xdr:colOff>676275</xdr:colOff>
      <xdr:row>155</xdr:row>
      <xdr:rowOff>142875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14F813C6-FBFB-6049-BF02-FB3760EEC3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660400</xdr:colOff>
      <xdr:row>74</xdr:row>
      <xdr:rowOff>165100</xdr:rowOff>
    </xdr:from>
    <xdr:to>
      <xdr:col>6</xdr:col>
      <xdr:colOff>790575</xdr:colOff>
      <xdr:row>88</xdr:row>
      <xdr:rowOff>104775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7957F4F1-7758-BA44-807B-F30E7EDB28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768350</xdr:colOff>
      <xdr:row>1</xdr:row>
      <xdr:rowOff>0</xdr:rowOff>
    </xdr:from>
    <xdr:to>
      <xdr:col>29</xdr:col>
      <xdr:colOff>609600</xdr:colOff>
      <xdr:row>52</xdr:row>
      <xdr:rowOff>139700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936A2A2-BF85-3B49-2918-90B508ECC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558016</xdr:colOff>
      <xdr:row>0</xdr:row>
      <xdr:rowOff>1238642</xdr:rowOff>
    </xdr:from>
    <xdr:to>
      <xdr:col>49</xdr:col>
      <xdr:colOff>399266</xdr:colOff>
      <xdr:row>58</xdr:row>
      <xdr:rowOff>283006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8259B01-34E3-1849-B89B-64E2E61F26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387350</xdr:colOff>
      <xdr:row>11</xdr:row>
      <xdr:rowOff>25400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F64576E-C4E8-6A8F-A0ED-B51F6C90C880}"/>
                </a:ext>
              </a:extLst>
            </xdr:cNvPr>
            <xdr:cNvSpPr txBox="1"/>
          </xdr:nvSpPr>
          <xdr:spPr>
            <a:xfrm>
              <a:off x="2190750" y="22606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F64576E-C4E8-6A8F-A0ED-B51F6C90C880}"/>
                </a:ext>
              </a:extLst>
            </xdr:cNvPr>
            <xdr:cNvSpPr txBox="1"/>
          </xdr:nvSpPr>
          <xdr:spPr>
            <a:xfrm>
              <a:off x="2190750" y="22606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11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EA06BF2A-D030-34CF-9C21-5CBA788F04BA}"/>
                </a:ext>
              </a:extLst>
            </xdr:cNvPr>
            <xdr:cNvSpPr txBox="1"/>
          </xdr:nvSpPr>
          <xdr:spPr>
            <a:xfrm>
              <a:off x="3390900" y="2266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EA06BF2A-D030-34CF-9C21-5CBA788F04BA}"/>
                </a:ext>
              </a:extLst>
            </xdr:cNvPr>
            <xdr:cNvSpPr txBox="1"/>
          </xdr:nvSpPr>
          <xdr:spPr>
            <a:xfrm>
              <a:off x="3390900" y="2266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259618</xdr:colOff>
      <xdr:row>11</xdr:row>
      <xdr:rowOff>30973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7C5A5AA3-42DB-81A0-2325-28DAF387AF58}"/>
                </a:ext>
              </a:extLst>
            </xdr:cNvPr>
            <xdr:cNvSpPr txBox="1"/>
          </xdr:nvSpPr>
          <xdr:spPr>
            <a:xfrm>
              <a:off x="3244118" y="20629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7C5A5AA3-42DB-81A0-2325-28DAF387AF58}"/>
                </a:ext>
              </a:extLst>
            </xdr:cNvPr>
            <xdr:cNvSpPr txBox="1"/>
          </xdr:nvSpPr>
          <xdr:spPr>
            <a:xfrm>
              <a:off x="3244118" y="20629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0</xdr:colOff>
      <xdr:row>22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8D3F3260-04C1-F0A0-F015-EDAFA0B528C7}"/>
                </a:ext>
              </a:extLst>
            </xdr:cNvPr>
            <xdr:cNvSpPr txBox="1"/>
          </xdr:nvSpPr>
          <xdr:spPr>
            <a:xfrm>
              <a:off x="6273800" y="42981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8D3F3260-04C1-F0A0-F015-EDAFA0B528C7}"/>
                </a:ext>
              </a:extLst>
            </xdr:cNvPr>
            <xdr:cNvSpPr txBox="1"/>
          </xdr:nvSpPr>
          <xdr:spPr>
            <a:xfrm>
              <a:off x="6273800" y="42981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22</xdr:row>
      <xdr:rowOff>30973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feld 11">
              <a:extLst>
                <a:ext uri="{FF2B5EF4-FFF2-40B4-BE49-F238E27FC236}">
                  <a16:creationId xmlns:a16="http://schemas.microsoft.com/office/drawing/2014/main" id="{60ACAD2C-2455-081F-3840-DA953AEB74DA}"/>
                </a:ext>
              </a:extLst>
            </xdr:cNvPr>
            <xdr:cNvSpPr txBox="1"/>
          </xdr:nvSpPr>
          <xdr:spPr>
            <a:xfrm>
              <a:off x="1803400" y="42981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2" name="Textfeld 11">
              <a:extLst>
                <a:ext uri="{FF2B5EF4-FFF2-40B4-BE49-F238E27FC236}">
                  <a16:creationId xmlns:a16="http://schemas.microsoft.com/office/drawing/2014/main" id="{60ACAD2C-2455-081F-3840-DA953AEB74DA}"/>
                </a:ext>
              </a:extLst>
            </xdr:cNvPr>
            <xdr:cNvSpPr txBox="1"/>
          </xdr:nvSpPr>
          <xdr:spPr>
            <a:xfrm>
              <a:off x="1803400" y="42981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22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feld 12">
              <a:extLst>
                <a:ext uri="{FF2B5EF4-FFF2-40B4-BE49-F238E27FC236}">
                  <a16:creationId xmlns:a16="http://schemas.microsoft.com/office/drawing/2014/main" id="{6871BE29-A817-B2F1-FAFE-C7A9F1D30B34}"/>
                </a:ext>
              </a:extLst>
            </xdr:cNvPr>
            <xdr:cNvSpPr txBox="1"/>
          </xdr:nvSpPr>
          <xdr:spPr>
            <a:xfrm>
              <a:off x="3390900" y="4298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3" name="Textfeld 12">
              <a:extLst>
                <a:ext uri="{FF2B5EF4-FFF2-40B4-BE49-F238E27FC236}">
                  <a16:creationId xmlns:a16="http://schemas.microsoft.com/office/drawing/2014/main" id="{6871BE29-A817-B2F1-FAFE-C7A9F1D30B34}"/>
                </a:ext>
              </a:extLst>
            </xdr:cNvPr>
            <xdr:cNvSpPr txBox="1"/>
          </xdr:nvSpPr>
          <xdr:spPr>
            <a:xfrm>
              <a:off x="3390900" y="4298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107115</xdr:colOff>
      <xdr:row>22</xdr:row>
      <xdr:rowOff>43673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75BB5A77-2713-C68C-7F22-8A0050878D8D}"/>
                </a:ext>
              </a:extLst>
            </xdr:cNvPr>
            <xdr:cNvSpPr txBox="1"/>
          </xdr:nvSpPr>
          <xdr:spPr>
            <a:xfrm>
              <a:off x="5072815" y="43108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75BB5A77-2713-C68C-7F22-8A0050878D8D}"/>
                </a:ext>
              </a:extLst>
            </xdr:cNvPr>
            <xdr:cNvSpPr txBox="1"/>
          </xdr:nvSpPr>
          <xdr:spPr>
            <a:xfrm>
              <a:off x="5072815" y="43108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5</xdr:col>
      <xdr:colOff>0</xdr:colOff>
      <xdr:row>22</xdr:row>
      <xdr:rowOff>25400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6DB033BF-F89F-B2EB-8B5C-4FFFAF738D0F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6DB033BF-F89F-B2EB-8B5C-4FFFAF738D0F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6</xdr:col>
      <xdr:colOff>38100</xdr:colOff>
      <xdr:row>22</xdr:row>
      <xdr:rowOff>43673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680BDEB4-60A0-E737-C9AA-2F457B01AB78}"/>
                </a:ext>
              </a:extLst>
            </xdr:cNvPr>
            <xdr:cNvSpPr txBox="1"/>
          </xdr:nvSpPr>
          <xdr:spPr>
            <a:xfrm>
              <a:off x="9347200" y="46664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680BDEB4-60A0-E737-C9AA-2F457B01AB78}"/>
                </a:ext>
              </a:extLst>
            </xdr:cNvPr>
            <xdr:cNvSpPr txBox="1"/>
          </xdr:nvSpPr>
          <xdr:spPr>
            <a:xfrm>
              <a:off x="9347200" y="46664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7</xdr:col>
      <xdr:colOff>0</xdr:colOff>
      <xdr:row>22</xdr:row>
      <xdr:rowOff>30973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9817F8AA-7ABE-0F92-919D-487D600539E3}"/>
                </a:ext>
              </a:extLst>
            </xdr:cNvPr>
            <xdr:cNvSpPr txBox="1"/>
          </xdr:nvSpPr>
          <xdr:spPr>
            <a:xfrm>
              <a:off x="133350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9817F8AA-7ABE-0F92-919D-487D600539E3}"/>
                </a:ext>
              </a:extLst>
            </xdr:cNvPr>
            <xdr:cNvSpPr txBox="1"/>
          </xdr:nvSpPr>
          <xdr:spPr>
            <a:xfrm>
              <a:off x="133350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431800</xdr:colOff>
      <xdr:row>11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feld 17">
              <a:extLst>
                <a:ext uri="{FF2B5EF4-FFF2-40B4-BE49-F238E27FC236}">
                  <a16:creationId xmlns:a16="http://schemas.microsoft.com/office/drawing/2014/main" id="{8D9A1036-DCB2-36BF-49A0-ED55D7EDA45E}"/>
                </a:ext>
              </a:extLst>
            </xdr:cNvPr>
            <xdr:cNvSpPr txBox="1"/>
          </xdr:nvSpPr>
          <xdr:spPr>
            <a:xfrm>
              <a:off x="6705600" y="23296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8" name="Textfeld 17">
              <a:extLst>
                <a:ext uri="{FF2B5EF4-FFF2-40B4-BE49-F238E27FC236}">
                  <a16:creationId xmlns:a16="http://schemas.microsoft.com/office/drawing/2014/main" id="{8D9A1036-DCB2-36BF-49A0-ED55D7EDA45E}"/>
                </a:ext>
              </a:extLst>
            </xdr:cNvPr>
            <xdr:cNvSpPr txBox="1"/>
          </xdr:nvSpPr>
          <xdr:spPr>
            <a:xfrm>
              <a:off x="6705600" y="23296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0</xdr:colOff>
      <xdr:row>28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feld 19">
              <a:extLst>
                <a:ext uri="{FF2B5EF4-FFF2-40B4-BE49-F238E27FC236}">
                  <a16:creationId xmlns:a16="http://schemas.microsoft.com/office/drawing/2014/main" id="{2B103647-1B56-714D-BD6F-DAC110F0D8A4}"/>
                </a:ext>
              </a:extLst>
            </xdr:cNvPr>
            <xdr:cNvSpPr txBox="1"/>
          </xdr:nvSpPr>
          <xdr:spPr>
            <a:xfrm>
              <a:off x="6273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0" name="Textfeld 19">
              <a:extLst>
                <a:ext uri="{FF2B5EF4-FFF2-40B4-BE49-F238E27FC236}">
                  <a16:creationId xmlns:a16="http://schemas.microsoft.com/office/drawing/2014/main" id="{2B103647-1B56-714D-BD6F-DAC110F0D8A4}"/>
                </a:ext>
              </a:extLst>
            </xdr:cNvPr>
            <xdr:cNvSpPr txBox="1"/>
          </xdr:nvSpPr>
          <xdr:spPr>
            <a:xfrm>
              <a:off x="6273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28</xdr:row>
      <xdr:rowOff>30973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feld 20">
              <a:extLst>
                <a:ext uri="{FF2B5EF4-FFF2-40B4-BE49-F238E27FC236}">
                  <a16:creationId xmlns:a16="http://schemas.microsoft.com/office/drawing/2014/main" id="{30A44B4F-31DE-264C-8DA2-E6207E51D62C}"/>
                </a:ext>
              </a:extLst>
            </xdr:cNvPr>
            <xdr:cNvSpPr txBox="1"/>
          </xdr:nvSpPr>
          <xdr:spPr>
            <a:xfrm>
              <a:off x="1803400" y="45013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1" name="Textfeld 20">
              <a:extLst>
                <a:ext uri="{FF2B5EF4-FFF2-40B4-BE49-F238E27FC236}">
                  <a16:creationId xmlns:a16="http://schemas.microsoft.com/office/drawing/2014/main" id="{30A44B4F-31DE-264C-8DA2-E6207E51D62C}"/>
                </a:ext>
              </a:extLst>
            </xdr:cNvPr>
            <xdr:cNvSpPr txBox="1"/>
          </xdr:nvSpPr>
          <xdr:spPr>
            <a:xfrm>
              <a:off x="1803400" y="45013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28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feld 21">
              <a:extLst>
                <a:ext uri="{FF2B5EF4-FFF2-40B4-BE49-F238E27FC236}">
                  <a16:creationId xmlns:a16="http://schemas.microsoft.com/office/drawing/2014/main" id="{C8D3741F-B652-C342-8469-F8695AB63C25}"/>
                </a:ext>
              </a:extLst>
            </xdr:cNvPr>
            <xdr:cNvSpPr txBox="1"/>
          </xdr:nvSpPr>
          <xdr:spPr>
            <a:xfrm>
              <a:off x="33909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2" name="Textfeld 21">
              <a:extLst>
                <a:ext uri="{FF2B5EF4-FFF2-40B4-BE49-F238E27FC236}">
                  <a16:creationId xmlns:a16="http://schemas.microsoft.com/office/drawing/2014/main" id="{C8D3741F-B652-C342-8469-F8695AB63C25}"/>
                </a:ext>
              </a:extLst>
            </xdr:cNvPr>
            <xdr:cNvSpPr txBox="1"/>
          </xdr:nvSpPr>
          <xdr:spPr>
            <a:xfrm>
              <a:off x="33909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107115</xdr:colOff>
      <xdr:row>28</xdr:row>
      <xdr:rowOff>43673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FE437793-9410-CF4B-90A4-3351230C8837}"/>
                </a:ext>
              </a:extLst>
            </xdr:cNvPr>
            <xdr:cNvSpPr txBox="1"/>
          </xdr:nvSpPr>
          <xdr:spPr>
            <a:xfrm>
              <a:off x="5072815" y="45140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FE437793-9410-CF4B-90A4-3351230C8837}"/>
                </a:ext>
              </a:extLst>
            </xdr:cNvPr>
            <xdr:cNvSpPr txBox="1"/>
          </xdr:nvSpPr>
          <xdr:spPr>
            <a:xfrm>
              <a:off x="5072815" y="45140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5</xdr:col>
      <xdr:colOff>0</xdr:colOff>
      <xdr:row>28</xdr:row>
      <xdr:rowOff>25400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2C47CF72-5E04-2841-BACA-89AAB7B6FE6B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2C47CF72-5E04-2841-BACA-89AAB7B6FE6B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6</xdr:col>
      <xdr:colOff>0</xdr:colOff>
      <xdr:row>28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11E56A4B-FABF-4744-BF92-DEB390C718BC}"/>
                </a:ext>
              </a:extLst>
            </xdr:cNvPr>
            <xdr:cNvSpPr txBox="1"/>
          </xdr:nvSpPr>
          <xdr:spPr>
            <a:xfrm>
              <a:off x="93091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11E56A4B-FABF-4744-BF92-DEB390C718BC}"/>
                </a:ext>
              </a:extLst>
            </xdr:cNvPr>
            <xdr:cNvSpPr txBox="1"/>
          </xdr:nvSpPr>
          <xdr:spPr>
            <a:xfrm>
              <a:off x="93091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7</xdr:col>
      <xdr:colOff>0</xdr:colOff>
      <xdr:row>28</xdr:row>
      <xdr:rowOff>30973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feld 25">
              <a:extLst>
                <a:ext uri="{FF2B5EF4-FFF2-40B4-BE49-F238E27FC236}">
                  <a16:creationId xmlns:a16="http://schemas.microsoft.com/office/drawing/2014/main" id="{EAEEBECB-C2EA-9140-891C-4BAE423E4CCE}"/>
                </a:ext>
              </a:extLst>
            </xdr:cNvPr>
            <xdr:cNvSpPr txBox="1"/>
          </xdr:nvSpPr>
          <xdr:spPr>
            <a:xfrm>
              <a:off x="112522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6" name="Textfeld 25">
              <a:extLst>
                <a:ext uri="{FF2B5EF4-FFF2-40B4-BE49-F238E27FC236}">
                  <a16:creationId xmlns:a16="http://schemas.microsoft.com/office/drawing/2014/main" id="{EAEEBECB-C2EA-9140-891C-4BAE423E4CCE}"/>
                </a:ext>
              </a:extLst>
            </xdr:cNvPr>
            <xdr:cNvSpPr txBox="1"/>
          </xdr:nvSpPr>
          <xdr:spPr>
            <a:xfrm>
              <a:off x="112522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8</xdr:col>
      <xdr:colOff>38100</xdr:colOff>
      <xdr:row>28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Textfeld 26">
              <a:extLst>
                <a:ext uri="{FF2B5EF4-FFF2-40B4-BE49-F238E27FC236}">
                  <a16:creationId xmlns:a16="http://schemas.microsoft.com/office/drawing/2014/main" id="{79DA69D3-1833-4240-8BD0-C901A345C560}"/>
                </a:ext>
              </a:extLst>
            </xdr:cNvPr>
            <xdr:cNvSpPr txBox="1"/>
          </xdr:nvSpPr>
          <xdr:spPr>
            <a:xfrm>
              <a:off x="12369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7" name="Textfeld 26">
              <a:extLst>
                <a:ext uri="{FF2B5EF4-FFF2-40B4-BE49-F238E27FC236}">
                  <a16:creationId xmlns:a16="http://schemas.microsoft.com/office/drawing/2014/main" id="{79DA69D3-1833-4240-8BD0-C901A345C560}"/>
                </a:ext>
              </a:extLst>
            </xdr:cNvPr>
            <xdr:cNvSpPr txBox="1"/>
          </xdr:nvSpPr>
          <xdr:spPr>
            <a:xfrm>
              <a:off x="12369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8</xdr:col>
      <xdr:colOff>342900</xdr:colOff>
      <xdr:row>22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C507044-F844-1D2D-CDDD-F7BCCF059690}"/>
                </a:ext>
              </a:extLst>
            </xdr:cNvPr>
            <xdr:cNvSpPr txBox="1"/>
          </xdr:nvSpPr>
          <xdr:spPr>
            <a:xfrm>
              <a:off x="12674600" y="46537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C507044-F844-1D2D-CDDD-F7BCCF059690}"/>
                </a:ext>
              </a:extLst>
            </xdr:cNvPr>
            <xdr:cNvSpPr txBox="1"/>
          </xdr:nvSpPr>
          <xdr:spPr>
            <a:xfrm>
              <a:off x="12674600" y="46537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561002</xdr:colOff>
      <xdr:row>58</xdr:row>
      <xdr:rowOff>160272</xdr:rowOff>
    </xdr:from>
    <xdr:to>
      <xdr:col>39</xdr:col>
      <xdr:colOff>18077</xdr:colOff>
      <xdr:row>89</xdr:row>
      <xdr:rowOff>18660</xdr:rowOff>
    </xdr:to>
    <xdr:graphicFrame macro="">
      <xdr:nvGraphicFramePr>
        <xdr:cNvPr id="2" name="Grafiek 2">
          <a:extLst>
            <a:ext uri="{FF2B5EF4-FFF2-40B4-BE49-F238E27FC236}">
              <a16:creationId xmlns:a16="http://schemas.microsoft.com/office/drawing/2014/main" id="{478F2693-A596-E243-8861-5B9A01D446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12117</xdr:colOff>
      <xdr:row>89</xdr:row>
      <xdr:rowOff>20569</xdr:rowOff>
    </xdr:from>
    <xdr:to>
      <xdr:col>5</xdr:col>
      <xdr:colOff>1228143</xdr:colOff>
      <xdr:row>112</xdr:row>
      <xdr:rowOff>161729</xdr:rowOff>
    </xdr:to>
    <xdr:graphicFrame macro="">
      <xdr:nvGraphicFramePr>
        <xdr:cNvPr id="3" name="Grafiek 3">
          <a:extLst>
            <a:ext uri="{FF2B5EF4-FFF2-40B4-BE49-F238E27FC236}">
              <a16:creationId xmlns:a16="http://schemas.microsoft.com/office/drawing/2014/main" id="{0511FC58-07CB-6946-B89E-FDD6055FB2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1402292</xdr:colOff>
      <xdr:row>89</xdr:row>
      <xdr:rowOff>13228</xdr:rowOff>
    </xdr:from>
    <xdr:to>
      <xdr:col>10</xdr:col>
      <xdr:colOff>306917</xdr:colOff>
      <xdr:row>112</xdr:row>
      <xdr:rowOff>157692</xdr:rowOff>
    </xdr:to>
    <xdr:graphicFrame macro="">
      <xdr:nvGraphicFramePr>
        <xdr:cNvPr id="4" name="Grafiek 4">
          <a:extLst>
            <a:ext uri="{FF2B5EF4-FFF2-40B4-BE49-F238E27FC236}">
              <a16:creationId xmlns:a16="http://schemas.microsoft.com/office/drawing/2014/main" id="{C0A6B209-DFAD-074F-A6C0-7536B523CE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561002</xdr:colOff>
      <xdr:row>58</xdr:row>
      <xdr:rowOff>160272</xdr:rowOff>
    </xdr:from>
    <xdr:to>
      <xdr:col>39</xdr:col>
      <xdr:colOff>18077</xdr:colOff>
      <xdr:row>89</xdr:row>
      <xdr:rowOff>18660</xdr:rowOff>
    </xdr:to>
    <xdr:graphicFrame macro="">
      <xdr:nvGraphicFramePr>
        <xdr:cNvPr id="5" name="Grafiek 2">
          <a:extLst>
            <a:ext uri="{FF2B5EF4-FFF2-40B4-BE49-F238E27FC236}">
              <a16:creationId xmlns:a16="http://schemas.microsoft.com/office/drawing/2014/main" id="{01394707-7A01-8D49-A95E-38303F1B61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12116</xdr:colOff>
      <xdr:row>89</xdr:row>
      <xdr:rowOff>3636</xdr:rowOff>
    </xdr:from>
    <xdr:to>
      <xdr:col>15</xdr:col>
      <xdr:colOff>694742</xdr:colOff>
      <xdr:row>112</xdr:row>
      <xdr:rowOff>144796</xdr:rowOff>
    </xdr:to>
    <xdr:graphicFrame macro="">
      <xdr:nvGraphicFramePr>
        <xdr:cNvPr id="6" name="Grafiek 3">
          <a:extLst>
            <a:ext uri="{FF2B5EF4-FFF2-40B4-BE49-F238E27FC236}">
              <a16:creationId xmlns:a16="http://schemas.microsoft.com/office/drawing/2014/main" id="{88B92F44-8143-884D-9784-E5ECE50627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305858</xdr:colOff>
      <xdr:row>89</xdr:row>
      <xdr:rowOff>20320</xdr:rowOff>
    </xdr:from>
    <xdr:to>
      <xdr:col>18</xdr:col>
      <xdr:colOff>963083</xdr:colOff>
      <xdr:row>111</xdr:row>
      <xdr:rowOff>146956</xdr:rowOff>
    </xdr:to>
    <xdr:graphicFrame macro="">
      <xdr:nvGraphicFramePr>
        <xdr:cNvPr id="7" name="Grafiek 4">
          <a:extLst>
            <a:ext uri="{FF2B5EF4-FFF2-40B4-BE49-F238E27FC236}">
              <a16:creationId xmlns:a16="http://schemas.microsoft.com/office/drawing/2014/main" id="{3B4AE1D3-82BA-BB44-9D87-2B3A0BB39B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220134</xdr:colOff>
      <xdr:row>4</xdr:row>
      <xdr:rowOff>67733</xdr:rowOff>
    </xdr:from>
    <xdr:to>
      <xdr:col>36</xdr:col>
      <xdr:colOff>287866</xdr:colOff>
      <xdr:row>26</xdr:row>
      <xdr:rowOff>25399</xdr:rowOff>
    </xdr:to>
    <xdr:graphicFrame macro="">
      <xdr:nvGraphicFramePr>
        <xdr:cNvPr id="8" name="Chart 11">
          <a:extLst>
            <a:ext uri="{FF2B5EF4-FFF2-40B4-BE49-F238E27FC236}">
              <a16:creationId xmlns:a16="http://schemas.microsoft.com/office/drawing/2014/main" id="{C0D793F9-82D9-C445-913D-5E90E4091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Samsung_T5/HAW/Studienarbeit/Ecolabel_Calculator_SLZ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y Data Sheet"/>
      <sheetName val="Database"/>
      <sheetName val="Boeing FFM2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D21D1-211F-694C-853F-335276F54229}">
  <dimension ref="A1:I152"/>
  <sheetViews>
    <sheetView zoomScale="70" zoomScaleNormal="70" workbookViewId="0">
      <selection activeCell="B11" sqref="B11"/>
    </sheetView>
  </sheetViews>
  <sheetFormatPr baseColWidth="10" defaultRowHeight="15.75" x14ac:dyDescent="0.5"/>
  <cols>
    <col min="1" max="1" width="32.5" customWidth="1"/>
    <col min="2" max="2" width="22" customWidth="1"/>
    <col min="3" max="3" width="32.6875" customWidth="1"/>
    <col min="4" max="4" width="33" customWidth="1"/>
    <col min="5" max="5" width="35.3125" customWidth="1"/>
    <col min="6" max="6" width="23" customWidth="1"/>
    <col min="7" max="7" width="29.1875" customWidth="1"/>
    <col min="8" max="8" width="26.3125" customWidth="1"/>
  </cols>
  <sheetData>
    <row r="1" spans="1:9" x14ac:dyDescent="0.5">
      <c r="A1" s="150" t="s">
        <v>154</v>
      </c>
      <c r="B1" s="148" t="s">
        <v>300</v>
      </c>
      <c r="C1" s="148" t="s">
        <v>298</v>
      </c>
      <c r="D1" s="148" t="s">
        <v>304</v>
      </c>
      <c r="E1" s="148" t="s">
        <v>299</v>
      </c>
      <c r="F1" s="149" t="s">
        <v>301</v>
      </c>
      <c r="G1" s="148" t="s">
        <v>302</v>
      </c>
      <c r="H1" s="148" t="s">
        <v>303</v>
      </c>
    </row>
    <row r="2" spans="1:9" ht="16.149999999999999" thickBot="1" x14ac:dyDescent="0.55000000000000004">
      <c r="A2" s="151"/>
      <c r="B2" s="149"/>
      <c r="C2" s="149"/>
      <c r="D2" s="149"/>
      <c r="E2" s="149"/>
      <c r="F2" s="149"/>
      <c r="G2" s="149"/>
      <c r="H2" s="149"/>
    </row>
    <row r="3" spans="1:9" x14ac:dyDescent="0.5">
      <c r="A3" s="134" t="s">
        <v>128</v>
      </c>
      <c r="B3" s="133">
        <f>VLOOKUP(A3,SAR!A:K,11,0)</f>
        <v>1.4973628691983123E-2</v>
      </c>
      <c r="C3" s="123">
        <f>VLOOKUP(A3,'Extended Payload Diagram'!A:H,8,0)</f>
        <v>2.1225701943844488E-2</v>
      </c>
      <c r="D3" s="123">
        <f>VLOOKUP(A3,'Bathtub Curve'!A:H,8,0)</f>
        <v>1.8266666666666667E-2</v>
      </c>
      <c r="E3" s="123"/>
      <c r="F3" s="123"/>
      <c r="G3" s="123">
        <f>VLOOKUP(A3,'Handbook Method'!A:V,22,0)</f>
        <v>1.4454743795292326E-2</v>
      </c>
      <c r="H3" s="123">
        <f>VLOOKUP(A3,'Literature review'!A:J,10,0)</f>
        <v>1.9E-2</v>
      </c>
      <c r="I3" s="81"/>
    </row>
    <row r="4" spans="1:9" x14ac:dyDescent="0.5">
      <c r="A4" s="113" t="s">
        <v>121</v>
      </c>
      <c r="B4" s="133">
        <f>VLOOKUP(A4,SAR!A:K,11,0)</f>
        <v>1.7155601303825697E-2</v>
      </c>
      <c r="C4" s="123">
        <f>VLOOKUP(A4,'Extended Payload Diagram'!A:H,8,0)</f>
        <v>2.7400793011185975E-2</v>
      </c>
      <c r="D4" s="123">
        <f>VLOOKUP(A4,'Bathtub Curve'!A:H,8,0)</f>
        <v>2.2388059701492536E-2</v>
      </c>
      <c r="E4" s="123">
        <f>VLOOKUP(A4,'EEA Master Emission Calculator'!A:E,5,0)</f>
        <v>2.1596015602333905E-2</v>
      </c>
      <c r="F4" s="123"/>
      <c r="G4" s="123">
        <f>VLOOKUP(A4,'Handbook Method'!A:V,22,0)</f>
        <v>2.0842312585967006E-2</v>
      </c>
      <c r="H4" s="123">
        <f>VLOOKUP(A4,'Literature review'!A:J,10,0)</f>
        <v>2.3912834987313801E-2</v>
      </c>
    </row>
    <row r="5" spans="1:9" x14ac:dyDescent="0.5">
      <c r="A5" s="113" t="s">
        <v>120</v>
      </c>
      <c r="B5" s="133">
        <f>VLOOKUP(A5,SAR!A:K,11,0)</f>
        <v>1.8335862417804754E-2</v>
      </c>
      <c r="C5" s="123">
        <f>VLOOKUP(A5,'Extended Payload Diagram'!A:H,8,0)</f>
        <v>2.6618581487205903E-2</v>
      </c>
      <c r="D5" s="123">
        <f>VLOOKUP(A5,'Bathtub Curve'!A:H,8,0)</f>
        <v>2.0933333333333335E-2</v>
      </c>
      <c r="E5" s="123">
        <f>VLOOKUP(A5,'EEA Master Emission Calculator'!A:E,5,0)</f>
        <v>2.1738279237506441E-2</v>
      </c>
      <c r="F5" s="123">
        <f>VLOOKUP(A5,'BADA '!A:H,8,0)</f>
        <v>1.9310691354613139E-2</v>
      </c>
      <c r="G5" s="123">
        <f>VLOOKUP(A5,'Handbook Method'!A:V,22,0)</f>
        <v>1.9808164212606581E-2</v>
      </c>
      <c r="H5" s="123">
        <f>VLOOKUP(A5,'Literature review'!A:J,10,0)</f>
        <v>2.11365784332311E-2</v>
      </c>
    </row>
    <row r="6" spans="1:9" x14ac:dyDescent="0.5">
      <c r="A6" s="113" t="s">
        <v>119</v>
      </c>
      <c r="B6" s="133">
        <f>VLOOKUP(A6,SAR!A:K,11,0)</f>
        <v>1.3905139814485087E-2</v>
      </c>
      <c r="C6" s="123">
        <f>VLOOKUP(A6,'Extended Payload Diagram'!A:H,8,0)</f>
        <v>2.1683263732733694E-2</v>
      </c>
      <c r="D6" s="123">
        <f>VLOOKUP(A6,'Bathtub Curve'!A:H,8,0)</f>
        <v>1.7575757575757574E-2</v>
      </c>
      <c r="E6" s="123"/>
      <c r="F6" s="123"/>
      <c r="G6" s="123">
        <f>VLOOKUP(A6,'Handbook Method'!A:V,22,0)</f>
        <v>1.5173537318064468E-2</v>
      </c>
      <c r="H6" s="123">
        <f>VLOOKUP(A6,'Literature review'!A:J,10,0)</f>
        <v>1.8194732838307477E-2</v>
      </c>
    </row>
    <row r="7" spans="1:9" x14ac:dyDescent="0.5">
      <c r="A7" s="113" t="s">
        <v>118</v>
      </c>
      <c r="B7" s="133">
        <f>VLOOKUP(A7,SAR!A:K,11,0)</f>
        <v>1.7757516552697274E-2</v>
      </c>
      <c r="C7" s="123">
        <f>VLOOKUP(A7,'Extended Payload Diagram'!A:H,8,0)</f>
        <v>2.0134013016575303E-2</v>
      </c>
      <c r="D7" s="123">
        <f>VLOOKUP(A7,'Bathtub Curve'!A:H,8,0)</f>
        <v>1.6108108108108109E-2</v>
      </c>
      <c r="E7" s="123">
        <f>VLOOKUP(A7,'EEA Master Emission Calculator'!A:E,5,0)</f>
        <v>2.1769100060915009E-2</v>
      </c>
      <c r="F7" s="123"/>
      <c r="G7" s="123">
        <f>VLOOKUP(A7,'Handbook Method'!A:V,22,0)</f>
        <v>1.962226134258228E-2</v>
      </c>
      <c r="H7" s="123">
        <f>VLOOKUP(A7,'Literature review'!A:J,10,0)</f>
        <v>2.023519258185745E-2</v>
      </c>
    </row>
    <row r="8" spans="1:9" x14ac:dyDescent="0.5">
      <c r="A8" s="113" t="s">
        <v>117</v>
      </c>
      <c r="B8" s="133">
        <f>VLOOKUP(A8,SAR!A:K,11,0)</f>
        <v>1.514441951440002E-2</v>
      </c>
      <c r="C8" s="123">
        <f>VLOOKUP(A8,'Extended Payload Diagram'!A:H,8,0)</f>
        <v>2.0367620948433311E-2</v>
      </c>
      <c r="D8" s="123">
        <f>VLOOKUP(A8,'Bathtub Curve'!A:H,8,0)</f>
        <v>1.7184466019417477E-2</v>
      </c>
      <c r="E8" s="123"/>
      <c r="F8" s="123"/>
      <c r="G8" s="123">
        <f>VLOOKUP(A8,'Handbook Method'!A:V,22,0)</f>
        <v>1.4399446119038739E-2</v>
      </c>
      <c r="H8" s="123">
        <f>VLOOKUP(A8,'Literature review'!A:J,10,0)</f>
        <v>1.7742375727119331E-2</v>
      </c>
    </row>
    <row r="9" spans="1:9" x14ac:dyDescent="0.5">
      <c r="A9" s="113" t="s">
        <v>116</v>
      </c>
      <c r="B9" s="133">
        <f>VLOOKUP(A9,SAR!A:K,11,0)</f>
        <v>2.0380980712360799E-2</v>
      </c>
      <c r="C9" s="123">
        <f>VLOOKUP(A9,'Extended Payload Diagram'!A:H,8,0)</f>
        <v>3.409633350760348E-2</v>
      </c>
      <c r="D9" s="123">
        <f>VLOOKUP(A9,'Bathtub Curve'!A:H,8,0)</f>
        <v>3.0121951219512194E-2</v>
      </c>
      <c r="E9" s="123">
        <f>VLOOKUP(A9,'EEA Master Emission Calculator'!A:E,5,0)</f>
        <v>2.7488558785867451E-2</v>
      </c>
      <c r="F9" s="123">
        <f>VLOOKUP(A9,'BADA '!A:H,8,0)</f>
        <v>2.5004961622810521E-2</v>
      </c>
      <c r="G9" s="123">
        <f>VLOOKUP(A9,'Handbook Method'!A:V,22,0)</f>
        <v>3.1136511210591595E-2</v>
      </c>
      <c r="H9" s="123">
        <f>VLOOKUP(A9,'Literature review'!A:J,10,0)</f>
        <v>3.1099999999999999E-2</v>
      </c>
    </row>
    <row r="10" spans="1:9" x14ac:dyDescent="0.5">
      <c r="A10" s="113" t="s">
        <v>115</v>
      </c>
      <c r="B10" s="133">
        <f>VLOOKUP(A10,SAR!A:K,11,0)</f>
        <v>1.502087832973362E-2</v>
      </c>
      <c r="C10" s="123">
        <f>VLOOKUP(A10,'Extended Payload Diagram'!A:H,8,0)</f>
        <v>2.8917950710000428E-2</v>
      </c>
      <c r="D10" s="123">
        <f>VLOOKUP(A10,'Bathtub Curve'!A:H,8,0)</f>
        <v>2.5266666666666666E-2</v>
      </c>
      <c r="E10" s="123">
        <f>VLOOKUP(A10,'EEA Master Emission Calculator'!A:E,5,0)</f>
        <v>2.1721610773015668E-2</v>
      </c>
      <c r="F10" s="123">
        <f>VLOOKUP(A10,'BADA '!A:H,8,0)</f>
        <v>2.0504068530704626E-2</v>
      </c>
      <c r="G10" s="123">
        <f>VLOOKUP(A10,'Handbook Method'!A:V,22,0)</f>
        <v>2.6331405352900066E-2</v>
      </c>
      <c r="H10" s="123">
        <f>VLOOKUP(A10,'Literature review'!A:J,10,0)</f>
        <v>2.98E-2</v>
      </c>
    </row>
    <row r="11" spans="1:9" x14ac:dyDescent="0.5">
      <c r="A11" s="113" t="s">
        <v>109</v>
      </c>
      <c r="B11" s="133">
        <f>VLOOKUP(A11,SAR!A:K,11,0)</f>
        <v>1.8014143284121684E-2</v>
      </c>
      <c r="C11" s="123">
        <f>VLOOKUP(A11,'Extended Payload Diagram'!A:H,8,0)</f>
        <v>2.4786426564698302E-2</v>
      </c>
      <c r="D11" s="123">
        <f>VLOOKUP(A11,'Bathtub Curve'!A:H,8,0)</f>
        <v>2.2285714285714284E-2</v>
      </c>
      <c r="E11" s="123">
        <f>VLOOKUP(A11,'EEA Master Emission Calculator'!A:E,5,0)</f>
        <v>1.8797049738978052E-2</v>
      </c>
      <c r="F11" s="123"/>
      <c r="G11" s="123">
        <f>VLOOKUP(A11,'Handbook Method'!A:V,22,0)</f>
        <v>2.4326911959472754E-2</v>
      </c>
      <c r="H11" s="123">
        <f>VLOOKUP(A11,'Literature review'!A:J,10,0)</f>
        <v>2.4487041036717064E-2</v>
      </c>
    </row>
    <row r="12" spans="1:9" x14ac:dyDescent="0.5">
      <c r="A12" s="113" t="s">
        <v>106</v>
      </c>
      <c r="B12" s="133">
        <f>VLOOKUP(A12,SAR!A:K,11,0)</f>
        <v>2.0569484875992528E-2</v>
      </c>
      <c r="C12" s="123">
        <f>VLOOKUP(A12,'Extended Payload Diagram'!A:H,8,0)</f>
        <v>2.9532674104790813E-2</v>
      </c>
      <c r="D12" s="123">
        <f>VLOOKUP(A12,'Bathtub Curve'!A:H,8,0)</f>
        <v>2.6834782608695651E-2</v>
      </c>
      <c r="E12" s="123">
        <f>VLOOKUP(A12,'EEA Master Emission Calculator'!A:E,5,0)</f>
        <v>2.5951020203359699E-2</v>
      </c>
      <c r="F12" s="123"/>
      <c r="G12" s="123">
        <f>VLOOKUP(A12,'Handbook Method'!A:V,22,0)</f>
        <v>2.9207794641665907E-2</v>
      </c>
      <c r="H12" s="123">
        <f>VLOOKUP(A12,'Literature review'!A:J,10,0)</f>
        <v>2.5558935135541826E-2</v>
      </c>
    </row>
    <row r="13" spans="1:9" x14ac:dyDescent="0.5">
      <c r="A13" s="113" t="s">
        <v>104</v>
      </c>
      <c r="B13" s="133">
        <f>VLOOKUP(A13,SAR!A:K,11,0)</f>
        <v>2.6129943502824857E-2</v>
      </c>
      <c r="C13" s="123">
        <f>VLOOKUP(A13,'Extended Payload Diagram'!A:H,8,0)</f>
        <v>4.0849673202614387E-2</v>
      </c>
      <c r="D13" s="123">
        <f>VLOOKUP(A13,'Bathtub Curve'!A:H,8,0)</f>
        <v>3.1875000000000001E-2</v>
      </c>
      <c r="E13" s="123">
        <f>VLOOKUP(A13,'EEA Master Emission Calculator'!A:E,5,0)</f>
        <v>3.3870829033367737E-2</v>
      </c>
      <c r="F13" s="123">
        <f>VLOOKUP(A13,'BADA '!A:H,8,0)</f>
        <v>1.5885416666666669E-2</v>
      </c>
      <c r="G13" s="123"/>
      <c r="H13" s="123">
        <f>VLOOKUP(A13,'Literature review'!A:J,10,0)</f>
        <v>2.6249999999999999E-2</v>
      </c>
    </row>
    <row r="14" spans="1:9" x14ac:dyDescent="0.5">
      <c r="A14" s="113" t="s">
        <v>102</v>
      </c>
      <c r="B14" s="133">
        <f>VLOOKUP(A14,SAR!A:K,11,0)</f>
        <v>2.0415385034161744E-2</v>
      </c>
      <c r="C14" s="123">
        <f>VLOOKUP(A14,'Extended Payload Diagram'!A:H,8,0)</f>
        <v>3.1762164909160215E-2</v>
      </c>
      <c r="D14" s="123">
        <f>VLOOKUP(A14,'Bathtub Curve'!A:H,8,0)</f>
        <v>2.1911764705882353E-2</v>
      </c>
      <c r="E14" s="123">
        <f>VLOOKUP(A14,'EEA Master Emission Calculator'!A:E,5,0)</f>
        <v>2.7779189429551519E-2</v>
      </c>
      <c r="F14" s="123">
        <f>VLOOKUP(A14,'BADA '!A:H,8,0)</f>
        <v>1.076470588235294E-2</v>
      </c>
      <c r="G14" s="123"/>
      <c r="H14" s="123">
        <f>VLOOKUP(A14,'Literature review'!A:J,10,0)</f>
        <v>1.9722222222222221E-2</v>
      </c>
    </row>
    <row r="15" spans="1:9" x14ac:dyDescent="0.5">
      <c r="A15" s="113" t="s">
        <v>100</v>
      </c>
      <c r="B15" s="133">
        <f>VLOOKUP(A15,SAR!A:K,11,0)</f>
        <v>3.5087719298245612E-2</v>
      </c>
      <c r="C15" s="123">
        <f>VLOOKUP(A15,'Extended Payload Diagram'!A:H,8,0)</f>
        <v>7.9802069275753479E-2</v>
      </c>
      <c r="D15" s="123">
        <f>VLOOKUP(A15,'Bathtub Curve'!A:H,8,0)</f>
        <v>2.1052631578947368E-2</v>
      </c>
      <c r="E15" s="123"/>
      <c r="F15" s="123"/>
      <c r="G15" s="123"/>
      <c r="H15" s="123">
        <f>VLOOKUP(A15,'Literature review'!A:J,10,0)</f>
        <v>5.2777732668604554E-2</v>
      </c>
    </row>
    <row r="16" spans="1:9" x14ac:dyDescent="0.5">
      <c r="A16" s="113" t="s">
        <v>98</v>
      </c>
      <c r="B16" s="133">
        <f>VLOOKUP(A16,SAR!A:K,11,0)</f>
        <v>2.2289987206081458E-2</v>
      </c>
      <c r="C16" s="123">
        <f>VLOOKUP(A16,'Extended Payload Diagram'!A:H,8,0)</f>
        <v>4.0145071456327446E-2</v>
      </c>
      <c r="D16" s="123">
        <f>VLOOKUP(A16,'Bathtub Curve'!A:H,8,0)</f>
        <v>2.5754716981132075E-2</v>
      </c>
      <c r="E16" s="123">
        <f>VLOOKUP(A16,'EEA Master Emission Calculator'!A:E,5,0)</f>
        <v>3.1029748283752861E-2</v>
      </c>
      <c r="F16" s="123"/>
      <c r="G16" s="123">
        <f>VLOOKUP(A16,'Handbook Method'!A:V,22,0)</f>
        <v>1.277511049732645E-2</v>
      </c>
      <c r="H16" s="123"/>
    </row>
    <row r="17" spans="1:8" x14ac:dyDescent="0.5">
      <c r="A17" s="113" t="s">
        <v>157</v>
      </c>
      <c r="B17" s="133">
        <f>VLOOKUP(A17,SAR!A:K,11,0)</f>
        <v>1.5381437835141541E-2</v>
      </c>
      <c r="C17" s="123">
        <f>VLOOKUP(A17,'Extended Payload Diagram'!A:H,8,0)</f>
        <v>2.127985068918567E-2</v>
      </c>
      <c r="D17" s="123">
        <f>VLOOKUP(A17,'Bathtub Curve'!A:H,8,0)</f>
        <v>1.7469135802469136E-2</v>
      </c>
      <c r="E17" s="123">
        <f>VLOOKUP(A17,'EEA Master Emission Calculator'!A:E,5,0)</f>
        <v>2.0479472312736804E-2</v>
      </c>
      <c r="F17" s="123"/>
      <c r="G17" s="123">
        <f>VLOOKUP(A17,'Handbook Method'!A:V,22,0)</f>
        <v>1.7096347711813648E-2</v>
      </c>
      <c r="H17" s="123">
        <f>VLOOKUP(A17,'Literature review'!A:J,10,0)</f>
        <v>1.8466149558172211E-2</v>
      </c>
    </row>
    <row r="18" spans="1:8" x14ac:dyDescent="0.5">
      <c r="A18" s="113" t="s">
        <v>95</v>
      </c>
      <c r="B18" s="133">
        <f>VLOOKUP(A18,SAR!A:K,11,0)</f>
        <v>1.5166712466794907E-2</v>
      </c>
      <c r="C18" s="123">
        <f>VLOOKUP(A18,'Extended Payload Diagram'!A:H,8,0)</f>
        <v>2.079073674106071E-2</v>
      </c>
      <c r="D18" s="123">
        <f>VLOOKUP(A18,'Bathtub Curve'!A:H,8,0)</f>
        <v>1.6944444444444443E-2</v>
      </c>
      <c r="E18" s="123">
        <f>VLOOKUP(A18,'EEA Master Emission Calculator'!A:E,5,0)</f>
        <v>1.94016558675306E-2</v>
      </c>
      <c r="F18" s="123"/>
      <c r="G18" s="123">
        <f>VLOOKUP(A18,'Handbook Method'!A:V,22,0)</f>
        <v>1.654243077155056E-2</v>
      </c>
      <c r="H18" s="123">
        <f>VLOOKUP(A18,'Literature review'!A:J,10,0)</f>
        <v>1.84931822011879E-2</v>
      </c>
    </row>
    <row r="19" spans="1:8" x14ac:dyDescent="0.5">
      <c r="A19" s="113" t="s">
        <v>91</v>
      </c>
      <c r="B19" s="133">
        <f>VLOOKUP(A19,SAR!A:K,11,0)</f>
        <v>2.1640826873385012E-2</v>
      </c>
      <c r="C19" s="123">
        <f>VLOOKUP(A19,'Extended Payload Diagram'!A:H,8,0)</f>
        <v>2.9832869466483888E-2</v>
      </c>
      <c r="D19" s="123">
        <f>VLOOKUP(A19,'Bathtub Curve'!A:H,8,0)</f>
        <v>2.2777777777777779E-2</v>
      </c>
      <c r="E19" s="123">
        <f>VLOOKUP(A19,'EEA Master Emission Calculator'!A:E,5,0)</f>
        <v>2.7905398856256664E-2</v>
      </c>
      <c r="F19" s="123">
        <f>VLOOKUP(A19,'BADA '!A:H,8,0)</f>
        <v>2.3527383546380294E-2</v>
      </c>
      <c r="G19" s="123">
        <f>VLOOKUP(A19,'Handbook Method'!A:V,22,0)</f>
        <v>2.1505421768622586E-2</v>
      </c>
      <c r="H19" s="123">
        <f>VLOOKUP(A19,'Literature review'!A:J,10,0)</f>
        <v>2.7698412698412701E-2</v>
      </c>
    </row>
    <row r="20" spans="1:8" x14ac:dyDescent="0.5">
      <c r="A20" s="113" t="s">
        <v>87</v>
      </c>
      <c r="B20" s="133">
        <f>VLOOKUP(A20,SAR!A:K,11,0)</f>
        <v>2.2312131849824477E-2</v>
      </c>
      <c r="C20" s="123">
        <f>VLOOKUP(A20,'Extended Payload Diagram'!A:H,8,0)</f>
        <v>3.1255350513440486E-2</v>
      </c>
      <c r="D20" s="123">
        <f>VLOOKUP(A20,'Bathtub Curve'!A:H,8,0)</f>
        <v>2.3537414965986395E-2</v>
      </c>
      <c r="E20" s="123">
        <f>VLOOKUP(A20,'EEA Master Emission Calculator'!A:E,5,0)</f>
        <v>2.6013204545169817E-2</v>
      </c>
      <c r="F20" s="123">
        <f>VLOOKUP(A20,'BADA '!A:H,8,0)</f>
        <v>2.0166328754040251E-2</v>
      </c>
      <c r="G20" s="123">
        <f>VLOOKUP(A20,'Handbook Method'!A:V,22,0)</f>
        <v>2.0469488397419605E-2</v>
      </c>
      <c r="H20" s="123"/>
    </row>
    <row r="21" spans="1:8" x14ac:dyDescent="0.5">
      <c r="A21" s="113" t="s">
        <v>84</v>
      </c>
      <c r="B21" s="133">
        <f>VLOOKUP(A21,SAR!A:K,11,0)</f>
        <v>2.3268190542662711E-2</v>
      </c>
      <c r="C21" s="123">
        <f>VLOOKUP(A21,'Extended Payload Diagram'!A:H,8,0)</f>
        <v>4.3930021868166212E-2</v>
      </c>
      <c r="D21" s="123">
        <f>VLOOKUP(A21,'Bathtub Curve'!A:H,8,0)</f>
        <v>3.1909090909090908E-2</v>
      </c>
      <c r="E21" s="123">
        <f>VLOOKUP(A21,'EEA Master Emission Calculator'!A:E,5,0)</f>
        <v>3.1055295220243671E-2</v>
      </c>
      <c r="F21" s="123">
        <f>VLOOKUP(A21,'BADA '!A:H,8,0)</f>
        <v>2.694954842585379E-2</v>
      </c>
      <c r="G21" s="123">
        <f>VLOOKUP(A21,'Handbook Method'!A:V,22,0)</f>
        <v>2.4385836272180196E-2</v>
      </c>
      <c r="H21" s="123"/>
    </row>
    <row r="22" spans="1:8" x14ac:dyDescent="0.5">
      <c r="A22" s="113" t="s">
        <v>81</v>
      </c>
      <c r="B22" s="133">
        <f>VLOOKUP(A22,SAR!A:K,11,0)</f>
        <v>2.0794985497545739E-2</v>
      </c>
      <c r="C22" s="123">
        <f>VLOOKUP(A22,'Extended Payload Diagram'!A:H,8,0)</f>
        <v>2.9463719898605838E-2</v>
      </c>
      <c r="D22" s="123">
        <f>VLOOKUP(A22,'Bathtub Curve'!A:H,8,0)</f>
        <v>2.328125E-2</v>
      </c>
      <c r="E22" s="123">
        <f>VLOOKUP(A22,'EEA Master Emission Calculator'!A:E,5,0)</f>
        <v>2.4817411280101391E-2</v>
      </c>
      <c r="F22" s="123">
        <f>VLOOKUP(A22,'BADA '!A:H,8,0)</f>
        <v>3.0355530448458845E-2</v>
      </c>
      <c r="G22" s="123">
        <f>VLOOKUP(A22,'Handbook Method'!A:V,22,0)</f>
        <v>2.1102979634677506E-2</v>
      </c>
      <c r="H22" s="123">
        <f>VLOOKUP(A22,'Literature review'!A:J,10,0)</f>
        <v>2.2408207343412527E-2</v>
      </c>
    </row>
    <row r="23" spans="1:8" x14ac:dyDescent="0.5">
      <c r="A23" s="113" t="s">
        <v>79</v>
      </c>
      <c r="B23" s="133">
        <f>VLOOKUP(A23,SAR!A:K,11,0)</f>
        <v>1.8957909029192123E-2</v>
      </c>
      <c r="C23" s="123">
        <f>VLOOKUP(A23,'Extended Payload Diagram'!A:H,8,0)</f>
        <v>2.7139999999999991E-2</v>
      </c>
      <c r="D23" s="123">
        <f>VLOOKUP(A23,'Bathtub Curve'!A:H,8,0)</f>
        <v>2.1187500000000001E-2</v>
      </c>
      <c r="E23" s="123">
        <f>VLOOKUP(A23,'EEA Master Emission Calculator'!A:E,5,0)</f>
        <v>2.1632000000000002E-2</v>
      </c>
      <c r="F23" s="123">
        <f>VLOOKUP(A23,'BADA '!A:H,8,0)</f>
        <v>2.4284424358767077E-2</v>
      </c>
      <c r="G23" s="123">
        <f>VLOOKUP(A23,'Handbook Method'!A:V,22,0)</f>
        <v>1.9335959540771976E-2</v>
      </c>
      <c r="H23" s="123">
        <f>VLOOKUP(A23,'Literature review'!A:J,10,0)</f>
        <v>1.9546436285097193E-2</v>
      </c>
    </row>
    <row r="24" spans="1:8" x14ac:dyDescent="0.5">
      <c r="A24" s="113" t="s">
        <v>77</v>
      </c>
      <c r="B24" s="133">
        <f>VLOOKUP(A24,SAR!A:K,11,0)</f>
        <v>1.7824956503039901E-2</v>
      </c>
      <c r="C24" s="123">
        <f>VLOOKUP(A24,'Extended Payload Diagram'!A:H,8,0)</f>
        <v>1.7780441971421951E-2</v>
      </c>
      <c r="D24" s="123">
        <f>VLOOKUP(A24,'Bathtub Curve'!A:H,8,0)</f>
        <v>1.3785310734463277E-2</v>
      </c>
      <c r="E24" s="123">
        <f>VLOOKUP(A24,'EEA Master Emission Calculator'!A:E,5,0)</f>
        <v>2.0470158997449694E-2</v>
      </c>
      <c r="F24" s="123"/>
      <c r="G24" s="123">
        <f>VLOOKUP(A24,'Handbook Method'!A:V,22,0)</f>
        <v>1.6927057579567518E-2</v>
      </c>
      <c r="H24" s="123">
        <f>VLOOKUP(A24,'Literature review'!A:J,10,0)</f>
        <v>1.9006479481641469E-2</v>
      </c>
    </row>
    <row r="25" spans="1:8" x14ac:dyDescent="0.5">
      <c r="A25" s="113" t="s">
        <v>74</v>
      </c>
      <c r="B25" s="133">
        <f>VLOOKUP(A25,SAR!A:K,11,0)</f>
        <v>2.2613256308908484E-2</v>
      </c>
      <c r="C25" s="123">
        <f>VLOOKUP(A25,'Extended Payload Diagram'!A:H,8,0)</f>
        <v>3.4299723455352593E-2</v>
      </c>
      <c r="D25" s="123">
        <f>VLOOKUP(A25,'Bathtub Curve'!A:H,8,0)</f>
        <v>3.09375E-2</v>
      </c>
      <c r="E25" s="123">
        <f>VLOOKUP(A25,'EEA Master Emission Calculator'!A:E,5,0)</f>
        <v>2.675983370933702E-2</v>
      </c>
      <c r="F25" s="123">
        <f>VLOOKUP(A25,'BADA '!A:H,8,0)</f>
        <v>3.1292904344961785E-2</v>
      </c>
      <c r="G25" s="123">
        <f>VLOOKUP(A25,'Handbook Method'!A:V,22,0)</f>
        <v>3.0998428062404364E-2</v>
      </c>
      <c r="H25" s="123">
        <f>VLOOKUP(A25,'Literature review'!A:J,10,0)</f>
        <v>2.6700863930885527E-2</v>
      </c>
    </row>
    <row r="26" spans="1:8" x14ac:dyDescent="0.5">
      <c r="A26" s="113" t="s">
        <v>68</v>
      </c>
      <c r="B26" s="133">
        <f>VLOOKUP(A26,SAR!A:K,11,0)</f>
        <v>2.1864877371587231E-2</v>
      </c>
      <c r="C26" s="123">
        <f>VLOOKUP(A26,'Extended Payload Diagram'!A:H,8,0)</f>
        <v>2.9391344596158289E-2</v>
      </c>
      <c r="D26" s="123">
        <f>VLOOKUP(A26,'Bathtub Curve'!A:H,8,0)</f>
        <v>2.3700000000000002E-2</v>
      </c>
      <c r="E26" s="123">
        <f>VLOOKUP(A26,'EEA Master Emission Calculator'!A:E,5,0)</f>
        <v>2.4276556352696134E-2</v>
      </c>
      <c r="F26" s="123">
        <f>VLOOKUP(A26,'BADA '!A:H,8,0)</f>
        <v>2.0687181572734151E-2</v>
      </c>
      <c r="G26" s="123">
        <f>VLOOKUP(A26,'Handbook Method'!A:V,22,0)</f>
        <v>2.1869181912474379E-2</v>
      </c>
      <c r="H26" s="123">
        <f>VLOOKUP(A26,'Literature review'!A:J,10,0)</f>
        <v>1.8574514038876888E-2</v>
      </c>
    </row>
    <row r="27" spans="1:8" x14ac:dyDescent="0.5">
      <c r="A27" s="113" t="s">
        <v>0</v>
      </c>
      <c r="B27" s="133">
        <f>VLOOKUP(A27,SAR!A:K,11,0)</f>
        <v>1.8771550362775787E-2</v>
      </c>
      <c r="C27" s="123">
        <f>VLOOKUP(A27,'Extended Payload Diagram'!A:H,8,0)</f>
        <v>2.9373302394186319E-2</v>
      </c>
      <c r="D27" s="123">
        <f>VLOOKUP(A27,'Bathtub Curve'!A:H,8,0)</f>
        <v>2.3409961685823755E-2</v>
      </c>
      <c r="E27" s="123">
        <f>VLOOKUP(A27,'EEA Master Emission Calculator'!A:E,5,0)</f>
        <v>2.4249042145593872E-2</v>
      </c>
      <c r="F27" s="123">
        <f>VLOOKUP(A27,'BADA '!A:H,8,0)</f>
        <v>2.1776550110563196E-2</v>
      </c>
      <c r="G27" s="123">
        <f>VLOOKUP(A27,'Handbook Method'!A:V,22,0)</f>
        <v>2.550425584500297E-2</v>
      </c>
      <c r="H27" s="123">
        <f>VLOOKUP(A27,'Literature review'!A:J,10,0)</f>
        <v>2.0500359971202305E-2</v>
      </c>
    </row>
    <row r="28" spans="1:8" x14ac:dyDescent="0.5">
      <c r="A28" s="113" t="s">
        <v>61</v>
      </c>
      <c r="B28" s="133">
        <f>VLOOKUP(A28,SAR!A:K,11,0)</f>
        <v>2.0865347769781356E-2</v>
      </c>
      <c r="C28" s="123">
        <f>VLOOKUP(A28,'Extended Payload Diagram'!A:H,8,0)</f>
        <v>2.7980430864303487E-2</v>
      </c>
      <c r="D28" s="123">
        <f>VLOOKUP(A28,'Bathtub Curve'!A:H,8,0)</f>
        <v>2.3704918032786886E-2</v>
      </c>
      <c r="E28" s="123">
        <f>VLOOKUP(A28,'EEA Master Emission Calculator'!A:E,5,0)</f>
        <v>2.490612393785941E-2</v>
      </c>
      <c r="F28" s="123"/>
      <c r="G28" s="123">
        <f>VLOOKUP(A28,'Handbook Method'!A:V,22,0)</f>
        <v>2.7022516690302818E-2</v>
      </c>
      <c r="H28" s="123">
        <f>VLOOKUP(A28,'Literature review'!A:J,10,0)</f>
        <v>2.2393442622950819E-2</v>
      </c>
    </row>
    <row r="29" spans="1:8" x14ac:dyDescent="0.5">
      <c r="A29" s="113" t="s">
        <v>60</v>
      </c>
      <c r="B29" s="133">
        <f>VLOOKUP(A29,SAR!A:K,11,0)</f>
        <v>2.0947588654360551E-2</v>
      </c>
      <c r="C29" s="123">
        <f>VLOOKUP(A29,'Extended Payload Diagram'!A:H,8,0)</f>
        <v>2.4164068982530103E-2</v>
      </c>
      <c r="D29" s="123">
        <f>VLOOKUP(A29,'Bathtub Curve'!A:H,8,0)</f>
        <v>2.0295081967213115E-2</v>
      </c>
      <c r="E29" s="123">
        <f>VLOOKUP(A29,'EEA Master Emission Calculator'!A:E,5,0)</f>
        <v>2.5031396470139716E-2</v>
      </c>
      <c r="F29" s="123"/>
      <c r="G29" s="123">
        <f>VLOOKUP(A29,'Handbook Method'!A:V,22,0)</f>
        <v>2.6621315134700074E-2</v>
      </c>
      <c r="H29" s="123">
        <f>VLOOKUP(A29,'Literature review'!A:J,10,0)</f>
        <v>2.3122923588039867E-2</v>
      </c>
    </row>
    <row r="30" spans="1:8" x14ac:dyDescent="0.5">
      <c r="A30" s="113" t="s">
        <v>56</v>
      </c>
      <c r="B30" s="133">
        <f>VLOOKUP(A30,SAR!A:K,11,0)</f>
        <v>2.1158501129156581E-2</v>
      </c>
      <c r="C30" s="123">
        <f>VLOOKUP(A30,'Extended Payload Diagram'!A:H,8,0)</f>
        <v>2.9614167606309725E-2</v>
      </c>
      <c r="D30" s="123">
        <f>VLOOKUP(A30,'Bathtub Curve'!A:H,8,0)</f>
        <v>2.6602739726027398E-2</v>
      </c>
      <c r="E30" s="123">
        <f>VLOOKUP(A30,'EEA Master Emission Calculator'!A:E,5,0)</f>
        <v>2.6364108106420914E-2</v>
      </c>
      <c r="F30" s="123"/>
      <c r="G30" s="123">
        <f>VLOOKUP(A30,'Handbook Method'!A:V,22,0)</f>
        <v>2.7091113995536553E-2</v>
      </c>
      <c r="H30" s="123">
        <f>VLOOKUP(A30,'Literature review'!A:J,10,0)</f>
        <v>2.1814254859611231E-2</v>
      </c>
    </row>
    <row r="31" spans="1:8" x14ac:dyDescent="0.5">
      <c r="A31" s="113" t="s">
        <v>54</v>
      </c>
      <c r="B31" s="133">
        <f>VLOOKUP(A31,SAR!A:K,11,0)</f>
        <v>1.9124641592174061E-2</v>
      </c>
      <c r="C31" s="123">
        <f>VLOOKUP(A31,'Extended Payload Diagram'!A:H,8,0)</f>
        <v>2.7141855698876925E-2</v>
      </c>
      <c r="D31" s="123">
        <f>VLOOKUP(A31,'Bathtub Curve'!A:H,8,0)</f>
        <v>2.4297520661157024E-2</v>
      </c>
      <c r="E31" s="123">
        <f>VLOOKUP(A31,'EEA Master Emission Calculator'!A:E,5,0)</f>
        <v>2.2908286044854953E-2</v>
      </c>
      <c r="F31" s="123"/>
      <c r="G31" s="123">
        <f>VLOOKUP(A31,'Handbook Method'!A:V,22,0)</f>
        <v>2.435066770491438E-2</v>
      </c>
      <c r="H31" s="123">
        <f>VLOOKUP(A31,'Literature review'!A:J,10,0)</f>
        <v>2.1451372125524074E-2</v>
      </c>
    </row>
    <row r="32" spans="1:8" x14ac:dyDescent="0.5">
      <c r="A32" s="113" t="s">
        <v>53</v>
      </c>
      <c r="B32" s="133">
        <f>VLOOKUP(A32,SAR!A:K,11,0)</f>
        <v>1.822785285520246E-2</v>
      </c>
      <c r="C32" s="123">
        <f>VLOOKUP(A32,'Extended Payload Diagram'!A:H,8,0)</f>
        <v>2.5762319581407563E-2</v>
      </c>
      <c r="D32" s="123">
        <f>VLOOKUP(A32,'Bathtub Curve'!A:H,8,0)</f>
        <v>2.296551724137931E-2</v>
      </c>
      <c r="E32" s="123">
        <f>VLOOKUP(A32,'EEA Master Emission Calculator'!A:E,5,0)</f>
        <v>2.0555472726885477E-2</v>
      </c>
      <c r="F32" s="123"/>
      <c r="G32" s="123">
        <f>VLOOKUP(A32,'Handbook Method'!A:V,22,0)</f>
        <v>2.3010585738148896E-2</v>
      </c>
      <c r="H32" s="123">
        <f>VLOOKUP(A32,'Literature review'!A:J,10,0)</f>
        <v>2.4673599331252519E-2</v>
      </c>
    </row>
    <row r="33" spans="1:8" x14ac:dyDescent="0.5">
      <c r="A33" s="113" t="s">
        <v>48</v>
      </c>
      <c r="B33" s="133">
        <f>VLOOKUP(A33,SAR!A:K,11,0)</f>
        <v>1.937711609657311E-2</v>
      </c>
      <c r="C33" s="123">
        <f>VLOOKUP(A33,'Extended Payload Diagram'!A:H,8,0)</f>
        <v>3.3889803443408938E-2</v>
      </c>
      <c r="D33" s="123">
        <f>VLOOKUP(A33,'Bathtub Curve'!A:H,8,0)</f>
        <v>2.3636363636363636E-2</v>
      </c>
      <c r="E33" s="123">
        <f>VLOOKUP(A33,'EEA Master Emission Calculator'!A:E,5,0)</f>
        <v>3.0674194176674149E-2</v>
      </c>
      <c r="F33" s="123">
        <f>VLOOKUP(A33,'BADA '!A:H,8,0)</f>
        <v>2.4063292725679707E-2</v>
      </c>
      <c r="G33" s="123">
        <f>VLOOKUP(A33,'Handbook Method'!A:V,22,0)</f>
        <v>2.2928504088358195E-2</v>
      </c>
      <c r="H33" s="123"/>
    </row>
    <row r="34" spans="1:8" x14ac:dyDescent="0.5">
      <c r="A34" s="113" t="s">
        <v>159</v>
      </c>
      <c r="B34" s="133">
        <f>VLOOKUP(A34,SAR!A:K,11,0)</f>
        <v>2.1346886912325287E-2</v>
      </c>
      <c r="C34" s="123">
        <f>VLOOKUP(A34,'Extended Payload Diagram'!A:H,8,0)</f>
        <v>4.6732090284592728E-2</v>
      </c>
      <c r="D34" s="123">
        <f>VLOOKUP(A34,'Bathtub Curve'!A:H,8,0)</f>
        <v>1.1399999999999999E-2</v>
      </c>
      <c r="E34" s="123"/>
      <c r="F34" s="123"/>
      <c r="G34" s="123">
        <f>VLOOKUP(A34,'Handbook Method'!A:V,22,0)</f>
        <v>1.8964041321593437E-2</v>
      </c>
      <c r="H34" s="123">
        <f>VLOOKUP(A34,'Literature review'!A:J,10,0)</f>
        <v>3.7400000000000003E-2</v>
      </c>
    </row>
    <row r="35" spans="1:8" x14ac:dyDescent="0.5">
      <c r="A35" s="113" t="s">
        <v>158</v>
      </c>
      <c r="B35" s="133">
        <f>VLOOKUP(A35,SAR!A:K,11,0)</f>
        <v>2.4224299065420559E-2</v>
      </c>
      <c r="C35" s="123">
        <f>VLOOKUP(A35,'Extended Payload Diagram'!A:H,8,0)</f>
        <v>4.4882186616399616E-2</v>
      </c>
      <c r="D35" s="123">
        <f>VLOOKUP(A35,'Bathtub Curve'!A:H,8,0)</f>
        <v>1.24E-2</v>
      </c>
      <c r="E35" s="123"/>
      <c r="F35" s="123"/>
      <c r="G35" s="123">
        <f>VLOOKUP(A35,'Handbook Method'!A:V,22,0)</f>
        <v>1.8943503525986907E-2</v>
      </c>
      <c r="H35" s="123">
        <f>VLOOKUP(A35,'Literature review'!A:J,10,0)</f>
        <v>3.6000000000000004E-2</v>
      </c>
    </row>
    <row r="36" spans="1:8" x14ac:dyDescent="0.5">
      <c r="A36" s="113" t="s">
        <v>39</v>
      </c>
      <c r="B36" s="133">
        <f>VLOOKUP(A36,SAR!A:K,11,0)</f>
        <v>2.0345707870697873E-2</v>
      </c>
      <c r="C36" s="123">
        <f>VLOOKUP(A36,'Extended Payload Diagram'!A:H,8,0)</f>
        <v>3.4518447252955498E-2</v>
      </c>
      <c r="D36" s="123">
        <f>VLOOKUP(A36,'Bathtub Curve'!A:H,8,0)</f>
        <v>1.9358974358974358E-2</v>
      </c>
      <c r="E36" s="123"/>
      <c r="F36" s="123"/>
      <c r="G36" s="123">
        <f>VLOOKUP(A36,'Handbook Method'!A:V,22,0)</f>
        <v>1.8797915196435474E-2</v>
      </c>
      <c r="H36" s="123">
        <f>VLOOKUP(A36,'Literature review'!A:J,10,0)</f>
        <v>3.5230057223718962E-2</v>
      </c>
    </row>
    <row r="37" spans="1:8" x14ac:dyDescent="0.5">
      <c r="A37" s="113" t="s">
        <v>37</v>
      </c>
      <c r="B37" s="133">
        <f>VLOOKUP(A37,SAR!A:K,11,0)</f>
        <v>1.9816118935837245E-2</v>
      </c>
      <c r="C37" s="123">
        <f>VLOOKUP(A37,'Extended Payload Diagram'!A:H,8,0)</f>
        <v>3.7942771431868014E-2</v>
      </c>
      <c r="D37" s="123">
        <f>VLOOKUP(A37,'Bathtub Curve'!A:H,8,0)</f>
        <v>2.2555555555555554E-2</v>
      </c>
      <c r="E37" s="123">
        <f>VLOOKUP(A37,'EEA Master Emission Calculator'!A:E,5,0)</f>
        <v>2.859005422868351E-2</v>
      </c>
      <c r="F37" s="123"/>
      <c r="G37" s="123">
        <f>VLOOKUP(A37,'Handbook Method'!A:V,22,0)</f>
        <v>1.8626311532869602E-2</v>
      </c>
      <c r="H37" s="123">
        <f>VLOOKUP(A37,'Literature review'!A:J,10,0)</f>
        <v>3.3170583683490948E-2</v>
      </c>
    </row>
    <row r="38" spans="1:8" x14ac:dyDescent="0.5">
      <c r="A38" s="113" t="s">
        <v>35</v>
      </c>
      <c r="B38" s="133">
        <f>VLOOKUP(A38,SAR!A:K,11,0)</f>
        <v>1.743908265647396E-2</v>
      </c>
      <c r="C38" s="123">
        <f>VLOOKUP(A38,'Extended Payload Diagram'!A:H,8,0)</f>
        <v>2.8071557155715562E-2</v>
      </c>
      <c r="D38" s="123">
        <f>VLOOKUP(A38,'Bathtub Curve'!A:H,8,0)</f>
        <v>1.8173076923076924E-2</v>
      </c>
      <c r="E38" s="123"/>
      <c r="F38" s="123"/>
      <c r="G38" s="123">
        <f>VLOOKUP(A38,'Handbook Method'!A:V,22,0)</f>
        <v>1.7362786693673686E-2</v>
      </c>
      <c r="H38" s="123">
        <f>VLOOKUP(A38,'Literature review'!A:J,10,0)</f>
        <v>2.6600000000000002E-2</v>
      </c>
    </row>
    <row r="39" spans="1:8" x14ac:dyDescent="0.5">
      <c r="A39" s="113" t="s">
        <v>34</v>
      </c>
      <c r="B39" s="133">
        <f>VLOOKUP(A39,SAR!A:K,11,0)</f>
        <v>2.6976272046694581E-2</v>
      </c>
      <c r="C39" s="123">
        <f>VLOOKUP(A39,'Extended Payload Diagram'!A:H,8,0)</f>
        <v>4.6377911388710544E-2</v>
      </c>
      <c r="D39" s="123">
        <f>VLOOKUP(A39,'Bathtub Curve'!A:H,8,0)</f>
        <v>7.8378378378378376E-3</v>
      </c>
      <c r="E39" s="123"/>
      <c r="F39" s="123">
        <f>VLOOKUP(A39,'BADA '!A:H,8,0)</f>
        <v>1.6864864864864867E-2</v>
      </c>
      <c r="G39" s="123"/>
      <c r="H39" s="123"/>
    </row>
    <row r="40" spans="1:8" x14ac:dyDescent="0.5">
      <c r="A40" s="113" t="s">
        <v>44</v>
      </c>
      <c r="B40" s="133">
        <f>VLOOKUP(A40,SAR!A:K,11,0)</f>
        <v>1.8964467005076143E-2</v>
      </c>
      <c r="C40" s="123">
        <f>VLOOKUP(A40,'Extended Payload Diagram'!A:H,8,0)</f>
        <v>4.4195804195804191E-2</v>
      </c>
      <c r="D40" s="123">
        <f>VLOOKUP(A40,'Bathtub Curve'!A:H,8,0)</f>
        <v>3.4000000000000002E-3</v>
      </c>
      <c r="E40" s="123"/>
      <c r="F40" s="123">
        <f>VLOOKUP(A40,'BADA '!A:H,8,0)</f>
        <v>1.1818181818181821E-2</v>
      </c>
      <c r="G40" s="123"/>
      <c r="H40" s="123"/>
    </row>
    <row r="41" spans="1:8" x14ac:dyDescent="0.5">
      <c r="A41" s="113" t="s">
        <v>32</v>
      </c>
      <c r="B41" s="133">
        <f>VLOOKUP(A41,SAR!A:K,11,0)</f>
        <v>1.7078213511287424E-2</v>
      </c>
      <c r="C41" s="123">
        <f>VLOOKUP(A41,'Extended Payload Diagram'!A:H,8,0)</f>
        <v>2.9719057935565032E-2</v>
      </c>
      <c r="D41" s="123">
        <f>VLOOKUP(A41,'Bathtub Curve'!A:H,8,0)</f>
        <v>1.3414634146341465E-2</v>
      </c>
      <c r="E41" s="123"/>
      <c r="F41" s="123">
        <f>VLOOKUP(A41,'BADA '!A:H,8,0)</f>
        <v>5.6789224608664E-3</v>
      </c>
      <c r="G41" s="123"/>
      <c r="H41" s="123">
        <f>VLOOKUP(A41,'Literature review'!A:J,10,0)</f>
        <v>2.231707317073171E-2</v>
      </c>
    </row>
    <row r="42" spans="1:8" x14ac:dyDescent="0.5">
      <c r="A42" s="113" t="s">
        <v>30</v>
      </c>
      <c r="B42" s="133">
        <f>VLOOKUP(A42,SAR!A:K,11,0)</f>
        <v>5.1343260960175822E-2</v>
      </c>
      <c r="C42" s="123">
        <f>VLOOKUP(A42,'Extended Payload Diagram'!A:H,8,0)</f>
        <v>0.61896100943503474</v>
      </c>
      <c r="D42" s="123"/>
      <c r="E42" s="123"/>
      <c r="F42" s="123"/>
      <c r="G42" s="123"/>
      <c r="H42" s="123"/>
    </row>
    <row r="43" spans="1:8" x14ac:dyDescent="0.5">
      <c r="A43" s="113" t="s">
        <v>26</v>
      </c>
      <c r="B43" s="133">
        <f>VLOOKUP(A43,SAR!A:K,11,0)</f>
        <v>2.2850469069351172E-2</v>
      </c>
      <c r="C43" s="123">
        <f>VLOOKUP(A43,'Extended Payload Diagram'!A:H,8,0)</f>
        <v>4.4396581671645924E-2</v>
      </c>
      <c r="D43" s="123">
        <f>VLOOKUP(A43,'Bathtub Curve'!A:H,8,0)</f>
        <v>2.662162162162162E-2</v>
      </c>
      <c r="E43" s="123">
        <f>VLOOKUP(A43,'EEA Master Emission Calculator'!A:E,5,0)</f>
        <v>3.2640867088167859E-2</v>
      </c>
      <c r="F43" s="123"/>
      <c r="G43" s="123">
        <f>VLOOKUP(A43,'Handbook Method'!A:V,22,0)</f>
        <v>2.0893849574731151E-2</v>
      </c>
      <c r="H43" s="123">
        <f>VLOOKUP(A43,'Literature review'!A:J,10,0)</f>
        <v>3.3023342529235181E-2</v>
      </c>
    </row>
    <row r="44" spans="1:8" x14ac:dyDescent="0.5">
      <c r="A44" s="113" t="s">
        <v>25</v>
      </c>
      <c r="B44" s="133">
        <f>VLOOKUP(A44,SAR!A:K,11,0)</f>
        <v>2.2657754616517502E-2</v>
      </c>
      <c r="C44" s="123">
        <f>VLOOKUP(A44,'Extended Payload Diagram'!A:H,8,0)</f>
        <v>4.0969131878222771E-2</v>
      </c>
      <c r="D44" s="123">
        <f>VLOOKUP(A44,'Bathtub Curve'!A:H,8,0)</f>
        <v>2.3461538461538461E-2</v>
      </c>
      <c r="E44" s="123">
        <f>VLOOKUP(A44,'EEA Master Emission Calculator'!A:E,5,0)</f>
        <v>3.166066256975348E-2</v>
      </c>
      <c r="F44" s="123"/>
      <c r="G44" s="123">
        <f>VLOOKUP(A44,'Handbook Method'!A:V,22,0)</f>
        <v>2.0982137857828265E-2</v>
      </c>
      <c r="H44" s="123">
        <f>VLOOKUP(A44,'Literature review'!A:J,10,0)</f>
        <v>3.1662780679049679E-2</v>
      </c>
    </row>
    <row r="45" spans="1:8" x14ac:dyDescent="0.5">
      <c r="A45" s="113" t="s">
        <v>23</v>
      </c>
      <c r="B45" s="133">
        <f>VLOOKUP(A45,SAR!A:K,11,0)</f>
        <v>2.3912191297530382E-2</v>
      </c>
      <c r="C45" s="123">
        <f>VLOOKUP(A45,'Extended Payload Diagram'!A:H,8,0)</f>
        <v>3.8811771238200996E-2</v>
      </c>
      <c r="D45" s="123">
        <f>VLOOKUP(A45,'Bathtub Curve'!A:H,8,0)</f>
        <v>2.2099999999999998E-2</v>
      </c>
      <c r="E45" s="123">
        <f>VLOOKUP(A45,'EEA Master Emission Calculator'!A:E,5,0)</f>
        <v>3.2252082176568581E-2</v>
      </c>
      <c r="F45" s="123"/>
      <c r="G45" s="123">
        <f>VLOOKUP(A45,'Handbook Method'!A:V,22,0)</f>
        <v>1.6655375787836733E-2</v>
      </c>
      <c r="H45" s="123">
        <f>VLOOKUP(A45,'Literature review'!A:J,10,0)</f>
        <v>2.8615069399156777E-2</v>
      </c>
    </row>
    <row r="46" spans="1:8" x14ac:dyDescent="0.5">
      <c r="A46" s="113" t="s">
        <v>19</v>
      </c>
      <c r="B46" s="133">
        <f>VLOOKUP(A46,SAR!A:K,11,0)</f>
        <v>1.9107564347532878E-2</v>
      </c>
      <c r="C46" s="123">
        <f>VLOOKUP(A46,'Extended Payload Diagram'!A:H,8,0)</f>
        <v>3.4227939575987125E-2</v>
      </c>
      <c r="D46" s="123">
        <f>VLOOKUP(A46,'Bathtub Curve'!A:H,8,0)</f>
        <v>1.6451612903225808E-2</v>
      </c>
      <c r="E46" s="123">
        <f>VLOOKUP(A46,'EEA Master Emission Calculator'!A:E,5,0)</f>
        <v>2.7900396151669497E-2</v>
      </c>
      <c r="F46" s="123"/>
      <c r="G46" s="123">
        <f>VLOOKUP(A46,'Handbook Method'!A:V,22,0)</f>
        <v>1.3082963201166111E-2</v>
      </c>
      <c r="H46" s="123">
        <f>VLOOKUP(A46,'Literature review'!A:J,10,0)</f>
        <v>2.6515103919099139E-2</v>
      </c>
    </row>
    <row r="47" spans="1:8" x14ac:dyDescent="0.5">
      <c r="A47" s="113" t="s">
        <v>17</v>
      </c>
      <c r="B47" s="133">
        <f>VLOOKUP(A47,SAR!A:K,11,0)</f>
        <v>1.8508486818345972E-2</v>
      </c>
      <c r="C47" s="123">
        <f>VLOOKUP(A47,'Extended Payload Diagram'!A:H,8,0)</f>
        <v>2.6367849257874824E-2</v>
      </c>
      <c r="D47" s="123">
        <f>VLOOKUP(A47,'Bathtub Curve'!A:H,8,0)</f>
        <v>2.0192307692307693E-2</v>
      </c>
      <c r="E47" s="123">
        <f>VLOOKUP(A47,'EEA Master Emission Calculator'!A:E,5,0)</f>
        <v>2.5626981004218858E-2</v>
      </c>
      <c r="F47" s="123"/>
      <c r="G47" s="123">
        <f>VLOOKUP(A47,'Handbook Method'!A:V,22,0)</f>
        <v>1.8428636458143025E-2</v>
      </c>
      <c r="H47" s="123">
        <f>VLOOKUP(A47,'Literature review'!A:J,10,0)</f>
        <v>2.3257575757575755E-2</v>
      </c>
    </row>
    <row r="48" spans="1:8" x14ac:dyDescent="0.5">
      <c r="A48" s="113" t="s">
        <v>15</v>
      </c>
      <c r="B48" s="133">
        <f>VLOOKUP(A48,SAR!A:K,11,0)</f>
        <v>2.2059439095856007E-2</v>
      </c>
      <c r="C48" s="123">
        <f>VLOOKUP(A48,'Extended Payload Diagram'!A:H,8,0)</f>
        <v>6.2073246430788369E-2</v>
      </c>
      <c r="D48" s="123">
        <f>VLOOKUP(A48,'Bathtub Curve'!A:H,8,0)</f>
        <v>1.4333333333333333E-2</v>
      </c>
      <c r="E48" s="123">
        <f>VLOOKUP(A48,'EEA Master Emission Calculator'!A:E,5,0)</f>
        <v>5.822594661700807E-2</v>
      </c>
      <c r="F48" s="123">
        <f>VLOOKUP(A48,'BADA '!A:H,8,0)</f>
        <v>1.7770034843205582E-2</v>
      </c>
      <c r="G48" s="123"/>
      <c r="H48" s="123">
        <f>VLOOKUP(A48,'Literature review'!A:J,10,0)</f>
        <v>3.0912526997840167E-2</v>
      </c>
    </row>
    <row r="49" spans="1:8" x14ac:dyDescent="0.5">
      <c r="A49" s="113" t="s">
        <v>11</v>
      </c>
      <c r="B49" s="133">
        <f>VLOOKUP(A49,SAR!A:K,11,0)</f>
        <v>2.8077753779697626E-2</v>
      </c>
      <c r="C49" s="123">
        <f>VLOOKUP(A49,'Extended Payload Diagram'!A:H,8,0)</f>
        <v>3.9795338260375221E-2</v>
      </c>
      <c r="D49" s="123">
        <f>VLOOKUP(A49,'Bathtub Curve'!A:H,8,0)</f>
        <v>2.2200000000000001E-2</v>
      </c>
      <c r="E49" s="123">
        <f>VLOOKUP(A49,'EEA Master Emission Calculator'!A:E,5,0)</f>
        <v>3.6604889141557705E-2</v>
      </c>
      <c r="F49" s="123"/>
      <c r="G49" s="123">
        <f>VLOOKUP(A49,'Handbook Method'!A:V,22,0)</f>
        <v>1.9206750491913904E-2</v>
      </c>
      <c r="H49" s="123">
        <f>VLOOKUP(A49,'Literature review'!A:J,10,0)</f>
        <v>3.1229503662361938E-2</v>
      </c>
    </row>
    <row r="50" spans="1:8" x14ac:dyDescent="0.5">
      <c r="A50" s="113" t="s">
        <v>9</v>
      </c>
      <c r="B50" s="133">
        <f>VLOOKUP(A50,SAR!A:K,11,0)</f>
        <v>2.2077597957342241E-2</v>
      </c>
      <c r="C50" s="123">
        <f>VLOOKUP(A50,'Extended Payload Diagram'!A:H,8,0)</f>
        <v>3.9020390811229357E-2</v>
      </c>
      <c r="D50" s="123">
        <f>VLOOKUP(A50,'Bathtub Curve'!A:H,8,0)</f>
        <v>2.4020618556701033E-2</v>
      </c>
      <c r="E50" s="123">
        <f>VLOOKUP(A50,'EEA Master Emission Calculator'!A:E,5,0)</f>
        <v>3.3925471559651602E-2</v>
      </c>
      <c r="F50" s="123">
        <f>VLOOKUP(A50,'BADA '!A:H,8,0)</f>
        <v>2.219061544142191E-2</v>
      </c>
      <c r="G50" s="123">
        <f>VLOOKUP(A50,'Handbook Method'!A:V,22,0)</f>
        <v>2.3379662989747387E-2</v>
      </c>
      <c r="H50" s="123"/>
    </row>
    <row r="51" spans="1:8" x14ac:dyDescent="0.5">
      <c r="A51" s="113" t="s">
        <v>4</v>
      </c>
      <c r="B51" s="133">
        <f>VLOOKUP(A51,SAR!A:K,11,0)</f>
        <v>2.6780615158684833E-2</v>
      </c>
      <c r="C51" s="123">
        <f>VLOOKUP(A51,'Extended Payload Diagram'!A:H,8,0)</f>
        <v>1.313676835498466E-2</v>
      </c>
      <c r="D51" s="123">
        <f>VLOOKUP(A51,'Bathtub Curve'!A:H,8,0)</f>
        <v>1.4705882352941176E-3</v>
      </c>
      <c r="E51" s="123"/>
      <c r="F51" s="123"/>
      <c r="G51" s="123"/>
      <c r="H51" s="123">
        <f>VLOOKUP(A51,'Literature review'!A:J,10,0)</f>
        <v>2.9805615550755941E-2</v>
      </c>
    </row>
    <row r="52" spans="1:8" x14ac:dyDescent="0.5">
      <c r="A52" s="113" t="s">
        <v>2</v>
      </c>
      <c r="B52" s="133">
        <f>VLOOKUP(A52,SAR!A:K,11,0)</f>
        <v>1.7717478052673583E-2</v>
      </c>
      <c r="C52" s="123">
        <f>VLOOKUP(A52,'Extended Payload Diagram'!A:H,8,0)</f>
        <v>4.0692041522491333E-2</v>
      </c>
      <c r="D52" s="123">
        <f>VLOOKUP(A52,'Bathtub Curve'!A:H,8,0)</f>
        <v>1.9E-2</v>
      </c>
      <c r="E52" s="123"/>
      <c r="F52" s="123"/>
      <c r="G52" s="123">
        <f>VLOOKUP(A52,'Handbook Method'!A:V,22,0)</f>
        <v>1.9923066893285987E-2</v>
      </c>
      <c r="H52" s="123">
        <f>VLOOKUP(A52,'Literature review'!A:J,10,0)</f>
        <v>2.8673469387755102E-2</v>
      </c>
    </row>
    <row r="55" spans="1:8" x14ac:dyDescent="0.5">
      <c r="A55" s="76" t="s">
        <v>237</v>
      </c>
      <c r="B55" s="116">
        <f>AVERAGE(B3:B52)</f>
        <v>2.1095244648686919E-2</v>
      </c>
      <c r="C55" s="116">
        <f>AVERAGE(C3:C52)</f>
        <v>4.4826084806805451E-2</v>
      </c>
      <c r="D55" s="116">
        <f t="shared" ref="D55:H55" si="0">AVERAGE(D3:D52)</f>
        <v>2.053862952371668E-2</v>
      </c>
      <c r="E55" s="116">
        <f t="shared" si="0"/>
        <v>2.7129676734329946E-2</v>
      </c>
      <c r="F55" s="116">
        <f t="shared" si="0"/>
        <v>2.0468189882796188E-2</v>
      </c>
      <c r="G55" s="116">
        <f t="shared" si="0"/>
        <v>2.0977738814857708E-2</v>
      </c>
      <c r="H55" s="116">
        <f t="shared" si="0"/>
        <v>2.5932870133998889E-2</v>
      </c>
    </row>
    <row r="56" spans="1:8" x14ac:dyDescent="0.5">
      <c r="A56" s="76" t="s">
        <v>238</v>
      </c>
      <c r="B56" s="116">
        <f>_xlfn.STDEV.P(B3:B52)</f>
        <v>5.75543721607648E-3</v>
      </c>
      <c r="C56" s="116">
        <f t="shared" ref="C56:H56" si="1">_xlfn.STDEV.P(C3:C52)</f>
        <v>8.2788986515791529E-2</v>
      </c>
      <c r="D56" s="116">
        <f t="shared" si="1"/>
        <v>6.2856244271234669E-3</v>
      </c>
      <c r="E56" s="116">
        <f t="shared" si="1"/>
        <v>6.9442296627939106E-3</v>
      </c>
      <c r="F56" s="116">
        <f t="shared" si="1"/>
        <v>6.2807078344739569E-3</v>
      </c>
      <c r="G56" s="116">
        <f t="shared" si="1"/>
        <v>4.5335894404507394E-3</v>
      </c>
      <c r="H56" s="116">
        <f t="shared" si="1"/>
        <v>6.8222787963537019E-3</v>
      </c>
    </row>
    <row r="57" spans="1:8" x14ac:dyDescent="0.5">
      <c r="A57" s="76" t="s">
        <v>285</v>
      </c>
      <c r="B57" s="116">
        <f>B56/B55</f>
        <v>0.27283102480798815</v>
      </c>
      <c r="C57" s="116">
        <f t="shared" ref="C57:H57" si="2">C56/C55</f>
        <v>1.8468930952279505</v>
      </c>
      <c r="D57" s="116">
        <f t="shared" si="2"/>
        <v>0.30603913566215479</v>
      </c>
      <c r="E57" s="116">
        <f t="shared" si="2"/>
        <v>0.25596433495304677</v>
      </c>
      <c r="F57" s="116">
        <f t="shared" si="2"/>
        <v>0.30685213838830877</v>
      </c>
      <c r="G57" s="116">
        <f t="shared" si="2"/>
        <v>0.21611430480961924</v>
      </c>
      <c r="H57" s="116">
        <f t="shared" si="2"/>
        <v>0.2630745752823348</v>
      </c>
    </row>
    <row r="60" spans="1:8" x14ac:dyDescent="0.5">
      <c r="A60" s="76" t="s">
        <v>289</v>
      </c>
    </row>
    <row r="61" spans="1:8" x14ac:dyDescent="0.5">
      <c r="H61" s="125" t="s">
        <v>296</v>
      </c>
    </row>
    <row r="62" spans="1:8" ht="16.149999999999999" thickBot="1" x14ac:dyDescent="0.55000000000000004">
      <c r="A62" s="84" t="s">
        <v>286</v>
      </c>
      <c r="B62" s="85"/>
      <c r="C62" s="94" t="s">
        <v>287</v>
      </c>
      <c r="H62" s="128">
        <v>2</v>
      </c>
    </row>
    <row r="63" spans="1:8" x14ac:dyDescent="0.5">
      <c r="A63" t="s">
        <v>307</v>
      </c>
      <c r="C63" s="126">
        <v>1</v>
      </c>
      <c r="H63" s="128">
        <v>4</v>
      </c>
    </row>
    <row r="64" spans="1:8" x14ac:dyDescent="0.5">
      <c r="A64" t="s">
        <v>309</v>
      </c>
      <c r="C64" s="126">
        <v>2</v>
      </c>
      <c r="H64" s="128">
        <v>7</v>
      </c>
    </row>
    <row r="65" spans="1:8" x14ac:dyDescent="0.5">
      <c r="A65" t="s">
        <v>321</v>
      </c>
      <c r="C65" s="126">
        <v>3</v>
      </c>
      <c r="H65" s="128">
        <v>1</v>
      </c>
    </row>
    <row r="66" spans="1:8" x14ac:dyDescent="0.5">
      <c r="A66" t="s">
        <v>308</v>
      </c>
      <c r="C66" s="126">
        <v>4</v>
      </c>
      <c r="H66" s="128">
        <v>6</v>
      </c>
    </row>
    <row r="67" spans="1:8" x14ac:dyDescent="0.5">
      <c r="A67" t="s">
        <v>312</v>
      </c>
      <c r="C67" s="126">
        <v>5</v>
      </c>
      <c r="H67" s="128">
        <v>3</v>
      </c>
    </row>
    <row r="68" spans="1:8" x14ac:dyDescent="0.5">
      <c r="A68" t="s">
        <v>310</v>
      </c>
      <c r="C68" s="126">
        <v>6</v>
      </c>
      <c r="H68" s="128">
        <v>5</v>
      </c>
    </row>
    <row r="69" spans="1:8" ht="16.149999999999999" thickBot="1" x14ac:dyDescent="0.55000000000000004">
      <c r="A69" s="83" t="s">
        <v>311</v>
      </c>
      <c r="B69" s="85"/>
      <c r="C69" s="127">
        <v>7</v>
      </c>
    </row>
    <row r="71" spans="1:8" x14ac:dyDescent="0.5">
      <c r="A71" s="70" t="s">
        <v>288</v>
      </c>
    </row>
    <row r="72" spans="1:8" x14ac:dyDescent="0.5">
      <c r="A72">
        <f>Deviation!T42</f>
        <v>0.85449603467422108</v>
      </c>
      <c r="B72" t="s">
        <v>313</v>
      </c>
    </row>
    <row r="76" spans="1:8" x14ac:dyDescent="0.5">
      <c r="H76" s="125" t="s">
        <v>323</v>
      </c>
    </row>
    <row r="77" spans="1:8" x14ac:dyDescent="0.5">
      <c r="H77" s="128">
        <v>2</v>
      </c>
    </row>
    <row r="78" spans="1:8" x14ac:dyDescent="0.5">
      <c r="H78" s="128">
        <v>4</v>
      </c>
    </row>
    <row r="79" spans="1:8" x14ac:dyDescent="0.5">
      <c r="H79" s="128">
        <v>7</v>
      </c>
    </row>
    <row r="80" spans="1:8" x14ac:dyDescent="0.5">
      <c r="H80" s="128">
        <v>3</v>
      </c>
    </row>
    <row r="81" spans="8:8" x14ac:dyDescent="0.5">
      <c r="H81" s="128">
        <v>5</v>
      </c>
    </row>
    <row r="82" spans="8:8" x14ac:dyDescent="0.5">
      <c r="H82" s="128">
        <v>1</v>
      </c>
    </row>
    <row r="83" spans="8:8" x14ac:dyDescent="0.5">
      <c r="H83" s="128">
        <v>6</v>
      </c>
    </row>
    <row r="94" spans="8:8" x14ac:dyDescent="0.5">
      <c r="H94" s="125" t="s">
        <v>322</v>
      </c>
    </row>
    <row r="95" spans="8:8" x14ac:dyDescent="0.5">
      <c r="H95" s="128">
        <v>2</v>
      </c>
    </row>
    <row r="96" spans="8:8" x14ac:dyDescent="0.5">
      <c r="H96" s="128">
        <v>5</v>
      </c>
    </row>
    <row r="97" spans="8:8" x14ac:dyDescent="0.5">
      <c r="H97" s="128">
        <v>3</v>
      </c>
    </row>
    <row r="98" spans="8:8" x14ac:dyDescent="0.5">
      <c r="H98" s="128">
        <v>1</v>
      </c>
    </row>
    <row r="99" spans="8:8" x14ac:dyDescent="0.5">
      <c r="H99" s="128">
        <v>7</v>
      </c>
    </row>
    <row r="100" spans="8:8" x14ac:dyDescent="0.5">
      <c r="H100" s="128">
        <v>4</v>
      </c>
    </row>
    <row r="101" spans="8:8" x14ac:dyDescent="0.5">
      <c r="H101" s="128">
        <v>6</v>
      </c>
    </row>
    <row r="110" spans="8:8" x14ac:dyDescent="0.5">
      <c r="H110" s="142" t="s">
        <v>292</v>
      </c>
    </row>
    <row r="111" spans="8:8" x14ac:dyDescent="0.5">
      <c r="H111" s="128">
        <v>2</v>
      </c>
    </row>
    <row r="112" spans="8:8" x14ac:dyDescent="0.5">
      <c r="H112" s="128">
        <v>4</v>
      </c>
    </row>
    <row r="113" spans="4:8" x14ac:dyDescent="0.5">
      <c r="H113" s="128">
        <v>1</v>
      </c>
    </row>
    <row r="114" spans="4:8" x14ac:dyDescent="0.5">
      <c r="H114" s="128">
        <v>7</v>
      </c>
    </row>
    <row r="115" spans="4:8" x14ac:dyDescent="0.5">
      <c r="H115" s="128">
        <v>3</v>
      </c>
    </row>
    <row r="116" spans="4:8" x14ac:dyDescent="0.5">
      <c r="H116" s="128">
        <v>6</v>
      </c>
    </row>
    <row r="117" spans="4:8" x14ac:dyDescent="0.5">
      <c r="H117" s="128">
        <v>5</v>
      </c>
    </row>
    <row r="118" spans="4:8" x14ac:dyDescent="0.5">
      <c r="H118" t="s">
        <v>293</v>
      </c>
    </row>
    <row r="126" spans="4:8" x14ac:dyDescent="0.5">
      <c r="D126" t="s">
        <v>295</v>
      </c>
    </row>
    <row r="127" spans="4:8" x14ac:dyDescent="0.5">
      <c r="D127">
        <v>0.46189999999999998</v>
      </c>
    </row>
    <row r="128" spans="4:8" x14ac:dyDescent="0.5">
      <c r="D128">
        <v>0.58309999999999995</v>
      </c>
      <c r="H128" s="125" t="s">
        <v>291</v>
      </c>
    </row>
    <row r="129" spans="4:8" x14ac:dyDescent="0.5">
      <c r="D129">
        <v>2.1499999999999998E-2</v>
      </c>
      <c r="H129" s="128">
        <v>2</v>
      </c>
    </row>
    <row r="130" spans="4:8" x14ac:dyDescent="0.5">
      <c r="D130">
        <v>0.4834</v>
      </c>
      <c r="H130" s="128">
        <v>4</v>
      </c>
    </row>
    <row r="131" spans="4:8" x14ac:dyDescent="0.5">
      <c r="D131">
        <v>4.7100000000000003E-2</v>
      </c>
      <c r="H131" s="128">
        <v>1</v>
      </c>
    </row>
    <row r="132" spans="4:8" x14ac:dyDescent="0.5">
      <c r="D132">
        <v>3.4099999999999998E-2</v>
      </c>
      <c r="H132" s="128">
        <v>7</v>
      </c>
    </row>
    <row r="133" spans="4:8" x14ac:dyDescent="0.5">
      <c r="D133">
        <v>0.4572</v>
      </c>
      <c r="H133" s="128">
        <v>5</v>
      </c>
    </row>
    <row r="134" spans="4:8" x14ac:dyDescent="0.5">
      <c r="H134" s="128">
        <v>6</v>
      </c>
    </row>
    <row r="135" spans="4:8" x14ac:dyDescent="0.5">
      <c r="H135" s="128">
        <v>3</v>
      </c>
    </row>
    <row r="136" spans="4:8" x14ac:dyDescent="0.5">
      <c r="H136" t="s">
        <v>293</v>
      </c>
    </row>
    <row r="144" spans="4:8" x14ac:dyDescent="0.5">
      <c r="H144" s="125" t="s">
        <v>290</v>
      </c>
    </row>
    <row r="145" spans="8:8" x14ac:dyDescent="0.5">
      <c r="H145" s="128">
        <v>4</v>
      </c>
    </row>
    <row r="146" spans="8:8" x14ac:dyDescent="0.5">
      <c r="H146" s="128">
        <v>6</v>
      </c>
    </row>
    <row r="147" spans="8:8" x14ac:dyDescent="0.5">
      <c r="H147" s="128">
        <v>3</v>
      </c>
    </row>
    <row r="148" spans="8:8" x14ac:dyDescent="0.5">
      <c r="H148" s="128">
        <v>2</v>
      </c>
    </row>
    <row r="149" spans="8:8" x14ac:dyDescent="0.5">
      <c r="H149" s="128">
        <v>7</v>
      </c>
    </row>
    <row r="150" spans="8:8" x14ac:dyDescent="0.5">
      <c r="H150" s="128">
        <v>5</v>
      </c>
    </row>
    <row r="151" spans="8:8" x14ac:dyDescent="0.5">
      <c r="H151" s="128">
        <v>1</v>
      </c>
    </row>
    <row r="152" spans="8:8" x14ac:dyDescent="0.5">
      <c r="H152" t="s">
        <v>294</v>
      </c>
    </row>
  </sheetData>
  <autoFilter ref="A1:H52" xr:uid="{1A4D21D1-211F-694C-853F-335276F54229}"/>
  <mergeCells count="8">
    <mergeCell ref="G1:G2"/>
    <mergeCell ref="H1:H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2FA6D-4107-D349-889E-146A3318C765}">
  <dimension ref="A2:AL14"/>
  <sheetViews>
    <sheetView zoomScale="19" workbookViewId="0">
      <selection activeCell="AP25" sqref="AP25"/>
    </sheetView>
  </sheetViews>
  <sheetFormatPr baseColWidth="10" defaultRowHeight="15.75" x14ac:dyDescent="0.5"/>
  <cols>
    <col min="2" max="2" width="26.1875" customWidth="1"/>
    <col min="3" max="3" width="23.6875" customWidth="1"/>
    <col min="4" max="4" width="19.1875" customWidth="1"/>
    <col min="5" max="5" width="21.5" customWidth="1"/>
    <col min="6" max="6" width="16.5" customWidth="1"/>
    <col min="7" max="7" width="24.6875" customWidth="1"/>
    <col min="8" max="8" width="17.6875" customWidth="1"/>
    <col min="9" max="9" width="16.1875" customWidth="1"/>
    <col min="16" max="16" width="23.1875" customWidth="1"/>
    <col min="17" max="17" width="23.6875" customWidth="1"/>
    <col min="18" max="18" width="19.1875" customWidth="1"/>
    <col min="19" max="19" width="21.5" customWidth="1"/>
    <col min="20" max="20" width="16.5" customWidth="1"/>
    <col min="21" max="21" width="24.6875" customWidth="1"/>
    <col min="22" max="22" width="17.6875" customWidth="1"/>
    <col min="23" max="23" width="16.1875" customWidth="1"/>
    <col min="26" max="26" width="27.1875" customWidth="1"/>
    <col min="28" max="28" width="16.8125" customWidth="1"/>
    <col min="29" max="29" width="18" customWidth="1"/>
    <col min="30" max="30" width="22.8125" customWidth="1"/>
    <col min="31" max="31" width="21.5" customWidth="1"/>
    <col min="32" max="32" width="24.3125" customWidth="1"/>
    <col min="33" max="33" width="24.6875" customWidth="1"/>
    <col min="34" max="34" width="26.3125" customWidth="1"/>
    <col min="35" max="35" width="23" customWidth="1"/>
    <col min="36" max="36" width="20.6875" customWidth="1"/>
    <col min="37" max="37" width="21" customWidth="1"/>
  </cols>
  <sheetData>
    <row r="2" spans="1:38" x14ac:dyDescent="0.5">
      <c r="B2" s="103"/>
      <c r="P2" s="103"/>
      <c r="AD2" s="103"/>
    </row>
    <row r="3" spans="1:38" ht="79.05" customHeight="1" x14ac:dyDescent="0.5">
      <c r="A3" s="102"/>
      <c r="B3" s="77" t="s">
        <v>236</v>
      </c>
      <c r="C3" s="73" t="s">
        <v>297</v>
      </c>
      <c r="D3" s="73" t="s">
        <v>317</v>
      </c>
      <c r="E3" s="73" t="s">
        <v>318</v>
      </c>
      <c r="F3" s="73" t="s">
        <v>314</v>
      </c>
      <c r="G3" s="73" t="s">
        <v>315</v>
      </c>
      <c r="H3" s="73" t="s">
        <v>302</v>
      </c>
      <c r="I3" s="73" t="s">
        <v>316</v>
      </c>
      <c r="J3" s="73" t="s">
        <v>237</v>
      </c>
      <c r="O3" s="102"/>
      <c r="P3" s="107" t="s">
        <v>229</v>
      </c>
      <c r="Q3" s="73" t="s">
        <v>297</v>
      </c>
      <c r="R3" s="73" t="s">
        <v>317</v>
      </c>
      <c r="S3" s="73" t="s">
        <v>318</v>
      </c>
      <c r="T3" s="73" t="s">
        <v>314</v>
      </c>
      <c r="U3" s="73" t="s">
        <v>315</v>
      </c>
      <c r="V3" s="73" t="s">
        <v>302</v>
      </c>
      <c r="W3" s="73" t="s">
        <v>316</v>
      </c>
      <c r="X3" s="73" t="s">
        <v>237</v>
      </c>
      <c r="AC3" s="102"/>
      <c r="AD3" s="78" t="s">
        <v>235</v>
      </c>
      <c r="AE3" s="73" t="s">
        <v>297</v>
      </c>
      <c r="AF3" s="73" t="s">
        <v>317</v>
      </c>
      <c r="AG3" s="73" t="s">
        <v>318</v>
      </c>
      <c r="AH3" s="73" t="s">
        <v>314</v>
      </c>
      <c r="AI3" s="73" t="s">
        <v>315</v>
      </c>
      <c r="AJ3" s="73" t="s">
        <v>302</v>
      </c>
      <c r="AK3" s="73" t="s">
        <v>316</v>
      </c>
    </row>
    <row r="4" spans="1:38" ht="50" customHeight="1" x14ac:dyDescent="0.5">
      <c r="B4" s="73" t="s">
        <v>297</v>
      </c>
      <c r="C4" s="74">
        <v>1</v>
      </c>
      <c r="D4" s="114">
        <f>Deviation!B56</f>
        <v>0.64803684380917925</v>
      </c>
      <c r="E4" s="114">
        <f>Deviation!Q55</f>
        <v>3.5890341221742044E-3</v>
      </c>
      <c r="F4" s="114">
        <f>Deviation!E42</f>
        <v>0.39468055174423317</v>
      </c>
      <c r="G4" s="114">
        <f>Deviation!H25</f>
        <v>2.2865841313669165E-2</v>
      </c>
      <c r="H4" s="114">
        <f>Deviation!K47</f>
        <v>6.4477643859618142E-2</v>
      </c>
      <c r="I4" s="115">
        <f>Deviation!N48</f>
        <v>0.51384860966671198</v>
      </c>
      <c r="J4" s="116">
        <f>AVERAGE(C4:I4)</f>
        <v>0.37821407493079801</v>
      </c>
      <c r="K4">
        <v>2</v>
      </c>
      <c r="P4" s="73" t="s">
        <v>297</v>
      </c>
      <c r="Q4" s="74">
        <v>0</v>
      </c>
      <c r="R4" s="114">
        <f>Deviation!C56</f>
        <v>0.83572315985713541</v>
      </c>
      <c r="S4" s="114">
        <f>Deviation!R55</f>
        <v>0.24238557258841725</v>
      </c>
      <c r="T4" s="114">
        <f>Deviation!F42</f>
        <v>0.32704048589447177</v>
      </c>
      <c r="U4" s="114">
        <f>Deviation!I25</f>
        <v>0.26581295447529113</v>
      </c>
      <c r="V4" s="114">
        <f>Deviation!L47</f>
        <v>0.18352580992061573</v>
      </c>
      <c r="W4" s="115">
        <f>Deviation!O48</f>
        <v>0.29702566918511114</v>
      </c>
      <c r="X4" s="116">
        <f>AVERAGE(R4:W4)</f>
        <v>0.35858560865350708</v>
      </c>
      <c r="AD4" s="73" t="s">
        <v>297</v>
      </c>
      <c r="AE4" s="74" t="s">
        <v>234</v>
      </c>
      <c r="AF4" s="75" t="str">
        <f>D4&amp;" "&amp;R4</f>
        <v>0,648036843809179 0,835723159857135</v>
      </c>
      <c r="AG4" s="75" t="str">
        <f t="shared" ref="AG4:AK4" si="0">E4&amp;" "&amp;S4</f>
        <v>0,0035890341221742 0,242385572588417</v>
      </c>
      <c r="AH4" s="75" t="str">
        <f t="shared" si="0"/>
        <v>0,394680551744233 0,327040485894472</v>
      </c>
      <c r="AI4" s="75" t="str">
        <f t="shared" si="0"/>
        <v>0,0228658413136692 0,265812954475291</v>
      </c>
      <c r="AJ4" s="75" t="str">
        <f t="shared" si="0"/>
        <v>0,0644776438596181 0,183525809920616</v>
      </c>
      <c r="AK4" s="121" t="str">
        <f t="shared" si="0"/>
        <v>0,513848609666712 0,297025669185111</v>
      </c>
    </row>
    <row r="5" spans="1:38" ht="51" customHeight="1" x14ac:dyDescent="0.5">
      <c r="B5" s="73" t="s">
        <v>317</v>
      </c>
      <c r="C5" s="114">
        <f>D4</f>
        <v>0.64803684380917925</v>
      </c>
      <c r="D5" s="74">
        <v>1</v>
      </c>
      <c r="E5" s="114">
        <f>Deviation!AF55</f>
        <v>4.2729780731921201E-3</v>
      </c>
      <c r="F5" s="114">
        <f>Deviation!T42</f>
        <v>0.85449603467422108</v>
      </c>
      <c r="G5" s="114">
        <f>Deviation!W25</f>
        <v>2.4153669147860442E-2</v>
      </c>
      <c r="H5" s="114">
        <f>Deviation!Z47</f>
        <v>7.0606248581140006E-3</v>
      </c>
      <c r="I5" s="117">
        <f>Deviation!AC48</f>
        <v>0.66660347679103571</v>
      </c>
      <c r="J5" s="116">
        <f t="shared" ref="J5:J10" si="1">AVERAGE(C5:I5)</f>
        <v>0.45780337533622895</v>
      </c>
      <c r="K5">
        <v>1</v>
      </c>
      <c r="P5" s="73" t="s">
        <v>317</v>
      </c>
      <c r="Q5" s="114">
        <f>R4</f>
        <v>0.83572315985713541</v>
      </c>
      <c r="R5" s="74">
        <v>0</v>
      </c>
      <c r="S5" s="114">
        <f>Deviation!AG55</f>
        <v>0.3336683998739729</v>
      </c>
      <c r="T5" s="114">
        <f>Deviation!U42</f>
        <v>0.1560274990119804</v>
      </c>
      <c r="U5" s="114">
        <f>Deviation!X25</f>
        <v>0.3919897400594109</v>
      </c>
      <c r="V5" s="114">
        <f>Deviation!AA47</f>
        <v>0.29516054166450578</v>
      </c>
      <c r="W5" s="117">
        <f>Deviation!AD48</f>
        <v>0.21051209850050634</v>
      </c>
      <c r="X5" s="116">
        <f t="shared" ref="X5:X10" si="2">AVERAGE(R5:W5)</f>
        <v>0.23122637985172942</v>
      </c>
      <c r="AD5" s="73" t="s">
        <v>317</v>
      </c>
      <c r="AE5" s="75" t="str">
        <f>AF4</f>
        <v>0,648036843809179 0,835723159857135</v>
      </c>
      <c r="AF5" s="74" t="s">
        <v>234</v>
      </c>
      <c r="AG5" s="75" t="str">
        <f>E5&amp;" "&amp;S5</f>
        <v>0,00427297807319212 0,333668399873973</v>
      </c>
      <c r="AH5" s="75" t="str">
        <f>F5&amp;" "&amp;T5</f>
        <v>0,854496034674221 0,15602749901198</v>
      </c>
      <c r="AI5" s="75" t="str">
        <f>G5&amp;" "&amp;U5</f>
        <v>0,0241536691478604 0,391989740059411</v>
      </c>
      <c r="AJ5" s="75" t="str">
        <f>H5&amp;" "&amp;V5</f>
        <v>0,007060624858114 0,295160541664506</v>
      </c>
      <c r="AK5" s="122" t="str">
        <f>I5&amp;" "&amp;W5</f>
        <v>0,666603476791036 0,210512098500506</v>
      </c>
    </row>
    <row r="6" spans="1:38" ht="78" customHeight="1" x14ac:dyDescent="0.5">
      <c r="B6" s="73" t="s">
        <v>318</v>
      </c>
      <c r="C6" s="114">
        <f>E4</f>
        <v>3.5890341221742044E-3</v>
      </c>
      <c r="D6" s="114">
        <f>E5</f>
        <v>4.2729780731921201E-3</v>
      </c>
      <c r="E6" s="74">
        <v>1</v>
      </c>
      <c r="F6" s="114">
        <f>Deviation!AR42</f>
        <v>1.3386944416902454E-3</v>
      </c>
      <c r="G6" s="114">
        <f>Deviation!BA25</f>
        <v>0.36724369730459738</v>
      </c>
      <c r="H6" s="114">
        <f>Deviation!BG47</f>
        <v>0.44782069230292804</v>
      </c>
      <c r="I6" s="117">
        <f>Deviation!BJ48</f>
        <v>5.8958088630726871E-4</v>
      </c>
      <c r="J6" s="116">
        <f t="shared" si="1"/>
        <v>0.26069352530441275</v>
      </c>
      <c r="K6">
        <v>3</v>
      </c>
      <c r="P6" s="73" t="s">
        <v>318</v>
      </c>
      <c r="Q6" s="114">
        <f>S4</f>
        <v>0.24238557258841725</v>
      </c>
      <c r="R6" s="114">
        <f>S5</f>
        <v>0.3336683998739729</v>
      </c>
      <c r="S6" s="74">
        <v>0</v>
      </c>
      <c r="T6" s="114">
        <f>Deviation!AS42</f>
        <v>0.17057943811041143</v>
      </c>
      <c r="U6" s="114">
        <f>Deviation!BB25</f>
        <v>0.33905282054816077</v>
      </c>
      <c r="V6" s="114">
        <f>Deviation!BH47</f>
        <v>0.14738779645164904</v>
      </c>
      <c r="W6" s="117">
        <f>Deviation!BK48</f>
        <v>0.23012778721880359</v>
      </c>
      <c r="X6" s="116">
        <f t="shared" si="2"/>
        <v>0.20346937370049964</v>
      </c>
      <c r="AD6" s="73" t="s">
        <v>318</v>
      </c>
      <c r="AE6" s="75" t="str">
        <f>AG4</f>
        <v>0,0035890341221742 0,242385572588417</v>
      </c>
      <c r="AF6" s="75" t="str">
        <f>AG5</f>
        <v>0,00427297807319212 0,333668399873973</v>
      </c>
      <c r="AG6" s="74" t="s">
        <v>234</v>
      </c>
      <c r="AH6" s="75" t="str">
        <f>F6&amp;" "&amp;T6</f>
        <v>0,00133869444169025 0,170579438110411</v>
      </c>
      <c r="AI6" s="75" t="str">
        <f>G6&amp;" "&amp;U6</f>
        <v>0,367243697304597 0,339052820548161</v>
      </c>
      <c r="AJ6" s="75" t="str">
        <f>H6&amp;" "&amp;V6</f>
        <v>0,447820692302928 0,147387796451649</v>
      </c>
      <c r="AK6" s="122" t="str">
        <f>I6&amp;" "&amp;W6</f>
        <v>0,000589580886307269 0,230127787218804</v>
      </c>
    </row>
    <row r="7" spans="1:38" ht="49.05" customHeight="1" x14ac:dyDescent="0.5">
      <c r="B7" s="73" t="s">
        <v>314</v>
      </c>
      <c r="C7" s="114">
        <f>F4</f>
        <v>0.39468055174423317</v>
      </c>
      <c r="D7" s="114">
        <f>F5</f>
        <v>0.85449603467422108</v>
      </c>
      <c r="E7" s="114">
        <f>F6</f>
        <v>1.3386944416902454E-3</v>
      </c>
      <c r="F7" s="74">
        <v>1</v>
      </c>
      <c r="G7" s="114">
        <f>Deviation!AI22</f>
        <v>5.6363845427371086E-2</v>
      </c>
      <c r="H7" s="114">
        <f>Deviation!AL39</f>
        <v>2.5981488017478567E-3</v>
      </c>
      <c r="I7" s="117">
        <f>Deviation!AO37</f>
        <v>0.35258605055753744</v>
      </c>
      <c r="J7" s="116">
        <f t="shared" si="1"/>
        <v>0.38029476080668578</v>
      </c>
      <c r="K7">
        <v>5</v>
      </c>
      <c r="P7" s="73" t="s">
        <v>314</v>
      </c>
      <c r="Q7" s="114">
        <f>T4</f>
        <v>0.32704048589447177</v>
      </c>
      <c r="R7" s="114">
        <f>T5</f>
        <v>0.1560274990119804</v>
      </c>
      <c r="S7" s="114">
        <f>T6</f>
        <v>0.17057943811041143</v>
      </c>
      <c r="T7" s="74">
        <v>0</v>
      </c>
      <c r="U7" s="114">
        <f>Deviation!AJ22</f>
        <v>0.24604011512903495</v>
      </c>
      <c r="V7" s="114">
        <f>Deviation!AM39</f>
        <v>0.21277523699759593</v>
      </c>
      <c r="W7" s="117">
        <f>Deviation!AP37</f>
        <v>0.12926567762411587</v>
      </c>
      <c r="X7" s="116">
        <f t="shared" si="2"/>
        <v>0.15244799447885646</v>
      </c>
      <c r="AD7" s="73" t="s">
        <v>314</v>
      </c>
      <c r="AE7" s="75" t="str">
        <f>AH4</f>
        <v>0,394680551744233 0,327040485894472</v>
      </c>
      <c r="AF7" s="75" t="str">
        <f>AH5</f>
        <v>0,854496034674221 0,15602749901198</v>
      </c>
      <c r="AG7" s="75" t="str">
        <f>AH6</f>
        <v>0,00133869444169025 0,170579438110411</v>
      </c>
      <c r="AH7" s="74" t="s">
        <v>234</v>
      </c>
      <c r="AI7" s="75" t="str">
        <f>G7&amp;" "&amp;U7</f>
        <v>0,0563638454273711 0,246040115129035</v>
      </c>
      <c r="AJ7" s="75" t="str">
        <f>H7&amp;" "&amp;V7</f>
        <v>0,00259814880174786 0,212775236997596</v>
      </c>
      <c r="AK7" s="122" t="str">
        <f>I7&amp;" "&amp;W7</f>
        <v>0,352586050557537 0,129265677624116</v>
      </c>
    </row>
    <row r="8" spans="1:38" ht="80" customHeight="1" x14ac:dyDescent="0.5">
      <c r="B8" s="73" t="s">
        <v>315</v>
      </c>
      <c r="C8" s="114">
        <f>G4</f>
        <v>2.2865841313669165E-2</v>
      </c>
      <c r="D8" s="114">
        <f>G5</f>
        <v>2.4153669147860442E-2</v>
      </c>
      <c r="E8" s="114">
        <f>G6</f>
        <v>0.36724369730459738</v>
      </c>
      <c r="F8" s="114">
        <f>G7</f>
        <v>5.6363845427371086E-2</v>
      </c>
      <c r="G8" s="74">
        <v>1</v>
      </c>
      <c r="H8" s="114">
        <f>Deviation!AU18</f>
        <v>0.159789649616909</v>
      </c>
      <c r="I8" s="117">
        <f>Deviation!AX19</f>
        <v>3.7283738608881581E-2</v>
      </c>
      <c r="J8" s="116">
        <f t="shared" si="1"/>
        <v>0.23824292020275553</v>
      </c>
      <c r="K8">
        <v>7</v>
      </c>
      <c r="P8" s="73" t="s">
        <v>315</v>
      </c>
      <c r="Q8" s="114">
        <f>U4</f>
        <v>0.26581295447529113</v>
      </c>
      <c r="R8" s="114">
        <f>U5</f>
        <v>0.3919897400594109</v>
      </c>
      <c r="S8" s="114">
        <f>U6</f>
        <v>0.33905282054816077</v>
      </c>
      <c r="T8" s="114">
        <f>U7</f>
        <v>0.24604011512903495</v>
      </c>
      <c r="U8" s="74">
        <v>0</v>
      </c>
      <c r="V8" s="114">
        <f>Deviation!AV18</f>
        <v>0.12872877392293727</v>
      </c>
      <c r="W8" s="117">
        <f>Deviation!AY19</f>
        <v>0.52979366888788559</v>
      </c>
      <c r="X8" s="116">
        <f t="shared" si="2"/>
        <v>0.27260085309123827</v>
      </c>
      <c r="AD8" s="73" t="s">
        <v>315</v>
      </c>
      <c r="AE8" s="75" t="str">
        <f>AI4</f>
        <v>0,0228658413136692 0,265812954475291</v>
      </c>
      <c r="AF8" s="75" t="str">
        <f>AI5</f>
        <v>0,0241536691478604 0,391989740059411</v>
      </c>
      <c r="AG8" s="75" t="str">
        <f>AI6</f>
        <v>0,367243697304597 0,339052820548161</v>
      </c>
      <c r="AH8" s="75" t="str">
        <f>AI7</f>
        <v>0,0563638454273711 0,246040115129035</v>
      </c>
      <c r="AI8" s="74" t="s">
        <v>234</v>
      </c>
      <c r="AJ8" s="75" t="str">
        <f>H8&amp;" "&amp;V8</f>
        <v>0,159789649616909 0,128728773922937</v>
      </c>
      <c r="AK8" s="122" t="str">
        <f>I8&amp;" "&amp;W8</f>
        <v>0.0372837386088816 0.529793668887886</v>
      </c>
      <c r="AL8" s="75"/>
    </row>
    <row r="9" spans="1:38" ht="47" customHeight="1" x14ac:dyDescent="0.5">
      <c r="B9" s="73" t="s">
        <v>302</v>
      </c>
      <c r="C9" s="114">
        <f>H4</f>
        <v>6.4477643859618142E-2</v>
      </c>
      <c r="D9" s="114">
        <f>H5</f>
        <v>7.0606248581140006E-3</v>
      </c>
      <c r="E9" s="114">
        <f>H6</f>
        <v>0.44782069230292804</v>
      </c>
      <c r="F9" s="114">
        <f>H7</f>
        <v>2.5981488017478567E-3</v>
      </c>
      <c r="G9" s="114">
        <f>H8</f>
        <v>0.159789649616909</v>
      </c>
      <c r="H9" s="74">
        <v>1</v>
      </c>
      <c r="I9" s="118">
        <f>Deviation!BD42</f>
        <v>1.5764267593410368E-2</v>
      </c>
      <c r="J9" s="116">
        <f t="shared" si="1"/>
        <v>0.24250157529038963</v>
      </c>
      <c r="K9">
        <v>4</v>
      </c>
      <c r="P9" s="73" t="s">
        <v>302</v>
      </c>
      <c r="Q9" s="114">
        <f>V4</f>
        <v>0.18352580992061573</v>
      </c>
      <c r="R9" s="114">
        <f>V5</f>
        <v>0.29516054166450578</v>
      </c>
      <c r="S9" s="114">
        <f>V6</f>
        <v>0.14738779645164904</v>
      </c>
      <c r="T9" s="114">
        <f>V7</f>
        <v>0.21277523699759593</v>
      </c>
      <c r="U9" s="114">
        <f>V8</f>
        <v>0.12872877392293727</v>
      </c>
      <c r="V9" s="74">
        <v>0</v>
      </c>
      <c r="W9" s="117">
        <f>Deviation!BE42</f>
        <v>0.31479863620314535</v>
      </c>
      <c r="X9" s="116">
        <f t="shared" si="2"/>
        <v>0.18314183087330557</v>
      </c>
      <c r="AD9" s="73" t="s">
        <v>302</v>
      </c>
      <c r="AE9" s="75" t="str">
        <f>AJ4</f>
        <v>0,0644776438596181 0,183525809920616</v>
      </c>
      <c r="AF9" s="75" t="str">
        <f>AJ5</f>
        <v>0,007060624858114 0,295160541664506</v>
      </c>
      <c r="AG9" s="75" t="str">
        <f>AJ6</f>
        <v>0,447820692302928 0,147387796451649</v>
      </c>
      <c r="AH9" s="75" t="str">
        <f>AJ7</f>
        <v>0,00259814880174786 0,212775236997596</v>
      </c>
      <c r="AI9" s="75" t="str">
        <f>AJ8</f>
        <v>0,159789649616909 0,128728773922937</v>
      </c>
      <c r="AJ9" s="74" t="s">
        <v>234</v>
      </c>
      <c r="AK9" s="122" t="str">
        <f>I9&amp;" "&amp;W9</f>
        <v>0,0157642675934104 0,314798636203145</v>
      </c>
    </row>
    <row r="10" spans="1:38" ht="58.05" customHeight="1" x14ac:dyDescent="0.5">
      <c r="B10" s="73" t="s">
        <v>316</v>
      </c>
      <c r="C10" s="119">
        <f>I4</f>
        <v>0.51384860966671198</v>
      </c>
      <c r="D10" s="120">
        <f>I5</f>
        <v>0.66660347679103571</v>
      </c>
      <c r="E10" s="120">
        <f>I6</f>
        <v>5.8958088630726871E-4</v>
      </c>
      <c r="F10" s="120">
        <f>I7</f>
        <v>0.35258605055753744</v>
      </c>
      <c r="G10" s="120">
        <f>I8</f>
        <v>3.7283738608881581E-2</v>
      </c>
      <c r="H10" s="120">
        <f>I9</f>
        <v>1.5764267593410368E-2</v>
      </c>
      <c r="I10" s="106">
        <v>1</v>
      </c>
      <c r="J10" s="116">
        <f t="shared" si="1"/>
        <v>0.36952510344341205</v>
      </c>
      <c r="K10">
        <v>6</v>
      </c>
      <c r="P10" s="73" t="s">
        <v>316</v>
      </c>
      <c r="Q10" s="119">
        <f>W4</f>
        <v>0.29702566918511114</v>
      </c>
      <c r="R10" s="120">
        <f>W5</f>
        <v>0.21051209850050634</v>
      </c>
      <c r="S10" s="120">
        <f>W6</f>
        <v>0.23012778721880359</v>
      </c>
      <c r="T10" s="120">
        <f>W7</f>
        <v>0.12926567762411587</v>
      </c>
      <c r="U10" s="120">
        <f>W8</f>
        <v>0.52979366888788559</v>
      </c>
      <c r="V10" s="120">
        <f>W9</f>
        <v>0.31479863620314535</v>
      </c>
      <c r="W10" s="106">
        <v>0</v>
      </c>
      <c r="X10" s="116">
        <f t="shared" si="2"/>
        <v>0.23574964473907611</v>
      </c>
      <c r="AD10" s="73" t="s">
        <v>316</v>
      </c>
      <c r="AE10" s="104" t="str">
        <f>AK4</f>
        <v>0,513848609666712 0,297025669185111</v>
      </c>
      <c r="AF10" s="105" t="str">
        <f>AK5</f>
        <v>0,666603476791036 0,210512098500506</v>
      </c>
      <c r="AG10" s="105" t="str">
        <f>AK6</f>
        <v>0,000589580886307269 0,230127787218804</v>
      </c>
      <c r="AH10" s="105" t="str">
        <f>AK7</f>
        <v>0,352586050557537 0,129265677624116</v>
      </c>
      <c r="AI10" s="105" t="str">
        <f>AK8</f>
        <v>0.0372837386088816 0.529793668887886</v>
      </c>
      <c r="AJ10" s="105" t="str">
        <f>AK9</f>
        <v>0,0157642675934104 0,314798636203145</v>
      </c>
      <c r="AK10" s="106" t="s">
        <v>234</v>
      </c>
    </row>
    <row r="12" spans="1:38" x14ac:dyDescent="0.5">
      <c r="B12" s="79" t="s">
        <v>237</v>
      </c>
      <c r="C12" s="116">
        <f t="shared" ref="C12:I12" si="3">AVERAGE(C4:C10)</f>
        <v>0.37821407493079801</v>
      </c>
      <c r="D12" s="116">
        <f t="shared" si="3"/>
        <v>0.45780337533622895</v>
      </c>
      <c r="E12" s="116">
        <f t="shared" si="3"/>
        <v>0.26069352530441275</v>
      </c>
      <c r="F12" s="116">
        <f t="shared" si="3"/>
        <v>0.38029476080668578</v>
      </c>
      <c r="G12" s="116">
        <f t="shared" si="3"/>
        <v>0.23824292020275553</v>
      </c>
      <c r="H12" s="116">
        <f t="shared" si="3"/>
        <v>0.24250157529038963</v>
      </c>
      <c r="I12" s="116">
        <f t="shared" si="3"/>
        <v>0.36952510344341205</v>
      </c>
      <c r="P12" s="79" t="s">
        <v>237</v>
      </c>
      <c r="Q12" s="116">
        <f>X4</f>
        <v>0.35858560865350708</v>
      </c>
      <c r="R12" s="116">
        <f>X5</f>
        <v>0.23122637985172942</v>
      </c>
      <c r="S12" s="116">
        <f>X6</f>
        <v>0.20346937370049964</v>
      </c>
      <c r="T12" s="116">
        <f>X7</f>
        <v>0.15244799447885646</v>
      </c>
      <c r="U12" s="116">
        <f>X8</f>
        <v>0.27260085309123827</v>
      </c>
      <c r="V12" s="116">
        <f>X9</f>
        <v>0.18314183087330557</v>
      </c>
      <c r="W12" s="116">
        <f>X10</f>
        <v>0.23574964473907611</v>
      </c>
    </row>
    <row r="14" spans="1:38" x14ac:dyDescent="0.5">
      <c r="B14" s="79" t="s">
        <v>284</v>
      </c>
      <c r="C14" s="116">
        <f>AVERAGE(C12:I12)</f>
        <v>0.33246790504495471</v>
      </c>
      <c r="P14" s="79" t="s">
        <v>284</v>
      </c>
      <c r="Q14" s="116">
        <f>AVERAGE(Q12:W12)</f>
        <v>0.23388881219831606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FBCAB-C38F-1A4A-97BD-8AE7B86F6912}">
  <sheetPr filterMode="1"/>
  <dimension ref="A1:J62"/>
  <sheetViews>
    <sheetView tabSelected="1" topLeftCell="J4" zoomScale="75" workbookViewId="0">
      <selection activeCell="AR63" sqref="AR63"/>
    </sheetView>
  </sheetViews>
  <sheetFormatPr baseColWidth="10" defaultRowHeight="15.75" x14ac:dyDescent="0.5"/>
  <cols>
    <col min="1" max="1" width="33.6875" customWidth="1"/>
    <col min="2" max="2" width="35.3125" customWidth="1"/>
    <col min="3" max="3" width="38.8125" customWidth="1"/>
    <col min="4" max="5" width="30.5" customWidth="1"/>
    <col min="6" max="6" width="34.6875" customWidth="1"/>
    <col min="7" max="7" width="19.6875" customWidth="1"/>
    <col min="8" max="8" width="28.8125" customWidth="1"/>
    <col min="9" max="9" width="25.6875" customWidth="1"/>
    <col min="10" max="10" width="42.5" customWidth="1"/>
  </cols>
  <sheetData>
    <row r="1" spans="1:10" ht="102" customHeight="1" thickBot="1" x14ac:dyDescent="0.55000000000000004">
      <c r="A1" s="150" t="s">
        <v>154</v>
      </c>
      <c r="B1" s="148" t="s">
        <v>300</v>
      </c>
      <c r="C1" s="148" t="s">
        <v>298</v>
      </c>
      <c r="D1" s="148" t="s">
        <v>304</v>
      </c>
      <c r="E1" s="148" t="s">
        <v>331</v>
      </c>
      <c r="F1" s="148" t="s">
        <v>299</v>
      </c>
      <c r="G1" s="149" t="s">
        <v>301</v>
      </c>
      <c r="H1" s="148" t="s">
        <v>302</v>
      </c>
      <c r="I1" s="148" t="s">
        <v>303</v>
      </c>
      <c r="J1" s="148" t="s">
        <v>325</v>
      </c>
    </row>
    <row r="2" spans="1:10" ht="16.149999999999999" hidden="1" thickBot="1" x14ac:dyDescent="0.55000000000000004">
      <c r="A2" s="151"/>
      <c r="B2" s="149"/>
      <c r="C2" s="149"/>
      <c r="D2" s="149"/>
      <c r="E2" s="154"/>
      <c r="F2" s="149"/>
      <c r="G2" s="149"/>
      <c r="H2" s="149"/>
      <c r="I2" s="149"/>
      <c r="J2" s="149"/>
    </row>
    <row r="3" spans="1:10" x14ac:dyDescent="0.5">
      <c r="A3" s="143" t="s">
        <v>77</v>
      </c>
      <c r="B3" s="123">
        <v>1.7824956503039901E-2</v>
      </c>
      <c r="C3" s="123">
        <v>1.7780441971421951E-2</v>
      </c>
      <c r="D3" s="123">
        <v>1.3785310734463277E-2</v>
      </c>
      <c r="E3" s="123">
        <f>AVERAGE(B3:D3)</f>
        <v>1.6463569736308376E-2</v>
      </c>
      <c r="F3" s="123">
        <v>2.0470158997449694E-2</v>
      </c>
      <c r="G3" s="123"/>
      <c r="H3" s="123">
        <v>1.6927057579567518E-2</v>
      </c>
      <c r="I3" s="123">
        <v>1.9006479481641469E-2</v>
      </c>
      <c r="J3" s="111" t="s">
        <v>327</v>
      </c>
    </row>
    <row r="4" spans="1:10" x14ac:dyDescent="0.5">
      <c r="A4" s="68" t="s">
        <v>117</v>
      </c>
      <c r="B4" s="123">
        <v>1.514441951440002E-2</v>
      </c>
      <c r="C4" s="123">
        <v>2.0367620948433311E-2</v>
      </c>
      <c r="D4" s="123">
        <v>1.7184466019417477E-2</v>
      </c>
      <c r="E4" s="123">
        <f>AVERAGE(B4:D4)</f>
        <v>1.7565502160750267E-2</v>
      </c>
      <c r="F4" s="123"/>
      <c r="G4" s="123"/>
      <c r="H4" s="123">
        <v>1.4399446119038739E-2</v>
      </c>
      <c r="I4" s="123">
        <v>1.7742375727119331E-2</v>
      </c>
      <c r="J4" s="111" t="s">
        <v>327</v>
      </c>
    </row>
    <row r="5" spans="1:10" x14ac:dyDescent="0.5">
      <c r="A5" s="68" t="s">
        <v>95</v>
      </c>
      <c r="B5" s="123">
        <v>1.5166712466794907E-2</v>
      </c>
      <c r="C5" s="123">
        <v>2.079073674106071E-2</v>
      </c>
      <c r="D5" s="123">
        <v>1.6944444444444443E-2</v>
      </c>
      <c r="E5" s="123">
        <f>AVERAGE(B5:D5)</f>
        <v>1.7633964550766688E-2</v>
      </c>
      <c r="F5" s="123">
        <v>1.94016558675306E-2</v>
      </c>
      <c r="G5" s="123"/>
      <c r="H5" s="123">
        <v>1.654243077155056E-2</v>
      </c>
      <c r="I5" s="123">
        <v>1.84931822011879E-2</v>
      </c>
      <c r="J5" s="111" t="s">
        <v>327</v>
      </c>
    </row>
    <row r="6" spans="1:10" x14ac:dyDescent="0.5">
      <c r="A6" s="68" t="s">
        <v>119</v>
      </c>
      <c r="B6" s="123">
        <v>1.3905139814485087E-2</v>
      </c>
      <c r="C6" s="123">
        <v>2.1683263732733694E-2</v>
      </c>
      <c r="D6" s="123">
        <v>1.7575757575757574E-2</v>
      </c>
      <c r="E6" s="123">
        <f>AVERAGE(B6:D6)</f>
        <v>1.7721387040992118E-2</v>
      </c>
      <c r="F6" s="123"/>
      <c r="G6" s="123"/>
      <c r="H6" s="123">
        <v>1.5173537318064468E-2</v>
      </c>
      <c r="I6" s="123">
        <v>1.8194732838307477E-2</v>
      </c>
      <c r="J6" s="111" t="s">
        <v>327</v>
      </c>
    </row>
    <row r="7" spans="1:10" x14ac:dyDescent="0.5">
      <c r="A7" s="68" t="s">
        <v>118</v>
      </c>
      <c r="B7" s="123">
        <v>1.7757516552697274E-2</v>
      </c>
      <c r="C7" s="123">
        <v>2.0134013016575303E-2</v>
      </c>
      <c r="D7" s="123">
        <v>1.6108108108108109E-2</v>
      </c>
      <c r="E7" s="123">
        <f>AVERAGE(B7:D7)</f>
        <v>1.7999879225793564E-2</v>
      </c>
      <c r="F7" s="123">
        <v>2.1769100060915009E-2</v>
      </c>
      <c r="G7" s="123"/>
      <c r="H7" s="123">
        <v>1.962226134258228E-2</v>
      </c>
      <c r="I7" s="123">
        <v>2.023519258185745E-2</v>
      </c>
      <c r="J7" s="111" t="s">
        <v>327</v>
      </c>
    </row>
    <row r="8" spans="1:10" x14ac:dyDescent="0.5">
      <c r="A8" s="68" t="s">
        <v>157</v>
      </c>
      <c r="B8" s="123">
        <v>1.5381437835141541E-2</v>
      </c>
      <c r="C8" s="123">
        <v>2.127985068918567E-2</v>
      </c>
      <c r="D8" s="123">
        <v>1.7469135802469136E-2</v>
      </c>
      <c r="E8" s="123">
        <f>AVERAGE(B8:D8)</f>
        <v>1.804347477559878E-2</v>
      </c>
      <c r="F8" s="123">
        <v>2.0479472312736804E-2</v>
      </c>
      <c r="G8" s="123"/>
      <c r="H8" s="123">
        <v>1.7096347711813648E-2</v>
      </c>
      <c r="I8" s="123">
        <v>1.8466149558172211E-2</v>
      </c>
      <c r="J8" s="111" t="s">
        <v>327</v>
      </c>
    </row>
    <row r="9" spans="1:10" x14ac:dyDescent="0.5">
      <c r="A9" s="68" t="s">
        <v>128</v>
      </c>
      <c r="B9" s="123">
        <v>1.4973628691983123E-2</v>
      </c>
      <c r="C9" s="123">
        <v>2.1225701943844488E-2</v>
      </c>
      <c r="D9" s="123">
        <v>1.8266666666666667E-2</v>
      </c>
      <c r="E9" s="123">
        <f>AVERAGE(B9:D9)</f>
        <v>1.8155332434164759E-2</v>
      </c>
      <c r="F9" s="123"/>
      <c r="G9" s="123"/>
      <c r="H9" s="123">
        <v>1.4454743795292326E-2</v>
      </c>
      <c r="I9" s="123">
        <v>1.9E-2</v>
      </c>
      <c r="J9" s="111" t="s">
        <v>327</v>
      </c>
    </row>
    <row r="10" spans="1:10" x14ac:dyDescent="0.5">
      <c r="A10" s="68" t="s">
        <v>4</v>
      </c>
      <c r="B10" s="123">
        <v>2.6780615158684833E-2</v>
      </c>
      <c r="C10" s="123">
        <v>1.313676835498466E-2</v>
      </c>
      <c r="D10" s="138"/>
      <c r="E10" s="123">
        <f>AVERAGE(B10:D10)</f>
        <v>1.9958691756834748E-2</v>
      </c>
      <c r="F10" s="123"/>
      <c r="G10" s="123"/>
      <c r="H10" s="123"/>
      <c r="I10" s="123">
        <v>2.9805615550755941E-2</v>
      </c>
      <c r="J10" s="111" t="s">
        <v>326</v>
      </c>
    </row>
    <row r="11" spans="1:10" x14ac:dyDescent="0.5">
      <c r="A11" s="68" t="s">
        <v>32</v>
      </c>
      <c r="B11" s="123">
        <v>1.7078213511287424E-2</v>
      </c>
      <c r="C11" s="123">
        <v>2.9719057935565032E-2</v>
      </c>
      <c r="D11" s="123">
        <v>1.3414634146341465E-2</v>
      </c>
      <c r="E11" s="123">
        <f>AVERAGE(B11:D11)</f>
        <v>2.0070635197731307E-2</v>
      </c>
      <c r="F11" s="123"/>
      <c r="G11" s="123">
        <v>5.6789224608664E-3</v>
      </c>
      <c r="H11" s="123"/>
      <c r="I11" s="123">
        <v>2.231707317073171E-2</v>
      </c>
      <c r="J11" s="111" t="s">
        <v>326</v>
      </c>
    </row>
    <row r="12" spans="1:10" x14ac:dyDescent="0.5">
      <c r="A12" s="68" t="s">
        <v>35</v>
      </c>
      <c r="B12" s="123">
        <v>1.743908265647396E-2</v>
      </c>
      <c r="C12" s="123">
        <v>2.8071557155715562E-2</v>
      </c>
      <c r="D12" s="123">
        <v>1.8173076923076924E-2</v>
      </c>
      <c r="E12" s="123">
        <f>AVERAGE(B12:D12)</f>
        <v>2.1227905578422149E-2</v>
      </c>
      <c r="F12" s="123"/>
      <c r="G12" s="123"/>
      <c r="H12" s="123">
        <v>1.7362786693673686E-2</v>
      </c>
      <c r="I12" s="123">
        <v>2.6600000000000002E-2</v>
      </c>
      <c r="J12" s="111" t="s">
        <v>327</v>
      </c>
    </row>
    <row r="13" spans="1:10" x14ac:dyDescent="0.5">
      <c r="A13" s="68" t="s">
        <v>17</v>
      </c>
      <c r="B13" s="123">
        <v>1.8508486818345972E-2</v>
      </c>
      <c r="C13" s="123">
        <v>2.6367849257874824E-2</v>
      </c>
      <c r="D13" s="123">
        <v>2.0192307692307693E-2</v>
      </c>
      <c r="E13" s="123">
        <f>AVERAGE(B13:D13)</f>
        <v>2.168954792284283E-2</v>
      </c>
      <c r="F13" s="123">
        <v>2.5626981004218858E-2</v>
      </c>
      <c r="G13" s="123"/>
      <c r="H13" s="123">
        <v>1.8428636458143025E-2</v>
      </c>
      <c r="I13" s="123">
        <v>2.3257575757575755E-2</v>
      </c>
      <c r="J13" s="111" t="s">
        <v>327</v>
      </c>
    </row>
    <row r="14" spans="1:10" x14ac:dyDescent="0.5">
      <c r="A14" s="68" t="s">
        <v>109</v>
      </c>
      <c r="B14" s="123">
        <v>1.8014143284121684E-2</v>
      </c>
      <c r="C14" s="123">
        <v>2.4786426564698302E-2</v>
      </c>
      <c r="D14" s="123">
        <v>2.2285714285714284E-2</v>
      </c>
      <c r="E14" s="123">
        <f>AVERAGE(B14:D14)</f>
        <v>2.1695428044844756E-2</v>
      </c>
      <c r="F14" s="123">
        <v>1.8797049738978052E-2</v>
      </c>
      <c r="G14" s="123"/>
      <c r="H14" s="123">
        <v>2.4326911959472754E-2</v>
      </c>
      <c r="I14" s="123">
        <v>2.4487041036717064E-2</v>
      </c>
      <c r="J14" s="111" t="s">
        <v>328</v>
      </c>
    </row>
    <row r="15" spans="1:10" x14ac:dyDescent="0.5">
      <c r="A15" s="68" t="s">
        <v>60</v>
      </c>
      <c r="B15" s="123">
        <v>2.0947588654360551E-2</v>
      </c>
      <c r="C15" s="123">
        <v>2.4164068982530103E-2</v>
      </c>
      <c r="D15" s="123">
        <v>2.0295081967213115E-2</v>
      </c>
      <c r="E15" s="123">
        <f>AVERAGE(B15:D15)</f>
        <v>2.1802246534701253E-2</v>
      </c>
      <c r="F15" s="123">
        <v>2.5031396470139716E-2</v>
      </c>
      <c r="G15" s="123"/>
      <c r="H15" s="123">
        <v>2.6621315134700074E-2</v>
      </c>
      <c r="I15" s="123">
        <v>2.3122923588039867E-2</v>
      </c>
      <c r="J15" s="111" t="s">
        <v>328</v>
      </c>
    </row>
    <row r="16" spans="1:10" x14ac:dyDescent="0.5">
      <c r="A16" s="68" t="s">
        <v>120</v>
      </c>
      <c r="B16" s="123">
        <v>1.8335862417804754E-2</v>
      </c>
      <c r="C16" s="123">
        <v>2.6618581487205903E-2</v>
      </c>
      <c r="D16" s="123">
        <v>2.0933333333333335E-2</v>
      </c>
      <c r="E16" s="123">
        <f>AVERAGE(B16:D16)</f>
        <v>2.1962592412781329E-2</v>
      </c>
      <c r="F16" s="123">
        <v>2.1738279237506441E-2</v>
      </c>
      <c r="G16" s="123">
        <v>1.9310691354613139E-2</v>
      </c>
      <c r="H16" s="123">
        <v>1.9808164212606581E-2</v>
      </c>
      <c r="I16" s="123">
        <v>2.11365784332311E-2</v>
      </c>
      <c r="J16" s="111" t="s">
        <v>327</v>
      </c>
    </row>
    <row r="17" spans="1:10" x14ac:dyDescent="0.5">
      <c r="A17" s="68" t="s">
        <v>44</v>
      </c>
      <c r="B17" s="123">
        <v>1.8964467005076143E-2</v>
      </c>
      <c r="C17" s="123">
        <v>4.4195804195804191E-2</v>
      </c>
      <c r="D17" s="123">
        <v>3.4000000000000002E-3</v>
      </c>
      <c r="E17" s="123">
        <f>AVERAGE(B17:D17)</f>
        <v>2.2186757066960109E-2</v>
      </c>
      <c r="F17" s="123"/>
      <c r="G17" s="123">
        <v>1.1818181818181821E-2</v>
      </c>
      <c r="H17" s="123"/>
      <c r="I17" s="123"/>
      <c r="J17" s="111" t="s">
        <v>326</v>
      </c>
    </row>
    <row r="18" spans="1:10" x14ac:dyDescent="0.5">
      <c r="A18" s="68" t="s">
        <v>121</v>
      </c>
      <c r="B18" s="123">
        <v>1.7155601303825697E-2</v>
      </c>
      <c r="C18" s="123">
        <v>2.7400793011185975E-2</v>
      </c>
      <c r="D18" s="123">
        <v>2.2388059701492536E-2</v>
      </c>
      <c r="E18" s="123">
        <f>AVERAGE(B18:D18)</f>
        <v>2.2314818005501402E-2</v>
      </c>
      <c r="F18" s="123">
        <v>2.1596015602333905E-2</v>
      </c>
      <c r="G18" s="123"/>
      <c r="H18" s="123">
        <v>2.0842312585967006E-2</v>
      </c>
      <c r="I18" s="123">
        <v>2.3912834987313801E-2</v>
      </c>
      <c r="J18" s="111" t="s">
        <v>327</v>
      </c>
    </row>
    <row r="19" spans="1:10" x14ac:dyDescent="0.5">
      <c r="A19" s="68" t="s">
        <v>53</v>
      </c>
      <c r="B19" s="123">
        <v>1.822785285520246E-2</v>
      </c>
      <c r="C19" s="123">
        <v>2.5762319581407563E-2</v>
      </c>
      <c r="D19" s="123">
        <v>2.296551724137931E-2</v>
      </c>
      <c r="E19" s="123">
        <f>AVERAGE(B19:D19)</f>
        <v>2.2318563225996443E-2</v>
      </c>
      <c r="F19" s="123">
        <v>2.0555472726885477E-2</v>
      </c>
      <c r="G19" s="123"/>
      <c r="H19" s="123">
        <v>2.3010585738148896E-2</v>
      </c>
      <c r="I19" s="123">
        <v>2.4673599331252519E-2</v>
      </c>
      <c r="J19" s="111" t="s">
        <v>328</v>
      </c>
    </row>
    <row r="20" spans="1:10" x14ac:dyDescent="0.5">
      <c r="A20" s="68" t="s">
        <v>79</v>
      </c>
      <c r="B20" s="123">
        <v>1.8957909029192123E-2</v>
      </c>
      <c r="C20" s="123">
        <v>2.7139999999999991E-2</v>
      </c>
      <c r="D20" s="123">
        <v>2.1187500000000001E-2</v>
      </c>
      <c r="E20" s="123">
        <f>AVERAGE(B20:D20)</f>
        <v>2.2428469676397372E-2</v>
      </c>
      <c r="F20" s="123">
        <v>2.1632000000000002E-2</v>
      </c>
      <c r="G20" s="123">
        <v>2.4284424358767077E-2</v>
      </c>
      <c r="H20" s="123">
        <v>1.9335959540771976E-2</v>
      </c>
      <c r="I20" s="123">
        <v>1.9546436285097193E-2</v>
      </c>
      <c r="J20" s="111" t="s">
        <v>327</v>
      </c>
    </row>
    <row r="21" spans="1:10" x14ac:dyDescent="0.5">
      <c r="A21" s="68" t="s">
        <v>115</v>
      </c>
      <c r="B21" s="123">
        <v>1.502087832973362E-2</v>
      </c>
      <c r="C21" s="123">
        <v>2.8917950710000428E-2</v>
      </c>
      <c r="D21" s="123">
        <v>2.5266666666666666E-2</v>
      </c>
      <c r="E21" s="123">
        <f>AVERAGE(B21:D21)</f>
        <v>2.3068498568800239E-2</v>
      </c>
      <c r="F21" s="123">
        <v>2.1721610773015668E-2</v>
      </c>
      <c r="G21" s="123">
        <v>2.0504068530704626E-2</v>
      </c>
      <c r="H21" s="123">
        <v>2.6331405352900066E-2</v>
      </c>
      <c r="I21" s="123">
        <v>2.98E-2</v>
      </c>
      <c r="J21" s="111" t="s">
        <v>328</v>
      </c>
    </row>
    <row r="22" spans="1:10" x14ac:dyDescent="0.5">
      <c r="A22" s="68" t="s">
        <v>19</v>
      </c>
      <c r="B22" s="123">
        <v>1.9107564347532878E-2</v>
      </c>
      <c r="C22" s="123">
        <v>3.4227939575987125E-2</v>
      </c>
      <c r="D22" s="123">
        <v>1.6451612903225808E-2</v>
      </c>
      <c r="E22" s="123">
        <f>AVERAGE(B22:D22)</f>
        <v>2.3262372275581936E-2</v>
      </c>
      <c r="F22" s="123">
        <v>2.7900396151669497E-2</v>
      </c>
      <c r="G22" s="123"/>
      <c r="H22" s="123">
        <v>1.3082963201166111E-2</v>
      </c>
      <c r="I22" s="123">
        <v>2.6515103919099139E-2</v>
      </c>
      <c r="J22" s="111" t="s">
        <v>327</v>
      </c>
    </row>
    <row r="23" spans="1:10" x14ac:dyDescent="0.5">
      <c r="A23" s="68" t="s">
        <v>54</v>
      </c>
      <c r="B23" s="123">
        <v>1.9124641592174061E-2</v>
      </c>
      <c r="C23" s="123">
        <v>2.7141855698876925E-2</v>
      </c>
      <c r="D23" s="123">
        <v>2.4297520661157024E-2</v>
      </c>
      <c r="E23" s="123">
        <f>AVERAGE(B23:D23)</f>
        <v>2.3521339317402672E-2</v>
      </c>
      <c r="F23" s="123">
        <v>2.2908286044854953E-2</v>
      </c>
      <c r="G23" s="123"/>
      <c r="H23" s="123">
        <v>2.435066770491438E-2</v>
      </c>
      <c r="I23" s="123">
        <v>2.1451372125524074E-2</v>
      </c>
      <c r="J23" s="111" t="s">
        <v>328</v>
      </c>
    </row>
    <row r="24" spans="1:10" x14ac:dyDescent="0.5">
      <c r="A24" s="68" t="s">
        <v>0</v>
      </c>
      <c r="B24" s="123">
        <v>1.8771550362775787E-2</v>
      </c>
      <c r="C24" s="123">
        <v>2.9373302394186319E-2</v>
      </c>
      <c r="D24" s="123">
        <v>2.3409961685823755E-2</v>
      </c>
      <c r="E24" s="123">
        <f>AVERAGE(B24:D24)</f>
        <v>2.3851604814261951E-2</v>
      </c>
      <c r="F24" s="123">
        <v>2.4249042145593872E-2</v>
      </c>
      <c r="G24" s="123">
        <v>2.1776550110563196E-2</v>
      </c>
      <c r="H24" s="123">
        <v>2.550425584500297E-2</v>
      </c>
      <c r="I24" s="123">
        <v>2.0500359971202305E-2</v>
      </c>
      <c r="J24" s="111" t="s">
        <v>328</v>
      </c>
    </row>
    <row r="25" spans="1:10" x14ac:dyDescent="0.5">
      <c r="A25" s="68" t="s">
        <v>61</v>
      </c>
      <c r="B25" s="123">
        <v>2.0865347769781356E-2</v>
      </c>
      <c r="C25" s="123">
        <v>2.7980430864303487E-2</v>
      </c>
      <c r="D25" s="123">
        <v>2.3704918032786886E-2</v>
      </c>
      <c r="E25" s="123">
        <f>AVERAGE(B25:D25)</f>
        <v>2.4183565555623912E-2</v>
      </c>
      <c r="F25" s="123">
        <v>2.490612393785941E-2</v>
      </c>
      <c r="G25" s="123"/>
      <c r="H25" s="123">
        <v>2.7022516690302818E-2</v>
      </c>
      <c r="I25" s="123">
        <v>2.2393442622950819E-2</v>
      </c>
      <c r="J25" s="111" t="s">
        <v>328</v>
      </c>
    </row>
    <row r="26" spans="1:10" x14ac:dyDescent="0.5">
      <c r="A26" s="68" t="s">
        <v>81</v>
      </c>
      <c r="B26" s="123">
        <v>2.0794985497545739E-2</v>
      </c>
      <c r="C26" s="123">
        <v>2.9463719898605838E-2</v>
      </c>
      <c r="D26" s="123">
        <v>2.328125E-2</v>
      </c>
      <c r="E26" s="123">
        <f>AVERAGE(B26:D26)</f>
        <v>2.4513318465383859E-2</v>
      </c>
      <c r="F26" s="123">
        <v>2.4817411280101391E-2</v>
      </c>
      <c r="G26" s="123">
        <v>3.0355530448458845E-2</v>
      </c>
      <c r="H26" s="123">
        <v>2.1102979634677506E-2</v>
      </c>
      <c r="I26" s="123">
        <v>2.2408207343412527E-2</v>
      </c>
      <c r="J26" s="111" t="s">
        <v>327</v>
      </c>
    </row>
    <row r="27" spans="1:10" x14ac:dyDescent="0.5">
      <c r="A27" s="68" t="s">
        <v>102</v>
      </c>
      <c r="B27" s="123">
        <v>2.0415385034161744E-2</v>
      </c>
      <c r="C27" s="123">
        <v>3.1762164909160215E-2</v>
      </c>
      <c r="D27" s="123">
        <v>2.1911764705882353E-2</v>
      </c>
      <c r="E27" s="123">
        <f>AVERAGE(B27:D27)</f>
        <v>2.469643821640144E-2</v>
      </c>
      <c r="F27" s="123">
        <v>2.7779189429551519E-2</v>
      </c>
      <c r="G27" s="123">
        <v>1.076470588235294E-2</v>
      </c>
      <c r="H27" s="123"/>
      <c r="I27" s="123">
        <v>1.9722222222222221E-2</v>
      </c>
      <c r="J27" s="111" t="s">
        <v>326</v>
      </c>
    </row>
    <row r="28" spans="1:10" x14ac:dyDescent="0.5">
      <c r="A28" s="68" t="s">
        <v>39</v>
      </c>
      <c r="B28" s="123">
        <v>2.0345707870697873E-2</v>
      </c>
      <c r="C28" s="123">
        <v>3.4518447252955498E-2</v>
      </c>
      <c r="D28" s="123">
        <v>1.9358974358974358E-2</v>
      </c>
      <c r="E28" s="123">
        <f>AVERAGE(B28:D28)</f>
        <v>2.4741043160875911E-2</v>
      </c>
      <c r="F28" s="123"/>
      <c r="G28" s="123"/>
      <c r="H28" s="123">
        <v>1.8797915196435474E-2</v>
      </c>
      <c r="I28" s="123">
        <v>3.5230057223718962E-2</v>
      </c>
      <c r="J28" s="111" t="s">
        <v>327</v>
      </c>
    </row>
    <row r="29" spans="1:10" x14ac:dyDescent="0.5">
      <c r="A29" s="68" t="s">
        <v>91</v>
      </c>
      <c r="B29" s="123">
        <v>2.1640826873385012E-2</v>
      </c>
      <c r="C29" s="123">
        <v>2.9832869466483888E-2</v>
      </c>
      <c r="D29" s="123">
        <v>2.2777777777777779E-2</v>
      </c>
      <c r="E29" s="123">
        <f>AVERAGE(B29:D29)</f>
        <v>2.4750491372548894E-2</v>
      </c>
      <c r="F29" s="123">
        <v>2.7905398856256664E-2</v>
      </c>
      <c r="G29" s="123">
        <v>2.3527383546380294E-2</v>
      </c>
      <c r="H29" s="123">
        <v>2.1505421768622586E-2</v>
      </c>
      <c r="I29" s="123">
        <v>2.7698412698412701E-2</v>
      </c>
      <c r="J29" s="111" t="s">
        <v>327</v>
      </c>
    </row>
    <row r="30" spans="1:10" x14ac:dyDescent="0.5">
      <c r="A30" s="68" t="s">
        <v>68</v>
      </c>
      <c r="B30" s="123">
        <v>2.1864877371587231E-2</v>
      </c>
      <c r="C30" s="123">
        <v>2.9391344596158289E-2</v>
      </c>
      <c r="D30" s="123">
        <v>2.3700000000000002E-2</v>
      </c>
      <c r="E30" s="123">
        <f>AVERAGE(B30:D30)</f>
        <v>2.4985407322581841E-2</v>
      </c>
      <c r="F30" s="123">
        <v>2.4276556352696134E-2</v>
      </c>
      <c r="G30" s="123">
        <v>2.0687181572734151E-2</v>
      </c>
      <c r="H30" s="123">
        <v>2.1869181912474379E-2</v>
      </c>
      <c r="I30" s="123">
        <v>1.8574514038876888E-2</v>
      </c>
      <c r="J30" s="111" t="s">
        <v>327</v>
      </c>
    </row>
    <row r="31" spans="1:10" x14ac:dyDescent="0.5">
      <c r="A31" s="68" t="s">
        <v>48</v>
      </c>
      <c r="B31" s="123">
        <v>1.937711609657311E-2</v>
      </c>
      <c r="C31" s="123">
        <v>3.3889803443408938E-2</v>
      </c>
      <c r="D31" s="123">
        <v>2.3636363636363636E-2</v>
      </c>
      <c r="E31" s="123">
        <f>AVERAGE(B31:D31)</f>
        <v>2.563442772544856E-2</v>
      </c>
      <c r="F31" s="123">
        <v>3.0674194176674149E-2</v>
      </c>
      <c r="G31" s="123">
        <v>2.4063292725679707E-2</v>
      </c>
      <c r="H31" s="123">
        <v>2.2928504088358195E-2</v>
      </c>
      <c r="I31" s="123"/>
      <c r="J31" s="111" t="s">
        <v>327</v>
      </c>
    </row>
    <row r="32" spans="1:10" x14ac:dyDescent="0.5">
      <c r="A32" s="68" t="s">
        <v>106</v>
      </c>
      <c r="B32" s="123">
        <v>2.0569484875992528E-2</v>
      </c>
      <c r="C32" s="123">
        <v>2.9532674104790813E-2</v>
      </c>
      <c r="D32" s="123">
        <v>2.6834782608695651E-2</v>
      </c>
      <c r="E32" s="123">
        <f>AVERAGE(B32:D32)</f>
        <v>2.5645647196492996E-2</v>
      </c>
      <c r="F32" s="123">
        <v>2.5951020203359699E-2</v>
      </c>
      <c r="G32" s="123"/>
      <c r="H32" s="123">
        <v>2.9207794641665907E-2</v>
      </c>
      <c r="I32" s="123">
        <v>2.5558935135541826E-2</v>
      </c>
      <c r="J32" s="111" t="s">
        <v>328</v>
      </c>
    </row>
    <row r="33" spans="1:10" x14ac:dyDescent="0.5">
      <c r="A33" s="68" t="s">
        <v>87</v>
      </c>
      <c r="B33" s="123">
        <v>2.2312131849824477E-2</v>
      </c>
      <c r="C33" s="123">
        <v>3.1255350513440486E-2</v>
      </c>
      <c r="D33" s="123">
        <v>2.3537414965986395E-2</v>
      </c>
      <c r="E33" s="123">
        <f>AVERAGE(B33:D33)</f>
        <v>2.5701632443083784E-2</v>
      </c>
      <c r="F33" s="123">
        <v>2.6013204545169817E-2</v>
      </c>
      <c r="G33" s="123">
        <v>2.0166328754040251E-2</v>
      </c>
      <c r="H33" s="123">
        <v>2.0469488397419605E-2</v>
      </c>
      <c r="I33" s="123"/>
      <c r="J33" s="111" t="s">
        <v>327</v>
      </c>
    </row>
    <row r="34" spans="1:10" x14ac:dyDescent="0.5">
      <c r="A34" s="68" t="s">
        <v>56</v>
      </c>
      <c r="B34" s="123">
        <v>2.1158501129156581E-2</v>
      </c>
      <c r="C34" s="123">
        <v>2.9614167606309725E-2</v>
      </c>
      <c r="D34" s="123">
        <v>2.6602739726027398E-2</v>
      </c>
      <c r="E34" s="123">
        <f>AVERAGE(B34:D34)</f>
        <v>2.5791802820497905E-2</v>
      </c>
      <c r="F34" s="123">
        <v>2.6364108106420914E-2</v>
      </c>
      <c r="G34" s="123"/>
      <c r="H34" s="123">
        <v>2.7091113995536553E-2</v>
      </c>
      <c r="I34" s="123">
        <v>2.1814254859611231E-2</v>
      </c>
      <c r="J34" s="111" t="s">
        <v>328</v>
      </c>
    </row>
    <row r="35" spans="1:10" x14ac:dyDescent="0.5">
      <c r="A35" s="68" t="s">
        <v>2</v>
      </c>
      <c r="B35" s="123">
        <v>1.7717478052673583E-2</v>
      </c>
      <c r="C35" s="123">
        <v>4.0692041522491333E-2</v>
      </c>
      <c r="D35" s="123">
        <v>1.9E-2</v>
      </c>
      <c r="E35" s="123">
        <f>AVERAGE(B35:D35)</f>
        <v>2.5803173191721637E-2</v>
      </c>
      <c r="F35" s="123"/>
      <c r="G35" s="123"/>
      <c r="H35" s="123">
        <v>1.9923066893285987E-2</v>
      </c>
      <c r="I35" s="123">
        <v>2.8673469387755102E-2</v>
      </c>
      <c r="J35" s="111" t="s">
        <v>327</v>
      </c>
    </row>
    <row r="36" spans="1:10" x14ac:dyDescent="0.5">
      <c r="A36" s="68" t="s">
        <v>159</v>
      </c>
      <c r="B36" s="123">
        <v>2.1346886912325287E-2</v>
      </c>
      <c r="C36" s="123">
        <v>4.6732090284592728E-2</v>
      </c>
      <c r="D36" s="123">
        <v>1.1399999999999999E-2</v>
      </c>
      <c r="E36" s="123">
        <f>AVERAGE(B36:D36)</f>
        <v>2.6492992398972671E-2</v>
      </c>
      <c r="F36" s="123"/>
      <c r="G36" s="123"/>
      <c r="H36" s="123">
        <v>1.8964041321593437E-2</v>
      </c>
      <c r="I36" s="123">
        <v>3.7400000000000003E-2</v>
      </c>
      <c r="J36" s="111" t="s">
        <v>327</v>
      </c>
    </row>
    <row r="37" spans="1:10" x14ac:dyDescent="0.5">
      <c r="A37" s="68" t="s">
        <v>37</v>
      </c>
      <c r="B37" s="123">
        <v>1.9816118935837245E-2</v>
      </c>
      <c r="C37" s="123">
        <v>3.7942771431868014E-2</v>
      </c>
      <c r="D37" s="123">
        <v>2.2555555555555554E-2</v>
      </c>
      <c r="E37" s="123">
        <f>AVERAGE(B37:D37)</f>
        <v>2.677148197442027E-2</v>
      </c>
      <c r="F37" s="123">
        <v>2.859005422868351E-2</v>
      </c>
      <c r="G37" s="123"/>
      <c r="H37" s="123">
        <v>1.8626311532869602E-2</v>
      </c>
      <c r="I37" s="123">
        <v>3.3170583683490948E-2</v>
      </c>
      <c r="J37" s="111" t="s">
        <v>327</v>
      </c>
    </row>
    <row r="38" spans="1:10" x14ac:dyDescent="0.5">
      <c r="A38" s="68" t="s">
        <v>34</v>
      </c>
      <c r="B38" s="123">
        <v>2.6976272046694581E-2</v>
      </c>
      <c r="C38" s="123">
        <v>4.6377911388710544E-2</v>
      </c>
      <c r="D38" s="123">
        <v>7.8378378378378376E-3</v>
      </c>
      <c r="E38" s="123">
        <f>AVERAGE(B38:D38)</f>
        <v>2.7064007091080988E-2</v>
      </c>
      <c r="F38" s="123"/>
      <c r="G38" s="123">
        <v>1.6864864864864867E-2</v>
      </c>
      <c r="H38" s="123"/>
      <c r="I38" s="123"/>
      <c r="J38" s="111" t="s">
        <v>326</v>
      </c>
    </row>
    <row r="39" spans="1:10" x14ac:dyDescent="0.5">
      <c r="A39" s="68" t="s">
        <v>158</v>
      </c>
      <c r="B39" s="123">
        <v>2.4224299065420559E-2</v>
      </c>
      <c r="C39" s="123">
        <v>4.4882186616399616E-2</v>
      </c>
      <c r="D39" s="123">
        <v>1.24E-2</v>
      </c>
      <c r="E39" s="123">
        <f>AVERAGE(B39:D39)</f>
        <v>2.7168828560606723E-2</v>
      </c>
      <c r="F39" s="123"/>
      <c r="G39" s="123"/>
      <c r="H39" s="123">
        <v>1.8943503525986907E-2</v>
      </c>
      <c r="I39" s="123">
        <v>3.6000000000000004E-2</v>
      </c>
      <c r="J39" s="111" t="s">
        <v>327</v>
      </c>
    </row>
    <row r="40" spans="1:10" x14ac:dyDescent="0.5">
      <c r="A40" s="68" t="s">
        <v>116</v>
      </c>
      <c r="B40" s="123">
        <v>2.0380980712360799E-2</v>
      </c>
      <c r="C40" s="123">
        <v>3.409633350760348E-2</v>
      </c>
      <c r="D40" s="123">
        <v>3.0121951219512194E-2</v>
      </c>
      <c r="E40" s="123">
        <f>AVERAGE(B40:D40)</f>
        <v>2.8199755146492159E-2</v>
      </c>
      <c r="F40" s="123">
        <v>2.7488558785867451E-2</v>
      </c>
      <c r="G40" s="123">
        <v>2.5004961622810521E-2</v>
      </c>
      <c r="H40" s="123">
        <v>3.1136511210591595E-2</v>
      </c>
      <c r="I40" s="123">
        <v>3.1099999999999999E-2</v>
      </c>
      <c r="J40" s="111" t="s">
        <v>328</v>
      </c>
    </row>
    <row r="41" spans="1:10" x14ac:dyDescent="0.5">
      <c r="A41" s="68" t="s">
        <v>23</v>
      </c>
      <c r="B41" s="123">
        <v>2.3912191297530382E-2</v>
      </c>
      <c r="C41" s="123">
        <v>3.8811771238200996E-2</v>
      </c>
      <c r="D41" s="123">
        <v>2.2099999999999998E-2</v>
      </c>
      <c r="E41" s="123">
        <f>AVERAGE(B41:D41)</f>
        <v>2.8274654178577122E-2</v>
      </c>
      <c r="F41" s="123">
        <v>3.2252082176568581E-2</v>
      </c>
      <c r="G41" s="123"/>
      <c r="H41" s="123">
        <v>1.6655375787836733E-2</v>
      </c>
      <c r="I41" s="123">
        <v>2.8615069399156777E-2</v>
      </c>
      <c r="J41" s="111" t="s">
        <v>327</v>
      </c>
    </row>
    <row r="42" spans="1:10" x14ac:dyDescent="0.5">
      <c r="A42" s="68" t="s">
        <v>9</v>
      </c>
      <c r="B42" s="123">
        <v>2.2077597957342241E-2</v>
      </c>
      <c r="C42" s="123">
        <v>3.9020390811229357E-2</v>
      </c>
      <c r="D42" s="123">
        <v>2.4020618556701033E-2</v>
      </c>
      <c r="E42" s="123">
        <f>AVERAGE(B42:D42)</f>
        <v>2.8372869108424209E-2</v>
      </c>
      <c r="F42" s="123">
        <v>3.3925471559651602E-2</v>
      </c>
      <c r="G42" s="123">
        <v>2.219061544142191E-2</v>
      </c>
      <c r="H42" s="123">
        <v>2.3379662989747387E-2</v>
      </c>
      <c r="I42" s="123"/>
      <c r="J42" s="111" t="s">
        <v>327</v>
      </c>
    </row>
    <row r="43" spans="1:10" x14ac:dyDescent="0.5">
      <c r="A43" s="68" t="s">
        <v>25</v>
      </c>
      <c r="B43" s="123">
        <v>2.2657754616517502E-2</v>
      </c>
      <c r="C43" s="123">
        <v>4.0969131878222771E-2</v>
      </c>
      <c r="D43" s="123">
        <v>2.3461538461538461E-2</v>
      </c>
      <c r="E43" s="123">
        <f>AVERAGE(B43:D43)</f>
        <v>2.9029474985426244E-2</v>
      </c>
      <c r="F43" s="123">
        <v>3.166066256975348E-2</v>
      </c>
      <c r="G43" s="123"/>
      <c r="H43" s="123">
        <v>2.0982137857828265E-2</v>
      </c>
      <c r="I43" s="123">
        <v>3.1662780679049679E-2</v>
      </c>
      <c r="J43" s="111" t="s">
        <v>327</v>
      </c>
    </row>
    <row r="44" spans="1:10" x14ac:dyDescent="0.5">
      <c r="A44" s="68" t="s">
        <v>74</v>
      </c>
      <c r="B44" s="123">
        <v>2.2613256308908484E-2</v>
      </c>
      <c r="C44" s="123">
        <v>3.4299723455352593E-2</v>
      </c>
      <c r="D44" s="123">
        <v>3.09375E-2</v>
      </c>
      <c r="E44" s="123">
        <f>AVERAGE(B44:D44)</f>
        <v>2.9283493254753695E-2</v>
      </c>
      <c r="F44" s="123">
        <v>2.675983370933702E-2</v>
      </c>
      <c r="G44" s="123">
        <v>3.1292904344961785E-2</v>
      </c>
      <c r="H44" s="123">
        <v>3.0998428062404364E-2</v>
      </c>
      <c r="I44" s="123">
        <v>2.6700863930885527E-2</v>
      </c>
      <c r="J44" s="111" t="s">
        <v>328</v>
      </c>
    </row>
    <row r="45" spans="1:10" x14ac:dyDescent="0.5">
      <c r="A45" s="68" t="s">
        <v>98</v>
      </c>
      <c r="B45" s="123">
        <v>2.2289987206081458E-2</v>
      </c>
      <c r="C45" s="123">
        <v>4.0145071456327446E-2</v>
      </c>
      <c r="D45" s="123">
        <v>2.5754716981132075E-2</v>
      </c>
      <c r="E45" s="123">
        <f>AVERAGE(B45:D45)</f>
        <v>2.9396591881180326E-2</v>
      </c>
      <c r="F45" s="123">
        <v>3.1029748283752861E-2</v>
      </c>
      <c r="G45" s="123"/>
      <c r="H45" s="123">
        <v>1.277511049732645E-2</v>
      </c>
      <c r="I45" s="123"/>
      <c r="J45" s="111" t="s">
        <v>327</v>
      </c>
    </row>
    <row r="46" spans="1:10" x14ac:dyDescent="0.5">
      <c r="A46" s="68" t="s">
        <v>11</v>
      </c>
      <c r="B46" s="123">
        <v>2.8077753779697626E-2</v>
      </c>
      <c r="C46" s="123">
        <v>3.9795338260375221E-2</v>
      </c>
      <c r="D46" s="123">
        <v>2.2200000000000001E-2</v>
      </c>
      <c r="E46" s="123">
        <f>AVERAGE(B46:D46)</f>
        <v>3.0024364013357615E-2</v>
      </c>
      <c r="F46" s="123">
        <v>3.6604889141557705E-2</v>
      </c>
      <c r="G46" s="123"/>
      <c r="H46" s="123">
        <v>1.9206750491913904E-2</v>
      </c>
      <c r="I46" s="123">
        <v>3.1229503662361938E-2</v>
      </c>
      <c r="J46" s="111" t="s">
        <v>327</v>
      </c>
    </row>
    <row r="47" spans="1:10" x14ac:dyDescent="0.5">
      <c r="A47" s="68" t="s">
        <v>26</v>
      </c>
      <c r="B47" s="123">
        <v>2.2850469069351172E-2</v>
      </c>
      <c r="C47" s="123">
        <v>4.4396581671645924E-2</v>
      </c>
      <c r="D47" s="123">
        <v>2.662162162162162E-2</v>
      </c>
      <c r="E47" s="123">
        <f>AVERAGE(B47:D47)</f>
        <v>3.1289557454206245E-2</v>
      </c>
      <c r="F47" s="123">
        <v>3.2640867088167859E-2</v>
      </c>
      <c r="G47" s="123"/>
      <c r="H47" s="123">
        <v>2.0893849574731151E-2</v>
      </c>
      <c r="I47" s="123">
        <v>3.3023342529235181E-2</v>
      </c>
      <c r="J47" s="111" t="s">
        <v>327</v>
      </c>
    </row>
    <row r="48" spans="1:10" x14ac:dyDescent="0.5">
      <c r="A48" s="68" t="s">
        <v>15</v>
      </c>
      <c r="B48" s="123">
        <v>2.2059439095856007E-2</v>
      </c>
      <c r="C48" s="123">
        <v>6.2073246430788369E-2</v>
      </c>
      <c r="D48" s="123">
        <v>1.4333333333333333E-2</v>
      </c>
      <c r="E48" s="123">
        <f>AVERAGE(B48:D48)</f>
        <v>3.2822006286659239E-2</v>
      </c>
      <c r="F48" s="123">
        <v>5.822594661700807E-2</v>
      </c>
      <c r="G48" s="123">
        <v>1.7770034843205582E-2</v>
      </c>
      <c r="H48" s="123"/>
      <c r="I48" s="123">
        <v>3.0912526997840167E-2</v>
      </c>
      <c r="J48" s="111" t="s">
        <v>326</v>
      </c>
    </row>
    <row r="49" spans="1:10" x14ac:dyDescent="0.5">
      <c r="A49" s="68" t="s">
        <v>104</v>
      </c>
      <c r="B49" s="123">
        <v>2.6129943502824857E-2</v>
      </c>
      <c r="C49" s="123">
        <v>4.0849673202614387E-2</v>
      </c>
      <c r="D49" s="123">
        <v>3.1875000000000001E-2</v>
      </c>
      <c r="E49" s="123">
        <f>AVERAGE(B49:D49)</f>
        <v>3.2951538901813078E-2</v>
      </c>
      <c r="F49" s="123">
        <v>3.3870829033367737E-2</v>
      </c>
      <c r="G49" s="123">
        <v>1.5885416666666669E-2</v>
      </c>
      <c r="H49" s="123"/>
      <c r="I49" s="123">
        <v>2.6249999999999999E-2</v>
      </c>
      <c r="J49" s="111" t="s">
        <v>326</v>
      </c>
    </row>
    <row r="50" spans="1:10" x14ac:dyDescent="0.5">
      <c r="A50" s="68" t="s">
        <v>84</v>
      </c>
      <c r="B50" s="123">
        <v>2.3268190542662711E-2</v>
      </c>
      <c r="C50" s="123">
        <v>4.3930021868166212E-2</v>
      </c>
      <c r="D50" s="123">
        <v>3.1909090909090908E-2</v>
      </c>
      <c r="E50" s="123">
        <f>AVERAGE(B50:D50)</f>
        <v>3.3035767773306607E-2</v>
      </c>
      <c r="F50" s="123">
        <v>3.1055295220243671E-2</v>
      </c>
      <c r="G50" s="123">
        <v>2.694954842585379E-2</v>
      </c>
      <c r="H50" s="123">
        <v>2.4385836272180196E-2</v>
      </c>
      <c r="I50" s="123"/>
      <c r="J50" s="111" t="s">
        <v>327</v>
      </c>
    </row>
    <row r="51" spans="1:10" x14ac:dyDescent="0.5">
      <c r="A51" s="68" t="s">
        <v>100</v>
      </c>
      <c r="B51" s="123">
        <v>3.5087719298245612E-2</v>
      </c>
      <c r="C51" s="123">
        <v>7.9802069275753479E-2</v>
      </c>
      <c r="D51" s="123">
        <v>2.1052631578947368E-2</v>
      </c>
      <c r="E51" s="123">
        <f>AVERAGE(B51:D51)</f>
        <v>4.5314140050982159E-2</v>
      </c>
      <c r="F51" s="123"/>
      <c r="G51" s="123"/>
      <c r="H51" s="123"/>
      <c r="I51" s="123">
        <v>5.2777732668604554E-2</v>
      </c>
      <c r="J51" s="111" t="s">
        <v>326</v>
      </c>
    </row>
    <row r="57" spans="1:10" ht="16.149999999999999" thickBot="1" x14ac:dyDescent="0.55000000000000004"/>
    <row r="58" spans="1:10" ht="16.149999999999999" thickBot="1" x14ac:dyDescent="0.55000000000000004">
      <c r="A58" s="145" t="s">
        <v>332</v>
      </c>
    </row>
    <row r="59" spans="1:10" ht="94.9" thickBot="1" x14ac:dyDescent="0.55000000000000004">
      <c r="A59" s="57" t="s">
        <v>300</v>
      </c>
      <c r="B59" s="57" t="s">
        <v>298</v>
      </c>
      <c r="C59" s="57" t="s">
        <v>304</v>
      </c>
      <c r="D59" s="57" t="s">
        <v>331</v>
      </c>
      <c r="E59" s="57" t="s">
        <v>299</v>
      </c>
      <c r="F59" s="57" t="s">
        <v>301</v>
      </c>
      <c r="G59" s="57" t="s">
        <v>302</v>
      </c>
      <c r="H59" s="57" t="s">
        <v>303</v>
      </c>
      <c r="I59" s="57" t="s">
        <v>333</v>
      </c>
      <c r="J59" s="80"/>
    </row>
    <row r="60" spans="1:10" ht="16.149999999999999" thickBot="1" x14ac:dyDescent="0.55000000000000004">
      <c r="A60" s="114">
        <f>SAR!K11</f>
        <v>1.582651051922479E-2</v>
      </c>
      <c r="B60" s="114">
        <f>'Extended Payload Diagram'!H11</f>
        <v>2.6328283482239204E-2</v>
      </c>
      <c r="C60" s="114">
        <f>'Bathtub Curve'!H11</f>
        <v>2.1600000000000001E-2</v>
      </c>
      <c r="D60" s="146">
        <f>AVERAGE(A60:C60)</f>
        <v>2.1251598000487999E-2</v>
      </c>
      <c r="G60" s="114">
        <f>'Handbook Method'!V11</f>
        <v>2.3613892691068339E-2</v>
      </c>
      <c r="I60" s="114">
        <f>'Fuel Consumption CO2 MV A330neo'!E31</f>
        <v>1.8973483151907337E-2</v>
      </c>
    </row>
    <row r="61" spans="1:10" ht="16.149999999999999" thickBot="1" x14ac:dyDescent="0.55000000000000004">
      <c r="A61" s="145" t="s">
        <v>335</v>
      </c>
    </row>
    <row r="62" spans="1:10" ht="16.149999999999999" thickBot="1" x14ac:dyDescent="0.55000000000000004">
      <c r="A62" s="171">
        <f>(A60-I60)/I60</f>
        <v>-0.16586161894929621</v>
      </c>
      <c r="B62" s="171">
        <f>(B60-I60)/I60</f>
        <v>0.38763574781958343</v>
      </c>
      <c r="C62" s="171">
        <f>(C60-I60)/I60</f>
        <v>0.13843092631247469</v>
      </c>
      <c r="D62" s="171">
        <f>(D60-I60)/I60</f>
        <v>0.1200683517275873</v>
      </c>
      <c r="E62" s="171"/>
      <c r="F62" s="171"/>
      <c r="G62" s="171">
        <f>(G60-I60)/I60</f>
        <v>0.24457341343223626</v>
      </c>
      <c r="H62" s="171"/>
      <c r="I62" s="147"/>
    </row>
  </sheetData>
  <autoFilter ref="A1:J51" xr:uid="{F41FBCAB-C38F-1A4A-97BD-8AE7B86F6912}">
    <filterColumn colId="9">
      <customFilters>
        <customFilter operator="notEqual" val=" "/>
      </customFilters>
    </filterColumn>
    <sortState xmlns:xlrd2="http://schemas.microsoft.com/office/spreadsheetml/2017/richdata2" ref="A4:J51">
      <sortCondition ref="E1:E51"/>
    </sortState>
  </autoFilter>
  <mergeCells count="10">
    <mergeCell ref="H1:H2"/>
    <mergeCell ref="I1:I2"/>
    <mergeCell ref="J1:J2"/>
    <mergeCell ref="A1:A2"/>
    <mergeCell ref="B1:B2"/>
    <mergeCell ref="C1:C2"/>
    <mergeCell ref="D1:D2"/>
    <mergeCell ref="F1:F2"/>
    <mergeCell ref="G1:G2"/>
    <mergeCell ref="E1:E2"/>
  </mergeCells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471DE-85D5-344C-8973-696D1BC7E648}">
  <dimension ref="A1:J31"/>
  <sheetViews>
    <sheetView zoomScaleNormal="100" workbookViewId="0">
      <selection activeCell="B19" sqref="B19"/>
    </sheetView>
  </sheetViews>
  <sheetFormatPr baseColWidth="10" defaultRowHeight="15.75" x14ac:dyDescent="0.5"/>
  <cols>
    <col min="1" max="1" width="23.6875" customWidth="1"/>
    <col min="2" max="2" width="20.8125" customWidth="1"/>
    <col min="3" max="3" width="20.6875" customWidth="1"/>
    <col min="4" max="4" width="17.1875" customWidth="1"/>
    <col min="5" max="5" width="24.6875" customWidth="1"/>
    <col min="6" max="6" width="15.1875" customWidth="1"/>
    <col min="7" max="7" width="25.5" customWidth="1"/>
    <col min="8" max="8" width="14.1875" customWidth="1"/>
    <col min="9" max="9" width="21.5" customWidth="1"/>
  </cols>
  <sheetData>
    <row r="1" spans="1:9" ht="16.149999999999999" thickBot="1" x14ac:dyDescent="0.55000000000000004">
      <c r="A1" s="160" t="s">
        <v>172</v>
      </c>
      <c r="B1" s="160"/>
      <c r="C1" s="160"/>
      <c r="D1" s="160"/>
      <c r="E1" s="160"/>
      <c r="F1" s="160"/>
    </row>
    <row r="2" spans="1:9" ht="16.149999999999999" thickBot="1" x14ac:dyDescent="0.55000000000000004">
      <c r="A2" s="155" t="s">
        <v>165</v>
      </c>
      <c r="B2" s="156"/>
      <c r="D2" s="69"/>
      <c r="E2" s="157" t="s">
        <v>166</v>
      </c>
      <c r="F2" s="156"/>
      <c r="I2" s="144" t="s">
        <v>330</v>
      </c>
    </row>
    <row r="3" spans="1:9" x14ac:dyDescent="0.5">
      <c r="A3" s="88" t="s">
        <v>167</v>
      </c>
      <c r="B3" s="92">
        <v>58.82</v>
      </c>
      <c r="D3" s="69"/>
      <c r="E3" s="95" t="s">
        <v>167</v>
      </c>
      <c r="F3" s="69">
        <v>63.66</v>
      </c>
      <c r="I3" t="s">
        <v>329</v>
      </c>
    </row>
    <row r="4" spans="1:9" x14ac:dyDescent="0.5">
      <c r="A4" s="88" t="s">
        <v>168</v>
      </c>
      <c r="B4" s="92">
        <v>5.64</v>
      </c>
      <c r="D4" s="69"/>
      <c r="E4" s="96" t="s">
        <v>168</v>
      </c>
      <c r="F4" s="69">
        <v>5.64</v>
      </c>
    </row>
    <row r="5" spans="1:9" x14ac:dyDescent="0.5">
      <c r="A5" s="88" t="s">
        <v>169</v>
      </c>
      <c r="B5" s="92">
        <v>257</v>
      </c>
      <c r="D5" s="69"/>
      <c r="E5" s="96" t="s">
        <v>169</v>
      </c>
      <c r="F5" s="69">
        <v>300</v>
      </c>
    </row>
    <row r="6" spans="1:9" x14ac:dyDescent="0.5">
      <c r="A6" s="88" t="s">
        <v>239</v>
      </c>
      <c r="B6" s="92">
        <f>B4/2</f>
        <v>2.82</v>
      </c>
      <c r="D6" s="69"/>
      <c r="E6" s="96" t="s">
        <v>239</v>
      </c>
      <c r="F6" s="69">
        <f>F4/2</f>
        <v>2.82</v>
      </c>
    </row>
    <row r="7" spans="1:9" x14ac:dyDescent="0.5">
      <c r="A7" s="88" t="s">
        <v>240</v>
      </c>
      <c r="B7" s="92">
        <f>B6-1</f>
        <v>1.8199999999999998</v>
      </c>
      <c r="D7" s="69"/>
      <c r="E7" s="96" t="s">
        <v>240</v>
      </c>
      <c r="F7" s="69">
        <f>F6-1</f>
        <v>1.8199999999999998</v>
      </c>
    </row>
    <row r="8" spans="1:9" ht="16.05" customHeight="1" x14ac:dyDescent="0.5">
      <c r="A8" s="88" t="s">
        <v>241</v>
      </c>
      <c r="B8" s="98">
        <f>2*(2*B6*B7-B7^2)^0.5</f>
        <v>5.2734808238961106</v>
      </c>
      <c r="D8" s="69"/>
      <c r="E8" s="96" t="s">
        <v>241</v>
      </c>
      <c r="F8" s="99">
        <f>2*(2*F6*F7-F7^2)^0.5</f>
        <v>5.2734808238961106</v>
      </c>
    </row>
    <row r="9" spans="1:9" ht="16.149999999999999" thickBot="1" x14ac:dyDescent="0.55000000000000004">
      <c r="A9" s="90" t="s">
        <v>242</v>
      </c>
      <c r="B9" s="100">
        <f>B3-4-1.6*B4</f>
        <v>45.795999999999999</v>
      </c>
      <c r="D9" s="69"/>
      <c r="E9" s="97" t="s">
        <v>242</v>
      </c>
      <c r="F9" s="101">
        <f>F3-4-1.6*F4</f>
        <v>50.635999999999996</v>
      </c>
    </row>
    <row r="10" spans="1:9" ht="16.149999999999999" thickBot="1" x14ac:dyDescent="0.55000000000000004"/>
    <row r="11" spans="1:9" ht="16.149999999999999" thickBot="1" x14ac:dyDescent="0.55000000000000004">
      <c r="A11" s="158" t="s">
        <v>243</v>
      </c>
      <c r="B11" s="158"/>
      <c r="C11" s="158"/>
      <c r="D11" s="158"/>
      <c r="E11" s="159"/>
    </row>
    <row r="12" spans="1:9" x14ac:dyDescent="0.5">
      <c r="A12" s="86"/>
      <c r="B12" s="91"/>
      <c r="C12" s="91"/>
      <c r="D12" s="91"/>
      <c r="E12" s="69"/>
    </row>
    <row r="13" spans="1:9" x14ac:dyDescent="0.5">
      <c r="A13" s="88" t="s">
        <v>170</v>
      </c>
      <c r="B13" s="92">
        <f>B3*B4</f>
        <v>331.7448</v>
      </c>
      <c r="C13" s="92">
        <f>B9*B4</f>
        <v>258.28943999999996</v>
      </c>
      <c r="D13" s="92">
        <f>B3*B8</f>
        <v>310.18614206156923</v>
      </c>
      <c r="E13" s="69">
        <f>B9*B8</f>
        <v>241.50432781114628</v>
      </c>
    </row>
    <row r="14" spans="1:9" ht="16.149999999999999" thickBot="1" x14ac:dyDescent="0.55000000000000004">
      <c r="A14" s="90" t="s">
        <v>171</v>
      </c>
      <c r="B14" s="93">
        <f>F3*F4</f>
        <v>359.04239999999999</v>
      </c>
      <c r="C14" s="93">
        <f>F9*F4</f>
        <v>285.58703999999994</v>
      </c>
      <c r="D14" s="93">
        <f>F3*F8</f>
        <v>335.70978924922639</v>
      </c>
      <c r="E14" s="85">
        <f>F9*F8</f>
        <v>267.02797499880342</v>
      </c>
    </row>
    <row r="15" spans="1:9" ht="16.149999999999999" thickBot="1" x14ac:dyDescent="0.55000000000000004"/>
    <row r="16" spans="1:9" ht="16.149999999999999" thickBot="1" x14ac:dyDescent="0.55000000000000004">
      <c r="A16" s="158" t="s">
        <v>174</v>
      </c>
      <c r="B16" s="158"/>
      <c r="C16" s="159"/>
    </row>
    <row r="17" spans="1:10" x14ac:dyDescent="0.5">
      <c r="A17" s="86"/>
      <c r="B17" s="89" t="s">
        <v>319</v>
      </c>
      <c r="C17" s="88" t="s">
        <v>173</v>
      </c>
    </row>
    <row r="18" spans="1:10" x14ac:dyDescent="0.5">
      <c r="A18" s="88" t="s">
        <v>170</v>
      </c>
      <c r="B18" s="69">
        <v>1.5169999999999999</v>
      </c>
      <c r="C18" s="69">
        <v>1.57</v>
      </c>
    </row>
    <row r="19" spans="1:10" ht="16.149999999999999" thickBot="1" x14ac:dyDescent="0.55000000000000004">
      <c r="A19" s="90" t="s">
        <v>171</v>
      </c>
      <c r="B19" s="85">
        <v>1.4890000000000001</v>
      </c>
      <c r="C19" s="85">
        <v>1.5269999999999999</v>
      </c>
    </row>
    <row r="20" spans="1:10" ht="16.149999999999999" thickBot="1" x14ac:dyDescent="0.55000000000000004"/>
    <row r="21" spans="1:10" ht="16.149999999999999" thickBot="1" x14ac:dyDescent="0.55000000000000004">
      <c r="A21" s="158" t="s">
        <v>175</v>
      </c>
      <c r="B21" s="158"/>
      <c r="C21" s="158"/>
      <c r="D21" s="158"/>
      <c r="E21" s="158"/>
      <c r="F21" s="158"/>
      <c r="G21" s="158"/>
      <c r="H21" s="158"/>
      <c r="I21" s="158"/>
      <c r="J21" s="80"/>
    </row>
    <row r="22" spans="1:10" ht="16.149999999999999" thickBot="1" x14ac:dyDescent="0.55000000000000004">
      <c r="A22" s="155" t="s">
        <v>320</v>
      </c>
      <c r="B22" s="155"/>
      <c r="C22" s="155"/>
      <c r="D22" s="155"/>
      <c r="E22" s="156"/>
      <c r="F22" s="157" t="s">
        <v>173</v>
      </c>
      <c r="G22" s="155"/>
      <c r="H22" s="155"/>
      <c r="I22" s="156"/>
    </row>
    <row r="23" spans="1:10" x14ac:dyDescent="0.5">
      <c r="E23" s="69"/>
      <c r="F23" s="87"/>
      <c r="G23" s="82"/>
      <c r="H23" s="82"/>
      <c r="I23" s="86"/>
    </row>
    <row r="24" spans="1:10" x14ac:dyDescent="0.5">
      <c r="A24" s="70" t="s">
        <v>170</v>
      </c>
      <c r="B24">
        <f>B18*B13^0.24</f>
        <v>6.1091187990377458</v>
      </c>
      <c r="C24">
        <f>B18*C13^0.24</f>
        <v>5.7529576492301091</v>
      </c>
      <c r="D24">
        <f>B18*D13^0.24</f>
        <v>6.0113906942681066</v>
      </c>
      <c r="E24" s="69">
        <f>B18*E13^0.24</f>
        <v>5.6609270853511058</v>
      </c>
      <c r="F24">
        <f>C18*B13^0.24</f>
        <v>6.3225553819968763</v>
      </c>
      <c r="G24">
        <f>C18*C13^0.24</f>
        <v>5.9539508960390721</v>
      </c>
      <c r="H24">
        <f>C18*D13^0.24</f>
        <v>6.221412913645965</v>
      </c>
      <c r="I24" s="69">
        <f>C18*E13^0.24</f>
        <v>5.8587050257094511</v>
      </c>
    </row>
    <row r="25" spans="1:10" ht="16.149999999999999" thickBot="1" x14ac:dyDescent="0.55000000000000004">
      <c r="A25" s="84" t="s">
        <v>171</v>
      </c>
      <c r="B25" s="83">
        <f>B19*B14^0.24</f>
        <v>6.1112447184063736</v>
      </c>
      <c r="C25" s="83">
        <f>B19*C14^0.24</f>
        <v>5.7845813972995517</v>
      </c>
      <c r="D25" s="83">
        <f>B19*D14^0.24</f>
        <v>6.0134826051196919</v>
      </c>
      <c r="E25" s="85">
        <f>B19*E14^0.24</f>
        <v>5.6920449455722011</v>
      </c>
      <c r="F25" s="83">
        <f>C19*B14^0.24</f>
        <v>6.2672066386880667</v>
      </c>
      <c r="G25" s="83">
        <f>C19*C14^0.24</f>
        <v>5.9322067116698545</v>
      </c>
      <c r="H25" s="83">
        <f>C19*D14^0.24</f>
        <v>6.166949588997829</v>
      </c>
      <c r="I25" s="85">
        <f>C19*E14^0.24</f>
        <v>5.8373086849487912</v>
      </c>
    </row>
    <row r="26" spans="1:10" ht="16.149999999999999" thickBot="1" x14ac:dyDescent="0.55000000000000004"/>
    <row r="27" spans="1:10" ht="16.05" customHeight="1" thickBot="1" x14ac:dyDescent="0.55000000000000004">
      <c r="A27" s="158" t="s">
        <v>306</v>
      </c>
      <c r="B27" s="158"/>
      <c r="C27" s="158"/>
      <c r="D27" s="158"/>
      <c r="E27" s="158"/>
      <c r="F27" s="158"/>
      <c r="G27" s="158"/>
      <c r="H27" s="158"/>
      <c r="I27" s="159"/>
      <c r="J27" s="80"/>
    </row>
    <row r="28" spans="1:10" ht="16.05" customHeight="1" thickBot="1" x14ac:dyDescent="0.55000000000000004">
      <c r="A28" s="155" t="s">
        <v>320</v>
      </c>
      <c r="B28" s="155"/>
      <c r="C28" s="155"/>
      <c r="D28" s="155"/>
      <c r="E28" s="156"/>
      <c r="F28" s="157" t="s">
        <v>173</v>
      </c>
      <c r="G28" s="155"/>
      <c r="H28" s="155"/>
      <c r="I28" s="156"/>
    </row>
    <row r="29" spans="1:10" x14ac:dyDescent="0.5">
      <c r="E29" s="69"/>
      <c r="I29" s="69"/>
    </row>
    <row r="30" spans="1:10" x14ac:dyDescent="0.5">
      <c r="A30" s="70" t="s">
        <v>170</v>
      </c>
      <c r="B30">
        <f>B24/$B$5</f>
        <v>2.3770890268629361E-2</v>
      </c>
      <c r="C30">
        <f t="shared" ref="C30:I30" si="0">C24/$B$5</f>
        <v>2.2385049218794199E-2</v>
      </c>
      <c r="D30">
        <f t="shared" si="0"/>
        <v>2.3390625269525706E-2</v>
      </c>
      <c r="E30" s="69">
        <f t="shared" si="0"/>
        <v>2.2026953639498466E-2</v>
      </c>
      <c r="F30">
        <f t="shared" si="0"/>
        <v>2.4601382809326368E-2</v>
      </c>
      <c r="G30">
        <f t="shared" si="0"/>
        <v>2.3167124109101447E-2</v>
      </c>
      <c r="H30">
        <f t="shared" si="0"/>
        <v>2.4207832348816984E-2</v>
      </c>
      <c r="I30" s="69">
        <f t="shared" si="0"/>
        <v>2.2796517609764401E-2</v>
      </c>
    </row>
    <row r="31" spans="1:10" ht="16.149999999999999" thickBot="1" x14ac:dyDescent="0.55000000000000004">
      <c r="A31" s="84" t="s">
        <v>171</v>
      </c>
      <c r="B31" s="83">
        <f>B25/$F$5</f>
        <v>2.0370815728021244E-2</v>
      </c>
      <c r="C31" s="83">
        <f t="shared" ref="C31:I31" si="1">C25/$F$5</f>
        <v>1.9281937990998504E-2</v>
      </c>
      <c r="D31" s="83">
        <f t="shared" si="1"/>
        <v>2.004494201706564E-2</v>
      </c>
      <c r="E31" s="85">
        <f t="shared" si="1"/>
        <v>1.8973483151907337E-2</v>
      </c>
      <c r="F31" s="83">
        <f t="shared" si="1"/>
        <v>2.0890688795626888E-2</v>
      </c>
      <c r="G31" s="83">
        <f t="shared" si="1"/>
        <v>1.9774022372232847E-2</v>
      </c>
      <c r="H31" s="83">
        <f t="shared" si="1"/>
        <v>2.0556498629992762E-2</v>
      </c>
      <c r="I31" s="85">
        <f t="shared" si="1"/>
        <v>1.9457695616495969E-2</v>
      </c>
    </row>
  </sheetData>
  <mergeCells count="11">
    <mergeCell ref="A1:F1"/>
    <mergeCell ref="A22:E22"/>
    <mergeCell ref="F22:I22"/>
    <mergeCell ref="A21:I21"/>
    <mergeCell ref="A16:C16"/>
    <mergeCell ref="A28:E28"/>
    <mergeCell ref="F28:I28"/>
    <mergeCell ref="A2:B2"/>
    <mergeCell ref="E2:F2"/>
    <mergeCell ref="A27:I27"/>
    <mergeCell ref="A11:E11"/>
  </mergeCells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AI83"/>
  <sheetViews>
    <sheetView zoomScaleNormal="100" workbookViewId="0">
      <pane xSplit="1" ySplit="4" topLeftCell="B46" activePane="bottomRight" state="frozen"/>
      <selection pane="topRight" activeCell="B1" sqref="B1"/>
      <selection pane="bottomLeft" activeCell="A5" sqref="A5"/>
      <selection pane="bottomRight" activeCell="J79" sqref="J79"/>
    </sheetView>
  </sheetViews>
  <sheetFormatPr baseColWidth="10" defaultColWidth="7.6875" defaultRowHeight="13.15" x14ac:dyDescent="0.4"/>
  <cols>
    <col min="1" max="1" width="27.3125" style="1" bestFit="1" customWidth="1"/>
    <col min="2" max="2" width="13.8125" style="1" bestFit="1" customWidth="1"/>
    <col min="3" max="3" width="12.6875" style="1" customWidth="1"/>
    <col min="4" max="4" width="12.5" style="1" customWidth="1"/>
    <col min="5" max="5" width="11" style="1" customWidth="1"/>
    <col min="6" max="6" width="26.8125" style="1" customWidth="1"/>
    <col min="7" max="7" width="9.3125" style="1" customWidth="1"/>
    <col min="8" max="8" width="7.6875" style="1" customWidth="1"/>
    <col min="9" max="9" width="12.3125" style="1" customWidth="1"/>
    <col min="10" max="13" width="7.6875" style="1"/>
    <col min="14" max="14" width="17.6875" style="1" customWidth="1"/>
    <col min="15" max="15" width="24" style="1" customWidth="1"/>
    <col min="16" max="16" width="10.1875" style="1" bestFit="1" customWidth="1"/>
    <col min="17" max="17" width="26.5" style="1" bestFit="1" customWidth="1"/>
    <col min="18" max="18" width="14.3125" style="1" bestFit="1" customWidth="1"/>
    <col min="19" max="19" width="14" style="1" bestFit="1" customWidth="1"/>
    <col min="20" max="20" width="9.1875" style="1" customWidth="1"/>
    <col min="21" max="21" width="7.6875" style="1"/>
    <col min="22" max="22" width="12.3125" style="1" customWidth="1"/>
    <col min="23" max="23" width="9" style="1" customWidth="1"/>
    <col min="24" max="24" width="10.8125" style="1" customWidth="1"/>
    <col min="25" max="25" width="11.3125" style="1" customWidth="1"/>
    <col min="26" max="26" width="8.3125" style="1" customWidth="1"/>
    <col min="27" max="16384" width="7.6875" style="1"/>
  </cols>
  <sheetData>
    <row r="1" spans="1:26" ht="18" x14ac:dyDescent="0.55000000000000004">
      <c r="A1" s="66" t="s">
        <v>156</v>
      </c>
    </row>
    <row r="2" spans="1:26" x14ac:dyDescent="0.4">
      <c r="A2" s="65" t="s">
        <v>155</v>
      </c>
      <c r="B2" s="64"/>
      <c r="C2" s="163"/>
      <c r="D2" s="163"/>
      <c r="H2" s="63"/>
    </row>
    <row r="3" spans="1:26" ht="13.5" thickBot="1" x14ac:dyDescent="0.45">
      <c r="J3" s="62"/>
      <c r="K3" s="62"/>
      <c r="L3" s="62"/>
      <c r="M3" s="62"/>
    </row>
    <row r="4" spans="1:26" s="54" customFormat="1" ht="47.55" customHeight="1" thickBot="1" x14ac:dyDescent="0.55000000000000004">
      <c r="A4" s="56" t="s">
        <v>154</v>
      </c>
      <c r="B4" s="58" t="s">
        <v>153</v>
      </c>
      <c r="C4" s="61" t="s">
        <v>152</v>
      </c>
      <c r="D4" s="60" t="s">
        <v>151</v>
      </c>
      <c r="E4" s="60" t="s">
        <v>150</v>
      </c>
      <c r="F4" s="59" t="s">
        <v>149</v>
      </c>
      <c r="G4" s="61" t="s">
        <v>148</v>
      </c>
      <c r="H4" s="60" t="s">
        <v>147</v>
      </c>
      <c r="I4" s="60" t="s">
        <v>146</v>
      </c>
      <c r="J4" s="60" t="s">
        <v>145</v>
      </c>
      <c r="K4" s="60" t="s">
        <v>144</v>
      </c>
      <c r="L4" s="60" t="s">
        <v>143</v>
      </c>
      <c r="M4" s="59" t="s">
        <v>142</v>
      </c>
      <c r="N4" s="56" t="s">
        <v>141</v>
      </c>
      <c r="O4" s="58" t="s">
        <v>140</v>
      </c>
      <c r="P4" s="57" t="s">
        <v>139</v>
      </c>
      <c r="Q4" s="56" t="s">
        <v>138</v>
      </c>
      <c r="R4" s="56" t="s">
        <v>137</v>
      </c>
      <c r="S4" s="56" t="s">
        <v>136</v>
      </c>
      <c r="T4" s="56" t="s">
        <v>135</v>
      </c>
      <c r="U4" s="56" t="s">
        <v>90</v>
      </c>
      <c r="V4" s="56" t="s">
        <v>134</v>
      </c>
      <c r="W4" s="56" t="s">
        <v>133</v>
      </c>
      <c r="X4" s="55" t="s">
        <v>132</v>
      </c>
      <c r="Y4" s="56" t="s">
        <v>131</v>
      </c>
      <c r="Z4" s="55" t="s">
        <v>130</v>
      </c>
    </row>
    <row r="5" spans="1:26" x14ac:dyDescent="0.4">
      <c r="A5" s="53"/>
      <c r="B5" s="51"/>
      <c r="C5" s="52"/>
      <c r="D5" s="45"/>
      <c r="E5" s="45"/>
      <c r="F5" s="51"/>
      <c r="G5" s="52"/>
      <c r="H5" s="45"/>
      <c r="I5" s="45"/>
      <c r="J5" s="45"/>
      <c r="K5" s="45"/>
      <c r="L5" s="45"/>
      <c r="M5" s="51"/>
      <c r="N5" s="52"/>
      <c r="O5" s="51"/>
      <c r="P5" s="19"/>
      <c r="Q5" s="45">
        <f xml:space="preserve"> COUNT(P6:P101)</f>
        <v>61</v>
      </c>
      <c r="R5" s="50">
        <f xml:space="preserve"> MAX(P6:P101)</f>
        <v>7.9802069275753479E-2</v>
      </c>
      <c r="S5" s="50">
        <f>MIN(P6:P100)</f>
        <v>1.313676835498466E-2</v>
      </c>
      <c r="T5" s="49">
        <f>(R5-S5)/30</f>
        <v>2.2221766973589607E-3</v>
      </c>
      <c r="U5" s="45">
        <v>0</v>
      </c>
      <c r="V5" s="45">
        <f t="shared" ref="V5:V41" si="0">COUNTIFS($P$6:$P$100,"&gt;="&amp;U5,$P$6:$P$100,"&lt;"&amp;U6)</f>
        <v>0</v>
      </c>
      <c r="W5" s="48">
        <v>7</v>
      </c>
      <c r="X5" s="47">
        <f>Q5/W5</f>
        <v>8.7142857142857135</v>
      </c>
      <c r="Y5" s="46">
        <v>1.313676835498466E-2</v>
      </c>
      <c r="Z5" s="45">
        <v>1</v>
      </c>
    </row>
    <row r="6" spans="1:26" x14ac:dyDescent="0.4">
      <c r="A6" s="18" t="s">
        <v>129</v>
      </c>
      <c r="B6" s="14" t="s">
        <v>127</v>
      </c>
      <c r="C6" s="16">
        <v>135</v>
      </c>
      <c r="D6" s="15">
        <v>120</v>
      </c>
      <c r="E6" s="17">
        <f t="shared" ref="E6:E37" si="1" xml:space="preserve"> IF(AND(ISNUMBER(D6),ISNUMBER(C6)),D6/C6,"")</f>
        <v>0.88888888888888884</v>
      </c>
      <c r="F6" s="14">
        <f t="shared" ref="F6:F37" si="2">D6</f>
        <v>120</v>
      </c>
      <c r="G6" s="16">
        <v>60781</v>
      </c>
      <c r="H6" s="15">
        <v>50349</v>
      </c>
      <c r="I6" s="15">
        <v>17117</v>
      </c>
      <c r="J6" s="15">
        <v>3602</v>
      </c>
      <c r="K6" s="15">
        <v>50349</v>
      </c>
      <c r="L6" s="15">
        <v>7158</v>
      </c>
      <c r="M6" s="14">
        <v>43164</v>
      </c>
      <c r="N6" s="13">
        <f t="shared" ref="N6:N37" si="3">G6*(1-H6/G6)/J6</f>
        <v>2.8961687951138262</v>
      </c>
      <c r="O6" s="12">
        <f t="shared" ref="O6:O37" si="4">N6/F6</f>
        <v>2.4134739959281885E-2</v>
      </c>
      <c r="P6" s="11">
        <f>IF(ISNUMBER(O6),O6,"")</f>
        <v>2.4134739959281885E-2</v>
      </c>
      <c r="U6" s="22">
        <f t="shared" ref="U6:U41" si="5">U5+$T$5</f>
        <v>2.2221766973589607E-3</v>
      </c>
      <c r="V6" s="15">
        <f t="shared" si="0"/>
        <v>0</v>
      </c>
      <c r="W6" s="10"/>
      <c r="X6" s="44"/>
      <c r="Y6" s="22">
        <v>1.7780441971421951E-2</v>
      </c>
      <c r="Z6" s="15">
        <v>2</v>
      </c>
    </row>
    <row r="7" spans="1:26" x14ac:dyDescent="0.4">
      <c r="A7" s="18" t="s">
        <v>128</v>
      </c>
      <c r="B7" s="14" t="s">
        <v>127</v>
      </c>
      <c r="C7" s="16">
        <v>160</v>
      </c>
      <c r="D7" s="15">
        <v>150</v>
      </c>
      <c r="E7" s="17">
        <f t="shared" si="1"/>
        <v>0.9375</v>
      </c>
      <c r="F7" s="14">
        <f t="shared" si="2"/>
        <v>150</v>
      </c>
      <c r="G7" s="16">
        <v>67585</v>
      </c>
      <c r="H7" s="15">
        <v>55792</v>
      </c>
      <c r="I7" s="15">
        <v>16884</v>
      </c>
      <c r="J7" s="15">
        <v>3704</v>
      </c>
      <c r="K7" s="15">
        <v>55691</v>
      </c>
      <c r="L7" s="15">
        <v>6232</v>
      </c>
      <c r="M7" s="14">
        <v>50013</v>
      </c>
      <c r="N7" s="13">
        <f t="shared" si="3"/>
        <v>3.1838552915766734</v>
      </c>
      <c r="O7" s="12">
        <f t="shared" si="4"/>
        <v>2.1225701943844488E-2</v>
      </c>
      <c r="P7" s="11">
        <f>IF(ISNUMBER(O7),O7,"")</f>
        <v>2.1225701943844488E-2</v>
      </c>
      <c r="U7" s="22">
        <f t="shared" si="5"/>
        <v>4.4443533947179214E-3</v>
      </c>
      <c r="V7" s="15">
        <f t="shared" si="0"/>
        <v>0</v>
      </c>
      <c r="W7" s="10"/>
      <c r="X7" s="44"/>
      <c r="Y7" s="22">
        <v>2.0134013016575303E-2</v>
      </c>
      <c r="Z7" s="15">
        <v>3</v>
      </c>
    </row>
    <row r="8" spans="1:26" x14ac:dyDescent="0.4">
      <c r="A8" s="18" t="s">
        <v>126</v>
      </c>
      <c r="B8" s="14" t="s">
        <v>125</v>
      </c>
      <c r="C8" s="16">
        <v>345</v>
      </c>
      <c r="D8" s="15">
        <v>269</v>
      </c>
      <c r="E8" s="17">
        <f t="shared" si="1"/>
        <v>0.77971014492753621</v>
      </c>
      <c r="F8" s="14">
        <f t="shared" si="2"/>
        <v>269</v>
      </c>
      <c r="G8" s="16">
        <v>165000</v>
      </c>
      <c r="H8" s="15">
        <v>124000</v>
      </c>
      <c r="I8" s="15">
        <v>48470</v>
      </c>
      <c r="J8" s="15">
        <v>3985</v>
      </c>
      <c r="K8" s="15">
        <v>37800</v>
      </c>
      <c r="L8" s="15">
        <v>4865</v>
      </c>
      <c r="M8" s="14">
        <v>30000</v>
      </c>
      <c r="N8" s="13">
        <f t="shared" si="3"/>
        <v>10.288582183186954</v>
      </c>
      <c r="O8" s="12">
        <f t="shared" si="4"/>
        <v>3.8247517409616925E-2</v>
      </c>
      <c r="P8" s="19"/>
      <c r="R8" s="19"/>
      <c r="S8" s="19"/>
      <c r="U8" s="22">
        <f t="shared" si="5"/>
        <v>6.6665300920768821E-3</v>
      </c>
      <c r="V8" s="15">
        <f t="shared" si="0"/>
        <v>0</v>
      </c>
      <c r="W8" s="10"/>
      <c r="X8" s="44"/>
      <c r="Y8" s="22">
        <v>2.0367620948433311E-2</v>
      </c>
      <c r="Z8" s="15">
        <v>4</v>
      </c>
    </row>
    <row r="9" spans="1:26" x14ac:dyDescent="0.4">
      <c r="A9" s="18" t="s">
        <v>124</v>
      </c>
      <c r="B9" s="14" t="s">
        <v>123</v>
      </c>
      <c r="C9" s="16">
        <v>280</v>
      </c>
      <c r="D9" s="15">
        <v>230</v>
      </c>
      <c r="E9" s="17">
        <f t="shared" si="1"/>
        <v>0.8214285714285714</v>
      </c>
      <c r="F9" s="14">
        <f t="shared" si="2"/>
        <v>230</v>
      </c>
      <c r="G9" s="16">
        <v>138600</v>
      </c>
      <c r="H9" s="15">
        <v>122000</v>
      </c>
      <c r="I9" s="15">
        <v>47940</v>
      </c>
      <c r="J9" s="15">
        <v>3500</v>
      </c>
      <c r="K9" s="15">
        <v>34473</v>
      </c>
      <c r="L9" s="15">
        <v>6723</v>
      </c>
      <c r="M9" s="14">
        <v>17690</v>
      </c>
      <c r="N9" s="13">
        <f t="shared" si="3"/>
        <v>4.742857142857142</v>
      </c>
      <c r="O9" s="12">
        <f t="shared" si="4"/>
        <v>2.0621118012422356E-2</v>
      </c>
      <c r="P9" s="19"/>
      <c r="R9" s="19"/>
      <c r="S9" s="19"/>
      <c r="U9" s="22">
        <f t="shared" si="5"/>
        <v>8.8887067894358428E-3</v>
      </c>
      <c r="V9" s="15">
        <f t="shared" si="0"/>
        <v>0</v>
      </c>
      <c r="W9" s="10"/>
      <c r="X9" s="44"/>
      <c r="Y9" s="22">
        <v>2.1225701943844488E-2</v>
      </c>
      <c r="Z9" s="15">
        <v>5</v>
      </c>
    </row>
    <row r="10" spans="1:26" x14ac:dyDescent="0.4">
      <c r="A10" s="18" t="s">
        <v>122</v>
      </c>
      <c r="B10" s="14"/>
      <c r="C10" s="16">
        <v>132</v>
      </c>
      <c r="D10" s="15">
        <v>117</v>
      </c>
      <c r="E10" s="17">
        <f t="shared" si="1"/>
        <v>0.88636363636363635</v>
      </c>
      <c r="F10" s="14">
        <f t="shared" si="2"/>
        <v>117</v>
      </c>
      <c r="G10" s="16">
        <v>68000</v>
      </c>
      <c r="H10" s="15">
        <v>58500</v>
      </c>
      <c r="I10" s="15">
        <v>18729</v>
      </c>
      <c r="J10" s="15">
        <v>3704</v>
      </c>
      <c r="K10" s="15">
        <v>14760</v>
      </c>
      <c r="L10" s="15">
        <v>6149</v>
      </c>
      <c r="M10" s="14">
        <v>8920</v>
      </c>
      <c r="N10" s="13">
        <f t="shared" si="3"/>
        <v>2.5647948164146857</v>
      </c>
      <c r="O10" s="12">
        <f t="shared" si="4"/>
        <v>2.1921323217219537E-2</v>
      </c>
      <c r="P10" s="19"/>
      <c r="R10" s="19"/>
      <c r="S10" s="19"/>
      <c r="U10" s="22">
        <f t="shared" si="5"/>
        <v>1.1110883486794804E-2</v>
      </c>
      <c r="V10" s="15">
        <f t="shared" si="0"/>
        <v>1</v>
      </c>
      <c r="W10" s="10"/>
      <c r="X10" s="44"/>
      <c r="Y10" s="22">
        <v>2.127985068918567E-2</v>
      </c>
      <c r="Z10" s="15">
        <v>6</v>
      </c>
    </row>
    <row r="11" spans="1:26" x14ac:dyDescent="0.4">
      <c r="A11" s="18" t="s">
        <v>121</v>
      </c>
      <c r="B11" s="14"/>
      <c r="C11" s="16">
        <v>156</v>
      </c>
      <c r="D11" s="15">
        <v>134</v>
      </c>
      <c r="E11" s="17">
        <f t="shared" si="1"/>
        <v>0.85897435897435892</v>
      </c>
      <c r="F11" s="14">
        <f t="shared" si="2"/>
        <v>134</v>
      </c>
      <c r="G11" s="16">
        <v>75500</v>
      </c>
      <c r="H11" s="15">
        <v>58500</v>
      </c>
      <c r="I11" s="15">
        <v>18729</v>
      </c>
      <c r="J11" s="15">
        <v>4630</v>
      </c>
      <c r="K11" s="15">
        <v>17400</v>
      </c>
      <c r="L11" s="15">
        <v>5413</v>
      </c>
      <c r="M11" s="14">
        <v>15600</v>
      </c>
      <c r="N11" s="13">
        <f t="shared" si="3"/>
        <v>3.6717062634989208</v>
      </c>
      <c r="O11" s="12">
        <f t="shared" si="4"/>
        <v>2.7400793011185975E-2</v>
      </c>
      <c r="P11" s="11">
        <f t="shared" ref="P11:P20" si="6">IF(ISNUMBER(O11),O11,"")</f>
        <v>2.7400793011185975E-2</v>
      </c>
      <c r="U11" s="22">
        <f t="shared" si="5"/>
        <v>1.3333060184153766E-2</v>
      </c>
      <c r="V11" s="15">
        <f t="shared" si="0"/>
        <v>0</v>
      </c>
      <c r="Y11" s="22">
        <v>2.1683263732733694E-2</v>
      </c>
      <c r="Z11" s="15">
        <v>7</v>
      </c>
    </row>
    <row r="12" spans="1:26" x14ac:dyDescent="0.4">
      <c r="A12" s="18" t="s">
        <v>120</v>
      </c>
      <c r="B12" s="14"/>
      <c r="C12" s="16">
        <v>180</v>
      </c>
      <c r="D12" s="15">
        <v>150</v>
      </c>
      <c r="E12" s="17">
        <f t="shared" si="1"/>
        <v>0.83333333333333337</v>
      </c>
      <c r="F12" s="14">
        <f t="shared" si="2"/>
        <v>150</v>
      </c>
      <c r="G12" s="16">
        <v>78000</v>
      </c>
      <c r="H12" s="15">
        <v>62500</v>
      </c>
      <c r="I12" s="15">
        <v>18729</v>
      </c>
      <c r="J12" s="15">
        <v>3882</v>
      </c>
      <c r="K12" s="15">
        <v>19750</v>
      </c>
      <c r="L12" s="15">
        <v>5200</v>
      </c>
      <c r="M12" s="14">
        <v>16125</v>
      </c>
      <c r="N12" s="13">
        <f t="shared" si="3"/>
        <v>3.9927872230808852</v>
      </c>
      <c r="O12" s="12">
        <f t="shared" si="4"/>
        <v>2.6618581487205903E-2</v>
      </c>
      <c r="P12" s="11">
        <f t="shared" si="6"/>
        <v>2.6618581487205903E-2</v>
      </c>
      <c r="U12" s="22">
        <f t="shared" si="5"/>
        <v>1.5555236881512727E-2</v>
      </c>
      <c r="V12" s="15">
        <f t="shared" si="0"/>
        <v>0</v>
      </c>
      <c r="Y12" s="22">
        <v>2.4086267661034021E-2</v>
      </c>
      <c r="Z12" s="15">
        <v>8</v>
      </c>
    </row>
    <row r="13" spans="1:26" x14ac:dyDescent="0.4">
      <c r="A13" s="18" t="s">
        <v>119</v>
      </c>
      <c r="B13" s="14"/>
      <c r="C13" s="16">
        <v>194</v>
      </c>
      <c r="D13" s="15">
        <v>165</v>
      </c>
      <c r="E13" s="17">
        <f t="shared" si="1"/>
        <v>0.85051546391752575</v>
      </c>
      <c r="F13" s="14">
        <f t="shared" si="2"/>
        <v>165</v>
      </c>
      <c r="G13" s="16">
        <v>79000</v>
      </c>
      <c r="H13" s="15">
        <v>62800</v>
      </c>
      <c r="I13" s="15">
        <v>21005</v>
      </c>
      <c r="J13" s="24">
        <v>4528</v>
      </c>
      <c r="K13" s="24">
        <v>19250</v>
      </c>
      <c r="L13" s="24">
        <v>6315</v>
      </c>
      <c r="M13" s="23">
        <v>15150</v>
      </c>
      <c r="N13" s="13">
        <f t="shared" si="3"/>
        <v>3.5777385159010597</v>
      </c>
      <c r="O13" s="12">
        <f t="shared" si="4"/>
        <v>2.1683263732733694E-2</v>
      </c>
      <c r="P13" s="11">
        <f t="shared" si="6"/>
        <v>2.1683263732733694E-2</v>
      </c>
      <c r="U13" s="22">
        <f t="shared" si="5"/>
        <v>1.7777413578871689E-2</v>
      </c>
      <c r="V13" s="15">
        <f t="shared" si="0"/>
        <v>1</v>
      </c>
      <c r="W13" s="10"/>
      <c r="X13" s="44"/>
      <c r="Y13" s="22">
        <v>2.4134739959281885E-2</v>
      </c>
      <c r="Z13" s="15">
        <v>9</v>
      </c>
    </row>
    <row r="14" spans="1:26" x14ac:dyDescent="0.4">
      <c r="A14" s="18" t="s">
        <v>118</v>
      </c>
      <c r="B14" s="14"/>
      <c r="C14" s="16">
        <v>236</v>
      </c>
      <c r="D14" s="15">
        <v>185</v>
      </c>
      <c r="E14" s="17">
        <f t="shared" si="1"/>
        <v>0.78389830508474578</v>
      </c>
      <c r="F14" s="14">
        <f t="shared" si="2"/>
        <v>185</v>
      </c>
      <c r="G14" s="16">
        <v>93500</v>
      </c>
      <c r="H14" s="15">
        <v>77800</v>
      </c>
      <c r="I14" s="15">
        <v>23301</v>
      </c>
      <c r="J14" s="15">
        <v>4215</v>
      </c>
      <c r="K14" s="15">
        <v>24242</v>
      </c>
      <c r="L14" s="15">
        <v>5460</v>
      </c>
      <c r="M14" s="14">
        <v>20152</v>
      </c>
      <c r="N14" s="13">
        <f t="shared" si="3"/>
        <v>3.7247924080664307</v>
      </c>
      <c r="O14" s="12">
        <f t="shared" si="4"/>
        <v>2.0134013016575303E-2</v>
      </c>
      <c r="P14" s="11">
        <f t="shared" si="6"/>
        <v>2.0134013016575303E-2</v>
      </c>
      <c r="U14" s="22">
        <f t="shared" si="5"/>
        <v>1.9999590276230651E-2</v>
      </c>
      <c r="V14" s="15">
        <f t="shared" si="0"/>
        <v>5</v>
      </c>
      <c r="Y14" s="22">
        <v>2.4164068982530103E-2</v>
      </c>
      <c r="Z14" s="15">
        <v>10</v>
      </c>
    </row>
    <row r="15" spans="1:26" x14ac:dyDescent="0.4">
      <c r="A15" s="18" t="s">
        <v>117</v>
      </c>
      <c r="B15" s="14"/>
      <c r="C15" s="16">
        <v>244</v>
      </c>
      <c r="D15" s="15">
        <v>206</v>
      </c>
      <c r="E15" s="17">
        <f t="shared" si="1"/>
        <v>0.84426229508196726</v>
      </c>
      <c r="F15" s="14">
        <f t="shared" si="2"/>
        <v>206</v>
      </c>
      <c r="G15" s="16">
        <v>97000</v>
      </c>
      <c r="H15" s="15">
        <v>73300</v>
      </c>
      <c r="I15" s="15">
        <v>26484</v>
      </c>
      <c r="J15" s="15">
        <v>5648.6</v>
      </c>
      <c r="K15" s="15">
        <v>23950</v>
      </c>
      <c r="L15" s="15">
        <v>6482</v>
      </c>
      <c r="M15" s="14">
        <v>21350</v>
      </c>
      <c r="N15" s="13">
        <f t="shared" si="3"/>
        <v>4.195729915377262</v>
      </c>
      <c r="O15" s="12">
        <f t="shared" si="4"/>
        <v>2.0367620948433311E-2</v>
      </c>
      <c r="P15" s="11">
        <f t="shared" si="6"/>
        <v>2.0367620948433311E-2</v>
      </c>
      <c r="U15" s="22">
        <f t="shared" si="5"/>
        <v>2.2221766973589612E-2</v>
      </c>
      <c r="V15" s="15">
        <f t="shared" si="0"/>
        <v>3</v>
      </c>
      <c r="Y15" s="22">
        <v>2.4786426564698302E-2</v>
      </c>
      <c r="Z15" s="15">
        <v>11</v>
      </c>
    </row>
    <row r="16" spans="1:26" x14ac:dyDescent="0.4">
      <c r="A16" s="18" t="s">
        <v>116</v>
      </c>
      <c r="B16" s="14" t="s">
        <v>114</v>
      </c>
      <c r="C16" s="16">
        <v>406</v>
      </c>
      <c r="D16" s="15">
        <v>246</v>
      </c>
      <c r="E16" s="17">
        <f t="shared" si="1"/>
        <v>0.60591133004926112</v>
      </c>
      <c r="F16" s="14">
        <f t="shared" si="2"/>
        <v>246</v>
      </c>
      <c r="G16" s="16">
        <v>242000</v>
      </c>
      <c r="H16" s="15">
        <v>170000</v>
      </c>
      <c r="I16" s="15">
        <v>109186</v>
      </c>
      <c r="J16" s="15">
        <v>8584</v>
      </c>
      <c r="K16" s="15">
        <v>45813</v>
      </c>
      <c r="L16" s="15">
        <v>16455</v>
      </c>
      <c r="M16" s="14">
        <v>6350</v>
      </c>
      <c r="N16" s="13">
        <f t="shared" si="3"/>
        <v>8.387698042870456</v>
      </c>
      <c r="O16" s="12">
        <f t="shared" si="4"/>
        <v>3.409633350760348E-2</v>
      </c>
      <c r="P16" s="11">
        <f t="shared" si="6"/>
        <v>3.409633350760348E-2</v>
      </c>
      <c r="U16" s="22">
        <f t="shared" si="5"/>
        <v>2.4443943670948574E-2</v>
      </c>
      <c r="V16" s="15">
        <f t="shared" si="0"/>
        <v>6</v>
      </c>
      <c r="Y16" s="22">
        <v>2.5085584960564671E-2</v>
      </c>
      <c r="Z16" s="15">
        <v>12</v>
      </c>
    </row>
    <row r="17" spans="1:35" x14ac:dyDescent="0.4">
      <c r="A17" s="18" t="s">
        <v>115</v>
      </c>
      <c r="B17" s="14" t="s">
        <v>114</v>
      </c>
      <c r="C17" s="16">
        <v>440</v>
      </c>
      <c r="D17" s="15">
        <v>300</v>
      </c>
      <c r="E17" s="17">
        <f t="shared" si="1"/>
        <v>0.68181818181818177</v>
      </c>
      <c r="F17" s="14">
        <f t="shared" si="2"/>
        <v>300</v>
      </c>
      <c r="G17" s="16">
        <v>242000</v>
      </c>
      <c r="H17" s="15">
        <v>175000</v>
      </c>
      <c r="I17" s="15">
        <v>76561</v>
      </c>
      <c r="J17" s="15">
        <v>7723</v>
      </c>
      <c r="K17" s="15">
        <v>45359</v>
      </c>
      <c r="L17" s="15">
        <v>10038</v>
      </c>
      <c r="M17" s="14">
        <v>34927</v>
      </c>
      <c r="N17" s="13">
        <f t="shared" si="3"/>
        <v>8.6753852130001281</v>
      </c>
      <c r="O17" s="12">
        <f t="shared" si="4"/>
        <v>2.8917950710000428E-2</v>
      </c>
      <c r="P17" s="11">
        <f t="shared" si="6"/>
        <v>2.8917950710000428E-2</v>
      </c>
      <c r="U17" s="22">
        <f t="shared" si="5"/>
        <v>2.6666120368307535E-2</v>
      </c>
      <c r="V17" s="15">
        <f t="shared" si="0"/>
        <v>5</v>
      </c>
      <c r="Y17" s="22">
        <v>2.5762319581407563E-2</v>
      </c>
      <c r="Z17" s="15">
        <v>13</v>
      </c>
    </row>
    <row r="18" spans="1:35" x14ac:dyDescent="0.4">
      <c r="A18" s="18" t="s">
        <v>113</v>
      </c>
      <c r="B18" s="14" t="s">
        <v>112</v>
      </c>
      <c r="C18" s="16">
        <v>440</v>
      </c>
      <c r="D18" s="15">
        <v>335</v>
      </c>
      <c r="E18" s="17">
        <f t="shared" si="1"/>
        <v>0.76136363636363635</v>
      </c>
      <c r="F18" s="14">
        <f t="shared" si="2"/>
        <v>335</v>
      </c>
      <c r="G18" s="16">
        <v>271000</v>
      </c>
      <c r="H18" s="15">
        <v>178000</v>
      </c>
      <c r="I18" s="15">
        <v>110402</v>
      </c>
      <c r="J18" s="15">
        <v>9074.7999999999993</v>
      </c>
      <c r="K18" s="15">
        <v>50938</v>
      </c>
      <c r="L18" s="15">
        <v>13565.9</v>
      </c>
      <c r="M18" s="14">
        <v>22906</v>
      </c>
      <c r="N18" s="13">
        <f t="shared" si="3"/>
        <v>10.248159739057611</v>
      </c>
      <c r="O18" s="12">
        <f t="shared" si="4"/>
        <v>3.0591521609127197E-2</v>
      </c>
      <c r="P18" s="11">
        <f t="shared" si="6"/>
        <v>3.0591521609127197E-2</v>
      </c>
      <c r="U18" s="22">
        <f t="shared" si="5"/>
        <v>2.8888297065666497E-2</v>
      </c>
      <c r="V18" s="15">
        <f t="shared" si="0"/>
        <v>10</v>
      </c>
      <c r="Y18" s="22">
        <v>2.6328283482239204E-2</v>
      </c>
      <c r="Z18" s="15">
        <v>14</v>
      </c>
    </row>
    <row r="19" spans="1:35" x14ac:dyDescent="0.4">
      <c r="A19" s="18" t="s">
        <v>111</v>
      </c>
      <c r="B19" s="14" t="s">
        <v>110</v>
      </c>
      <c r="C19" s="16">
        <v>475</v>
      </c>
      <c r="D19" s="15">
        <v>380</v>
      </c>
      <c r="E19" s="17">
        <f t="shared" si="1"/>
        <v>0.8</v>
      </c>
      <c r="F19" s="14">
        <f t="shared" si="2"/>
        <v>380</v>
      </c>
      <c r="G19" s="16">
        <v>365000</v>
      </c>
      <c r="H19" s="15">
        <v>242000</v>
      </c>
      <c r="I19" s="15">
        <v>153082</v>
      </c>
      <c r="J19" s="15">
        <v>10778</v>
      </c>
      <c r="K19" s="15">
        <v>65625</v>
      </c>
      <c r="L19" s="15">
        <v>14444</v>
      </c>
      <c r="M19" s="14">
        <v>31875</v>
      </c>
      <c r="N19" s="13">
        <f t="shared" si="3"/>
        <v>11.412135832250881</v>
      </c>
      <c r="O19" s="12">
        <f t="shared" si="4"/>
        <v>3.0031936400660212E-2</v>
      </c>
      <c r="P19" s="11">
        <f t="shared" si="6"/>
        <v>3.0031936400660212E-2</v>
      </c>
      <c r="U19" s="22">
        <f t="shared" si="5"/>
        <v>3.1110473763025458E-2</v>
      </c>
      <c r="V19" s="15">
        <f t="shared" si="0"/>
        <v>4</v>
      </c>
      <c r="Y19" s="22">
        <v>2.6403043773160884E-2</v>
      </c>
      <c r="Z19" s="15">
        <v>15</v>
      </c>
    </row>
    <row r="20" spans="1:35" ht="12.75" customHeight="1" x14ac:dyDescent="0.4">
      <c r="A20" s="18" t="s">
        <v>109</v>
      </c>
      <c r="B20" s="14"/>
      <c r="C20" s="16">
        <v>440</v>
      </c>
      <c r="D20" s="15">
        <v>315</v>
      </c>
      <c r="E20" s="17">
        <f t="shared" si="1"/>
        <v>0.71590909090909094</v>
      </c>
      <c r="F20" s="14">
        <f t="shared" si="2"/>
        <v>315</v>
      </c>
      <c r="G20" s="16">
        <v>280000</v>
      </c>
      <c r="H20" s="15">
        <v>195700</v>
      </c>
      <c r="I20" s="15">
        <v>108330</v>
      </c>
      <c r="J20" s="15">
        <v>10797</v>
      </c>
      <c r="K20" s="15">
        <v>53700</v>
      </c>
      <c r="L20" s="15">
        <v>15890</v>
      </c>
      <c r="M20" s="14">
        <v>24800</v>
      </c>
      <c r="N20" s="13">
        <f t="shared" si="3"/>
        <v>7.807724367879965</v>
      </c>
      <c r="O20" s="12">
        <f t="shared" si="4"/>
        <v>2.4786426564698302E-2</v>
      </c>
      <c r="P20" s="11">
        <f t="shared" si="6"/>
        <v>2.4786426564698302E-2</v>
      </c>
      <c r="U20" s="22">
        <f t="shared" si="5"/>
        <v>3.3332650460384416E-2</v>
      </c>
      <c r="V20" s="15">
        <f t="shared" si="0"/>
        <v>5</v>
      </c>
      <c r="Y20" s="22">
        <v>2.6618581487205903E-2</v>
      </c>
      <c r="Z20" s="15">
        <v>16</v>
      </c>
    </row>
    <row r="21" spans="1:35" ht="12.75" customHeight="1" x14ac:dyDescent="0.4">
      <c r="A21" s="18" t="s">
        <v>108</v>
      </c>
      <c r="B21" s="14"/>
      <c r="C21" s="16">
        <v>440</v>
      </c>
      <c r="D21" s="15">
        <v>315</v>
      </c>
      <c r="E21" s="17">
        <f t="shared" si="1"/>
        <v>0.71590909090909094</v>
      </c>
      <c r="F21" s="14">
        <f t="shared" si="2"/>
        <v>315</v>
      </c>
      <c r="G21" s="16">
        <v>280000</v>
      </c>
      <c r="H21" s="15">
        <v>192000</v>
      </c>
      <c r="I21" s="15">
        <v>129525</v>
      </c>
      <c r="J21" s="15">
        <v>10797</v>
      </c>
      <c r="K21" s="15">
        <v>53700</v>
      </c>
      <c r="L21" s="15">
        <v>20020</v>
      </c>
      <c r="M21" s="14">
        <v>4100</v>
      </c>
      <c r="N21" s="13">
        <f t="shared" si="3"/>
        <v>8.1504121515235717</v>
      </c>
      <c r="O21" s="12">
        <f t="shared" si="4"/>
        <v>2.5874324290551021E-2</v>
      </c>
      <c r="P21" s="19"/>
      <c r="U21" s="22">
        <f t="shared" si="5"/>
        <v>3.5554827157743378E-2</v>
      </c>
      <c r="V21" s="15">
        <f t="shared" si="0"/>
        <v>1</v>
      </c>
      <c r="Y21" s="22">
        <v>2.7139999999999991E-2</v>
      </c>
      <c r="Z21" s="15">
        <v>17</v>
      </c>
    </row>
    <row r="22" spans="1:35" x14ac:dyDescent="0.4">
      <c r="A22" s="18" t="s">
        <v>107</v>
      </c>
      <c r="B22" s="14"/>
      <c r="C22" s="16">
        <v>440</v>
      </c>
      <c r="D22" s="15">
        <v>369</v>
      </c>
      <c r="E22" s="17">
        <f t="shared" si="1"/>
        <v>0.83863636363636362</v>
      </c>
      <c r="F22" s="14">
        <f t="shared" si="2"/>
        <v>369</v>
      </c>
      <c r="G22" s="16">
        <v>316000</v>
      </c>
      <c r="H22" s="15">
        <v>220000</v>
      </c>
      <c r="I22" s="15">
        <v>122460</v>
      </c>
      <c r="J22" s="15">
        <v>10371</v>
      </c>
      <c r="K22" s="15">
        <v>67200</v>
      </c>
      <c r="L22" s="15">
        <v>15742</v>
      </c>
      <c r="M22" s="14">
        <v>32600</v>
      </c>
      <c r="N22" s="13">
        <f t="shared" si="3"/>
        <v>9.2565808504483638</v>
      </c>
      <c r="O22" s="12">
        <f t="shared" si="4"/>
        <v>2.5085584960564671E-2</v>
      </c>
      <c r="P22" s="11">
        <f t="shared" ref="P22:P28" si="7">IF(ISNUMBER(O22),O22,"")</f>
        <v>2.5085584960564671E-2</v>
      </c>
      <c r="U22" s="22">
        <f t="shared" si="5"/>
        <v>3.777700385510234E-2</v>
      </c>
      <c r="V22" s="15">
        <f t="shared" si="0"/>
        <v>4</v>
      </c>
      <c r="Y22" s="22">
        <v>2.7141855698876925E-2</v>
      </c>
      <c r="Z22" s="15">
        <v>18</v>
      </c>
    </row>
    <row r="23" spans="1:35" ht="12.75" customHeight="1" x14ac:dyDescent="0.4">
      <c r="A23" s="18" t="s">
        <v>106</v>
      </c>
      <c r="B23" s="14" t="s">
        <v>105</v>
      </c>
      <c r="C23" s="16">
        <v>853</v>
      </c>
      <c r="D23" s="15">
        <v>575</v>
      </c>
      <c r="E23" s="17">
        <f t="shared" si="1"/>
        <v>0.67409144196951931</v>
      </c>
      <c r="F23" s="14">
        <f t="shared" si="2"/>
        <v>575</v>
      </c>
      <c r="G23" s="16">
        <v>575000</v>
      </c>
      <c r="H23" s="15">
        <v>369000</v>
      </c>
      <c r="I23" s="15">
        <v>323546</v>
      </c>
      <c r="J23" s="15">
        <v>12131</v>
      </c>
      <c r="K23" s="15">
        <v>83571</v>
      </c>
      <c r="L23" s="15">
        <v>16298</v>
      </c>
      <c r="M23" s="14">
        <v>34286</v>
      </c>
      <c r="N23" s="13">
        <f t="shared" si="3"/>
        <v>16.981287610254718</v>
      </c>
      <c r="O23" s="12">
        <f t="shared" si="4"/>
        <v>2.9532674104790813E-2</v>
      </c>
      <c r="P23" s="11">
        <f t="shared" si="7"/>
        <v>2.9532674104790813E-2</v>
      </c>
      <c r="U23" s="22">
        <f t="shared" si="5"/>
        <v>3.9999180552461301E-2</v>
      </c>
      <c r="V23" s="15">
        <f t="shared" si="0"/>
        <v>5</v>
      </c>
      <c r="Y23" s="22">
        <v>2.7400793011185975E-2</v>
      </c>
      <c r="Z23" s="15">
        <v>19</v>
      </c>
    </row>
    <row r="24" spans="1:35" ht="12.75" customHeight="1" x14ac:dyDescent="0.4">
      <c r="A24" s="20" t="s">
        <v>104</v>
      </c>
      <c r="B24" s="14" t="s">
        <v>103</v>
      </c>
      <c r="C24" s="16">
        <v>50</v>
      </c>
      <c r="D24" s="15">
        <v>48</v>
      </c>
      <c r="E24" s="17">
        <f t="shared" si="1"/>
        <v>0.96</v>
      </c>
      <c r="F24" s="14">
        <f t="shared" si="2"/>
        <v>48</v>
      </c>
      <c r="G24" s="16">
        <v>18600</v>
      </c>
      <c r="H24" s="15">
        <v>16700</v>
      </c>
      <c r="I24" s="15">
        <v>4500</v>
      </c>
      <c r="J24" s="15">
        <v>969</v>
      </c>
      <c r="K24" s="15">
        <v>5045</v>
      </c>
      <c r="L24" s="15">
        <v>3034</v>
      </c>
      <c r="M24" s="14">
        <v>2455</v>
      </c>
      <c r="N24" s="13">
        <f t="shared" si="3"/>
        <v>1.9607843137254906</v>
      </c>
      <c r="O24" s="12">
        <f t="shared" si="4"/>
        <v>4.0849673202614387E-2</v>
      </c>
      <c r="P24" s="11">
        <f t="shared" si="7"/>
        <v>4.0849673202614387E-2</v>
      </c>
      <c r="U24" s="22">
        <f t="shared" si="5"/>
        <v>4.2221357249820263E-2</v>
      </c>
      <c r="V24" s="15">
        <f t="shared" si="0"/>
        <v>3</v>
      </c>
      <c r="Y24" s="22">
        <v>2.7980430864303487E-2</v>
      </c>
      <c r="Z24" s="15">
        <v>20</v>
      </c>
    </row>
    <row r="25" spans="1:35" x14ac:dyDescent="0.4">
      <c r="A25" s="20" t="s">
        <v>102</v>
      </c>
      <c r="B25" s="14" t="s">
        <v>101</v>
      </c>
      <c r="C25" s="16">
        <v>74</v>
      </c>
      <c r="D25" s="15">
        <v>68</v>
      </c>
      <c r="E25" s="17">
        <f t="shared" si="1"/>
        <v>0.91891891891891897</v>
      </c>
      <c r="F25" s="14">
        <f t="shared" si="2"/>
        <v>68</v>
      </c>
      <c r="G25" s="16">
        <v>22500</v>
      </c>
      <c r="H25" s="15">
        <v>20500</v>
      </c>
      <c r="I25" s="15">
        <v>5000</v>
      </c>
      <c r="J25" s="15">
        <v>926</v>
      </c>
      <c r="K25" s="15">
        <v>7000</v>
      </c>
      <c r="L25" s="15">
        <v>3087</v>
      </c>
      <c r="M25" s="14">
        <v>4000</v>
      </c>
      <c r="N25" s="13">
        <f t="shared" si="3"/>
        <v>2.1598272138228944</v>
      </c>
      <c r="O25" s="12">
        <f t="shared" si="4"/>
        <v>3.1762164909160215E-2</v>
      </c>
      <c r="P25" s="11">
        <f t="shared" si="7"/>
        <v>3.1762164909160215E-2</v>
      </c>
      <c r="U25" s="22">
        <f t="shared" si="5"/>
        <v>4.4443533947179224E-2</v>
      </c>
      <c r="V25" s="15">
        <f t="shared" si="0"/>
        <v>2</v>
      </c>
      <c r="Y25" s="22">
        <v>2.8071557155715562E-2</v>
      </c>
      <c r="Z25" s="15">
        <v>21</v>
      </c>
    </row>
    <row r="26" spans="1:35" x14ac:dyDescent="0.4">
      <c r="A26" s="20" t="s">
        <v>100</v>
      </c>
      <c r="B26" s="14" t="s">
        <v>99</v>
      </c>
      <c r="C26" s="16">
        <v>19</v>
      </c>
      <c r="D26" s="15">
        <v>19</v>
      </c>
      <c r="E26" s="17">
        <f t="shared" si="1"/>
        <v>1</v>
      </c>
      <c r="F26" s="14">
        <f t="shared" si="2"/>
        <v>19</v>
      </c>
      <c r="G26" s="16">
        <v>7766</v>
      </c>
      <c r="H26" s="15">
        <v>6879</v>
      </c>
      <c r="I26" s="15">
        <v>2022</v>
      </c>
      <c r="J26" s="15">
        <v>585</v>
      </c>
      <c r="K26" s="15">
        <v>1984</v>
      </c>
      <c r="L26" s="15">
        <v>975</v>
      </c>
      <c r="M26" s="14">
        <v>1724</v>
      </c>
      <c r="N26" s="13">
        <f t="shared" si="3"/>
        <v>1.5162393162393162</v>
      </c>
      <c r="O26" s="12">
        <f t="shared" si="4"/>
        <v>7.9802069275753479E-2</v>
      </c>
      <c r="P26" s="11">
        <f t="shared" si="7"/>
        <v>7.9802069275753479E-2</v>
      </c>
      <c r="U26" s="22">
        <f t="shared" si="5"/>
        <v>4.6665710644538186E-2</v>
      </c>
      <c r="V26" s="15">
        <f t="shared" si="0"/>
        <v>1</v>
      </c>
      <c r="Y26" s="22">
        <v>2.8917950710000428E-2</v>
      </c>
      <c r="Z26" s="15">
        <v>22</v>
      </c>
    </row>
    <row r="27" spans="1:35" x14ac:dyDescent="0.4">
      <c r="A27" s="18" t="s">
        <v>98</v>
      </c>
      <c r="B27" s="14" t="s">
        <v>97</v>
      </c>
      <c r="C27" s="16">
        <v>106</v>
      </c>
      <c r="D27" s="15">
        <v>106</v>
      </c>
      <c r="E27" s="17">
        <f t="shared" si="1"/>
        <v>1</v>
      </c>
      <c r="F27" s="14">
        <f t="shared" si="2"/>
        <v>106</v>
      </c>
      <c r="G27" s="16">
        <v>54884</v>
      </c>
      <c r="H27" s="15">
        <v>45586</v>
      </c>
      <c r="I27" s="15">
        <v>13382</v>
      </c>
      <c r="J27" s="15">
        <v>2185</v>
      </c>
      <c r="K27" s="15">
        <v>45589</v>
      </c>
      <c r="L27" s="15">
        <v>3704</v>
      </c>
      <c r="M27" s="14">
        <v>42000</v>
      </c>
      <c r="N27" s="13">
        <f t="shared" si="3"/>
        <v>4.2553775743707094</v>
      </c>
      <c r="O27" s="12">
        <f t="shared" si="4"/>
        <v>4.0145071456327446E-2</v>
      </c>
      <c r="P27" s="11">
        <f t="shared" si="7"/>
        <v>4.0145071456327446E-2</v>
      </c>
      <c r="U27" s="22">
        <f t="shared" si="5"/>
        <v>4.8887887341897147E-2</v>
      </c>
      <c r="V27" s="15">
        <f t="shared" si="0"/>
        <v>2</v>
      </c>
      <c r="Y27" s="22">
        <v>2.9391344596158289E-2</v>
      </c>
      <c r="Z27" s="15">
        <v>23</v>
      </c>
    </row>
    <row r="28" spans="1:35" ht="13.5" thickBot="1" x14ac:dyDescent="0.45">
      <c r="A28" s="18" t="s">
        <v>96</v>
      </c>
      <c r="B28" s="14"/>
      <c r="C28" s="16">
        <v>189</v>
      </c>
      <c r="D28" s="15">
        <v>162</v>
      </c>
      <c r="E28" s="17">
        <f t="shared" si="1"/>
        <v>0.8571428571428571</v>
      </c>
      <c r="F28" s="14">
        <f t="shared" si="2"/>
        <v>162</v>
      </c>
      <c r="G28" s="16">
        <v>82644</v>
      </c>
      <c r="H28" s="15">
        <v>65952</v>
      </c>
      <c r="I28" s="15">
        <v>20730</v>
      </c>
      <c r="J28" s="24">
        <v>4842</v>
      </c>
      <c r="K28" s="24">
        <v>65930</v>
      </c>
      <c r="L28" s="24">
        <v>6426</v>
      </c>
      <c r="M28" s="23">
        <v>61983</v>
      </c>
      <c r="N28" s="13">
        <f t="shared" si="3"/>
        <v>3.4473358116480783</v>
      </c>
      <c r="O28" s="12">
        <f t="shared" si="4"/>
        <v>2.127985068918567E-2</v>
      </c>
      <c r="P28" s="11">
        <f t="shared" si="7"/>
        <v>2.127985068918567E-2</v>
      </c>
      <c r="U28" s="22">
        <f t="shared" si="5"/>
        <v>5.1110064039256109E-2</v>
      </c>
      <c r="V28" s="15">
        <f t="shared" si="0"/>
        <v>0</v>
      </c>
      <c r="Y28" s="22">
        <v>2.9463719898605838E-2</v>
      </c>
      <c r="Z28" s="15">
        <v>24</v>
      </c>
    </row>
    <row r="29" spans="1:35" ht="15.75" x14ac:dyDescent="0.5">
      <c r="A29" s="18" t="s">
        <v>95</v>
      </c>
      <c r="B29" s="14"/>
      <c r="C29" s="16">
        <v>220</v>
      </c>
      <c r="D29" s="15">
        <v>180</v>
      </c>
      <c r="E29" s="17">
        <f t="shared" si="1"/>
        <v>0.81818181818181823</v>
      </c>
      <c r="F29" s="14">
        <f t="shared" si="2"/>
        <v>180</v>
      </c>
      <c r="G29" s="16">
        <v>88314</v>
      </c>
      <c r="H29" s="15">
        <v>70987</v>
      </c>
      <c r="I29" s="15">
        <v>20730</v>
      </c>
      <c r="J29" s="24">
        <v>4630</v>
      </c>
      <c r="K29" s="24">
        <v>70964.5</v>
      </c>
      <c r="L29" s="24">
        <v>5843</v>
      </c>
      <c r="M29" s="23">
        <v>67653</v>
      </c>
      <c r="N29" s="13">
        <f t="shared" si="3"/>
        <v>3.742332613390928</v>
      </c>
      <c r="O29" s="12">
        <f t="shared" si="4"/>
        <v>2.079073674106071E-2</v>
      </c>
      <c r="P29" s="19"/>
      <c r="U29" s="22">
        <f t="shared" si="5"/>
        <v>5.3332240736615071E-2</v>
      </c>
      <c r="V29" s="15">
        <f t="shared" si="0"/>
        <v>0</v>
      </c>
      <c r="Y29" s="22">
        <v>2.9532674104790813E-2</v>
      </c>
      <c r="Z29" s="15">
        <v>25</v>
      </c>
      <c r="AC29" s="43"/>
      <c r="AD29" s="161" t="s">
        <v>94</v>
      </c>
      <c r="AE29" s="162"/>
      <c r="AF29" s="42" t="s">
        <v>93</v>
      </c>
      <c r="AG29" s="41"/>
      <c r="AH29" s="40" t="s">
        <v>92</v>
      </c>
      <c r="AI29" s="39"/>
    </row>
    <row r="30" spans="1:35" ht="15.75" x14ac:dyDescent="0.5">
      <c r="A30" s="18" t="s">
        <v>91</v>
      </c>
      <c r="B30" s="14" t="s">
        <v>83</v>
      </c>
      <c r="C30" s="16">
        <v>149</v>
      </c>
      <c r="D30" s="15">
        <v>126</v>
      </c>
      <c r="E30" s="17">
        <f t="shared" si="1"/>
        <v>0.84563758389261745</v>
      </c>
      <c r="F30" s="14">
        <f t="shared" si="2"/>
        <v>126</v>
      </c>
      <c r="G30" s="16">
        <v>61235</v>
      </c>
      <c r="H30" s="15">
        <v>48308</v>
      </c>
      <c r="I30" s="15">
        <v>18602</v>
      </c>
      <c r="J30" s="15">
        <v>3439</v>
      </c>
      <c r="K30" s="15">
        <v>48357</v>
      </c>
      <c r="L30" s="15">
        <v>5159</v>
      </c>
      <c r="M30" s="14">
        <v>43667</v>
      </c>
      <c r="N30" s="13">
        <f t="shared" si="3"/>
        <v>3.7589415527769701</v>
      </c>
      <c r="O30" s="12">
        <f t="shared" si="4"/>
        <v>2.9832869466483888E-2</v>
      </c>
      <c r="P30" s="11">
        <f t="shared" ref="P30:P36" si="8">IF(ISNUMBER(O30),O30,"")</f>
        <v>2.9832869466483888E-2</v>
      </c>
      <c r="U30" s="22">
        <f t="shared" si="5"/>
        <v>5.5554417433974032E-2</v>
      </c>
      <c r="V30" s="15">
        <f t="shared" si="0"/>
        <v>0</v>
      </c>
      <c r="Y30" s="22">
        <v>2.9614167606309725E-2</v>
      </c>
      <c r="Z30" s="15">
        <v>26</v>
      </c>
      <c r="AC30" s="38" t="s">
        <v>90</v>
      </c>
      <c r="AD30" s="37" t="s">
        <v>89</v>
      </c>
      <c r="AE30" s="36" t="s">
        <v>88</v>
      </c>
      <c r="AF30" s="37" t="s">
        <v>89</v>
      </c>
      <c r="AG30" s="36" t="s">
        <v>88</v>
      </c>
      <c r="AH30" s="37" t="s">
        <v>89</v>
      </c>
      <c r="AI30" s="36" t="s">
        <v>88</v>
      </c>
    </row>
    <row r="31" spans="1:35" ht="15.75" x14ac:dyDescent="0.5">
      <c r="A31" s="18" t="s">
        <v>87</v>
      </c>
      <c r="B31" s="14" t="s">
        <v>86</v>
      </c>
      <c r="C31" s="16">
        <v>168</v>
      </c>
      <c r="D31" s="15">
        <v>147</v>
      </c>
      <c r="E31" s="17">
        <f t="shared" si="1"/>
        <v>0.875</v>
      </c>
      <c r="F31" s="14">
        <f t="shared" si="2"/>
        <v>147</v>
      </c>
      <c r="G31" s="16">
        <v>68039</v>
      </c>
      <c r="H31" s="15">
        <v>53070</v>
      </c>
      <c r="I31" s="15">
        <v>18602</v>
      </c>
      <c r="J31" s="15">
        <v>3258</v>
      </c>
      <c r="K31" s="15">
        <v>53167</v>
      </c>
      <c r="L31" s="15">
        <v>4630</v>
      </c>
      <c r="M31" s="14">
        <v>48667</v>
      </c>
      <c r="N31" s="13">
        <f t="shared" si="3"/>
        <v>4.5945365254757515</v>
      </c>
      <c r="O31" s="12">
        <f t="shared" si="4"/>
        <v>3.1255350513440486E-2</v>
      </c>
      <c r="P31" s="11">
        <f t="shared" si="8"/>
        <v>3.1255350513440486E-2</v>
      </c>
      <c r="U31" s="22">
        <f t="shared" si="5"/>
        <v>5.7776594131332994E-2</v>
      </c>
      <c r="V31" s="15">
        <f t="shared" si="0"/>
        <v>0</v>
      </c>
      <c r="Y31" s="22">
        <v>2.9719057935565032E-2</v>
      </c>
      <c r="Z31" s="15">
        <v>27</v>
      </c>
      <c r="AC31" s="33" t="s">
        <v>85</v>
      </c>
      <c r="AD31" s="31">
        <f>S5</f>
        <v>1.313676835498466E-2</v>
      </c>
      <c r="AE31" s="32">
        <f>Y13</f>
        <v>2.4134739959281885E-2</v>
      </c>
      <c r="AF31" s="31">
        <v>0</v>
      </c>
      <c r="AG31" s="32">
        <f t="shared" ref="AG31:AG37" si="9">(AE31-$AD$31)/($R$5-$S$5)</f>
        <v>0.1649729537314806</v>
      </c>
      <c r="AH31" s="35">
        <v>0</v>
      </c>
      <c r="AI31" s="30">
        <f t="shared" ref="AI31:AI37" si="10">0.2*AG31</f>
        <v>3.2994590746296119E-2</v>
      </c>
    </row>
    <row r="32" spans="1:35" ht="15.75" x14ac:dyDescent="0.5">
      <c r="A32" s="18" t="s">
        <v>84</v>
      </c>
      <c r="B32" s="14" t="s">
        <v>83</v>
      </c>
      <c r="C32" s="16">
        <v>132</v>
      </c>
      <c r="D32" s="15">
        <v>110</v>
      </c>
      <c r="E32" s="17">
        <f t="shared" si="1"/>
        <v>0.83333333333333337</v>
      </c>
      <c r="F32" s="14">
        <f t="shared" si="2"/>
        <v>110</v>
      </c>
      <c r="G32" s="16">
        <v>60555</v>
      </c>
      <c r="H32" s="15">
        <v>46493</v>
      </c>
      <c r="I32" s="15">
        <v>18602</v>
      </c>
      <c r="J32" s="15">
        <v>2910</v>
      </c>
      <c r="K32" s="15">
        <v>46667</v>
      </c>
      <c r="L32" s="15">
        <v>4994</v>
      </c>
      <c r="M32" s="14">
        <v>41333</v>
      </c>
      <c r="N32" s="13">
        <f t="shared" si="3"/>
        <v>4.8323024054982833</v>
      </c>
      <c r="O32" s="12">
        <f t="shared" si="4"/>
        <v>4.3930021868166212E-2</v>
      </c>
      <c r="P32" s="11">
        <f t="shared" si="8"/>
        <v>4.3930021868166212E-2</v>
      </c>
      <c r="U32" s="22">
        <f t="shared" si="5"/>
        <v>5.9998770828691955E-2</v>
      </c>
      <c r="V32" s="15">
        <f t="shared" si="0"/>
        <v>2</v>
      </c>
      <c r="Y32" s="22">
        <v>2.9832869466483888E-2</v>
      </c>
      <c r="Z32" s="15">
        <v>28</v>
      </c>
      <c r="AC32" s="33" t="s">
        <v>82</v>
      </c>
      <c r="AD32" s="31">
        <f t="shared" ref="AD32:AD37" si="11">AE31</f>
        <v>2.4134739959281885E-2</v>
      </c>
      <c r="AE32" s="32">
        <f>Y22</f>
        <v>2.7141855698876925E-2</v>
      </c>
      <c r="AF32" s="31">
        <f t="shared" ref="AF32:AF37" si="12">AG31</f>
        <v>0.1649729537314806</v>
      </c>
      <c r="AG32" s="32">
        <f t="shared" si="9"/>
        <v>0.21008061390943394</v>
      </c>
      <c r="AH32" s="34">
        <f t="shared" ref="AH32:AH37" si="13">AI31</f>
        <v>3.2994590746296119E-2</v>
      </c>
      <c r="AI32" s="30">
        <f t="shared" si="10"/>
        <v>4.2016122781886794E-2</v>
      </c>
    </row>
    <row r="33" spans="1:35" ht="15.75" x14ac:dyDescent="0.5">
      <c r="A33" s="18" t="s">
        <v>81</v>
      </c>
      <c r="B33" s="14" t="s">
        <v>76</v>
      </c>
      <c r="C33" s="16">
        <v>148</v>
      </c>
      <c r="D33" s="15">
        <v>128</v>
      </c>
      <c r="E33" s="17">
        <f t="shared" si="1"/>
        <v>0.86486486486486491</v>
      </c>
      <c r="F33" s="14">
        <f t="shared" si="2"/>
        <v>128</v>
      </c>
      <c r="G33" s="16">
        <v>70080</v>
      </c>
      <c r="H33" s="15">
        <v>55202</v>
      </c>
      <c r="I33" s="15">
        <v>20894</v>
      </c>
      <c r="J33" s="15">
        <v>3945</v>
      </c>
      <c r="K33" s="15">
        <v>55202</v>
      </c>
      <c r="L33" s="15">
        <v>6186</v>
      </c>
      <c r="M33" s="14">
        <v>49237</v>
      </c>
      <c r="N33" s="13">
        <f t="shared" si="3"/>
        <v>3.7713561470215473</v>
      </c>
      <c r="O33" s="12">
        <f t="shared" si="4"/>
        <v>2.9463719898605838E-2</v>
      </c>
      <c r="P33" s="11">
        <f t="shared" si="8"/>
        <v>2.9463719898605838E-2</v>
      </c>
      <c r="U33" s="22">
        <f t="shared" si="5"/>
        <v>6.2220947526050917E-2</v>
      </c>
      <c r="V33" s="15">
        <f t="shared" si="0"/>
        <v>0</v>
      </c>
      <c r="Y33" s="22">
        <v>3.0031936400660212E-2</v>
      </c>
      <c r="Z33" s="15">
        <v>29</v>
      </c>
      <c r="AC33" s="33" t="s">
        <v>80</v>
      </c>
      <c r="AD33" s="31">
        <f t="shared" si="11"/>
        <v>2.7141855698876925E-2</v>
      </c>
      <c r="AE33" s="32">
        <f>Y31</f>
        <v>2.9719057935565032E-2</v>
      </c>
      <c r="AF33" s="31">
        <f t="shared" si="12"/>
        <v>0.21008061390943394</v>
      </c>
      <c r="AG33" s="32">
        <f t="shared" si="9"/>
        <v>0.24873943943174112</v>
      </c>
      <c r="AH33" s="34">
        <f t="shared" si="13"/>
        <v>4.2016122781886794E-2</v>
      </c>
      <c r="AI33" s="30">
        <f t="shared" si="10"/>
        <v>4.9747887886348229E-2</v>
      </c>
    </row>
    <row r="34" spans="1:35" ht="15.75" x14ac:dyDescent="0.5">
      <c r="A34" s="18" t="s">
        <v>79</v>
      </c>
      <c r="B34" s="14" t="s">
        <v>76</v>
      </c>
      <c r="C34" s="16">
        <v>184</v>
      </c>
      <c r="D34" s="15">
        <v>160</v>
      </c>
      <c r="E34" s="17">
        <f t="shared" si="1"/>
        <v>0.86956521739130432</v>
      </c>
      <c r="F34" s="14">
        <f t="shared" si="2"/>
        <v>160</v>
      </c>
      <c r="G34" s="16">
        <v>79016</v>
      </c>
      <c r="H34" s="15">
        <v>62732</v>
      </c>
      <c r="I34" s="15">
        <v>20894</v>
      </c>
      <c r="J34" s="15">
        <v>3750</v>
      </c>
      <c r="K34" s="15">
        <v>62596</v>
      </c>
      <c r="L34" s="15">
        <v>5223</v>
      </c>
      <c r="M34" s="14">
        <v>58128</v>
      </c>
      <c r="N34" s="13">
        <f t="shared" si="3"/>
        <v>4.3423999999999987</v>
      </c>
      <c r="O34" s="12">
        <f t="shared" si="4"/>
        <v>2.7139999999999991E-2</v>
      </c>
      <c r="P34" s="11">
        <f t="shared" si="8"/>
        <v>2.7139999999999991E-2</v>
      </c>
      <c r="U34" s="22">
        <f t="shared" si="5"/>
        <v>6.4443124223409878E-2</v>
      </c>
      <c r="V34" s="15">
        <f t="shared" si="0"/>
        <v>0</v>
      </c>
      <c r="Y34" s="22">
        <v>3.0126414363501476E-2</v>
      </c>
      <c r="Z34" s="15">
        <v>30</v>
      </c>
      <c r="AC34" s="33" t="s">
        <v>78</v>
      </c>
      <c r="AD34" s="31">
        <f t="shared" si="11"/>
        <v>2.9719057935565032E-2</v>
      </c>
      <c r="AE34" s="32">
        <f>Y40</f>
        <v>3.3889803443408938E-2</v>
      </c>
      <c r="AF34" s="31">
        <f t="shared" si="12"/>
        <v>0.24873943943174112</v>
      </c>
      <c r="AG34" s="32">
        <f t="shared" si="9"/>
        <v>0.31130190371583405</v>
      </c>
      <c r="AH34" s="34">
        <f t="shared" si="13"/>
        <v>4.9747887886348229E-2</v>
      </c>
      <c r="AI34" s="30">
        <f t="shared" si="10"/>
        <v>6.226038074316681E-2</v>
      </c>
    </row>
    <row r="35" spans="1:35" ht="15.75" x14ac:dyDescent="0.5">
      <c r="A35" s="20" t="s">
        <v>77</v>
      </c>
      <c r="B35" s="14" t="s">
        <v>76</v>
      </c>
      <c r="C35" s="16">
        <v>189</v>
      </c>
      <c r="D35" s="15">
        <v>177</v>
      </c>
      <c r="E35" s="17">
        <f t="shared" si="1"/>
        <v>0.93650793650793651</v>
      </c>
      <c r="F35" s="14">
        <f t="shared" si="2"/>
        <v>177</v>
      </c>
      <c r="G35" s="16">
        <v>74389</v>
      </c>
      <c r="H35" s="15">
        <v>62732</v>
      </c>
      <c r="I35" s="15">
        <v>20894</v>
      </c>
      <c r="J35" s="15">
        <v>3704</v>
      </c>
      <c r="K35" s="15">
        <v>62732</v>
      </c>
      <c r="L35" s="15">
        <v>5149</v>
      </c>
      <c r="M35" s="14">
        <v>58173</v>
      </c>
      <c r="N35" s="13">
        <f t="shared" si="3"/>
        <v>3.1471382289416852</v>
      </c>
      <c r="O35" s="12">
        <f t="shared" si="4"/>
        <v>1.7780441971421951E-2</v>
      </c>
      <c r="P35" s="11">
        <f t="shared" si="8"/>
        <v>1.7780441971421951E-2</v>
      </c>
      <c r="U35" s="22">
        <f t="shared" si="5"/>
        <v>6.6665300920768833E-2</v>
      </c>
      <c r="V35" s="15">
        <f t="shared" si="0"/>
        <v>0</v>
      </c>
      <c r="Y35" s="22">
        <v>3.0591521609127197E-2</v>
      </c>
      <c r="Z35" s="15">
        <v>31</v>
      </c>
      <c r="AC35" s="33" t="s">
        <v>75</v>
      </c>
      <c r="AD35" s="31">
        <f t="shared" si="11"/>
        <v>3.3889803443408938E-2</v>
      </c>
      <c r="AE35" s="32">
        <f>Y49</f>
        <v>3.9795338260375221E-2</v>
      </c>
      <c r="AF35" s="31">
        <f t="shared" si="12"/>
        <v>0.31130190371583405</v>
      </c>
      <c r="AG35" s="32">
        <f t="shared" si="9"/>
        <v>0.39988674073599489</v>
      </c>
      <c r="AH35" s="34">
        <f t="shared" si="13"/>
        <v>6.226038074316681E-2</v>
      </c>
      <c r="AI35" s="30">
        <f t="shared" si="10"/>
        <v>7.9977348147198979E-2</v>
      </c>
    </row>
    <row r="36" spans="1:35" ht="15.75" x14ac:dyDescent="0.5">
      <c r="A36" s="18" t="s">
        <v>74</v>
      </c>
      <c r="B36" s="14" t="s">
        <v>73</v>
      </c>
      <c r="C36" s="16">
        <v>624</v>
      </c>
      <c r="D36" s="15">
        <v>416</v>
      </c>
      <c r="E36" s="17">
        <f t="shared" si="1"/>
        <v>0.66666666666666663</v>
      </c>
      <c r="F36" s="14">
        <f t="shared" si="2"/>
        <v>416</v>
      </c>
      <c r="G36" s="16">
        <v>396894</v>
      </c>
      <c r="H36" s="15">
        <v>246074</v>
      </c>
      <c r="I36" s="15">
        <v>173425</v>
      </c>
      <c r="J36" s="15">
        <v>10570</v>
      </c>
      <c r="K36" s="15">
        <v>246073</v>
      </c>
      <c r="L36" s="15">
        <v>13100</v>
      </c>
      <c r="M36" s="14">
        <v>222273</v>
      </c>
      <c r="N36" s="13">
        <f t="shared" si="3"/>
        <v>14.268684957426679</v>
      </c>
      <c r="O36" s="12">
        <f t="shared" si="4"/>
        <v>3.4299723455352593E-2</v>
      </c>
      <c r="P36" s="11">
        <f t="shared" si="8"/>
        <v>3.4299723455352593E-2</v>
      </c>
      <c r="U36" s="22">
        <f t="shared" si="5"/>
        <v>6.8887477618127788E-2</v>
      </c>
      <c r="V36" s="15">
        <f t="shared" si="0"/>
        <v>0</v>
      </c>
      <c r="Y36" s="22">
        <v>3.1255350513440486E-2</v>
      </c>
      <c r="Z36" s="15">
        <v>32</v>
      </c>
      <c r="AC36" s="33" t="s">
        <v>72</v>
      </c>
      <c r="AD36" s="31">
        <f t="shared" si="11"/>
        <v>3.9795338260375221E-2</v>
      </c>
      <c r="AE36" s="32">
        <f>Y58</f>
        <v>4.4882186616399616E-2</v>
      </c>
      <c r="AF36" s="31">
        <f t="shared" si="12"/>
        <v>0.39988674073599489</v>
      </c>
      <c r="AG36" s="32">
        <f t="shared" si="9"/>
        <v>0.47619102926039641</v>
      </c>
      <c r="AH36" s="31">
        <f t="shared" si="13"/>
        <v>7.9977348147198979E-2</v>
      </c>
      <c r="AI36" s="30">
        <f t="shared" si="10"/>
        <v>9.5238205852079288E-2</v>
      </c>
    </row>
    <row r="37" spans="1:35" ht="16.149999999999999" thickBot="1" x14ac:dyDescent="0.55000000000000004">
      <c r="A37" s="18" t="s">
        <v>71</v>
      </c>
      <c r="B37" s="14" t="s">
        <v>70</v>
      </c>
      <c r="C37" s="16">
        <f>19+96+352+48</f>
        <v>515</v>
      </c>
      <c r="D37" s="15">
        <v>467</v>
      </c>
      <c r="E37" s="17">
        <f t="shared" si="1"/>
        <v>0.90679611650485437</v>
      </c>
      <c r="F37" s="14">
        <f t="shared" si="2"/>
        <v>467</v>
      </c>
      <c r="G37" s="16">
        <v>447696</v>
      </c>
      <c r="H37" s="15">
        <v>295289</v>
      </c>
      <c r="I37" s="15">
        <v>193280</v>
      </c>
      <c r="J37" s="15">
        <v>10894</v>
      </c>
      <c r="K37" s="15">
        <v>295289</v>
      </c>
      <c r="L37" s="15">
        <v>14816</v>
      </c>
      <c r="M37" s="14">
        <v>256316</v>
      </c>
      <c r="N37" s="13">
        <f t="shared" si="3"/>
        <v>13.989994492381127</v>
      </c>
      <c r="O37" s="12">
        <f t="shared" si="4"/>
        <v>2.9957161653921042E-2</v>
      </c>
      <c r="P37" s="19"/>
      <c r="U37" s="22">
        <f t="shared" si="5"/>
        <v>7.1109654315486742E-2</v>
      </c>
      <c r="V37" s="15">
        <f t="shared" si="0"/>
        <v>0</v>
      </c>
      <c r="Y37" s="22">
        <v>3.1705673094926043E-2</v>
      </c>
      <c r="Z37" s="15">
        <v>33</v>
      </c>
      <c r="AC37" s="29" t="s">
        <v>69</v>
      </c>
      <c r="AD37" s="28">
        <f t="shared" si="11"/>
        <v>4.4882186616399616E-2</v>
      </c>
      <c r="AE37" s="26">
        <f>R5</f>
        <v>7.9802069275753479E-2</v>
      </c>
      <c r="AF37" s="28">
        <f t="shared" si="12"/>
        <v>0.47619102926039641</v>
      </c>
      <c r="AG37" s="26">
        <f t="shared" si="9"/>
        <v>1</v>
      </c>
      <c r="AH37" s="27">
        <f t="shared" si="13"/>
        <v>9.5238205852079288E-2</v>
      </c>
      <c r="AI37" s="26">
        <f t="shared" si="10"/>
        <v>0.2</v>
      </c>
    </row>
    <row r="38" spans="1:35" x14ac:dyDescent="0.4">
      <c r="A38" s="18" t="s">
        <v>68</v>
      </c>
      <c r="B38" s="14" t="s">
        <v>67</v>
      </c>
      <c r="C38" s="16">
        <v>239</v>
      </c>
      <c r="D38" s="15">
        <v>200</v>
      </c>
      <c r="E38" s="17">
        <f t="shared" ref="E38:E69" si="14" xml:space="preserve"> IF(AND(ISNUMBER(D38),ISNUMBER(C38)),D38/C38,"")</f>
        <v>0.83682008368200833</v>
      </c>
      <c r="F38" s="14">
        <f t="shared" ref="F38:F69" si="15">D38</f>
        <v>200</v>
      </c>
      <c r="G38" s="16">
        <v>108850</v>
      </c>
      <c r="H38" s="15">
        <v>83450</v>
      </c>
      <c r="I38" s="15">
        <v>34260</v>
      </c>
      <c r="J38" s="15">
        <v>4321</v>
      </c>
      <c r="K38" s="15">
        <v>83450</v>
      </c>
      <c r="L38" s="15">
        <v>6482</v>
      </c>
      <c r="M38" s="14">
        <v>74000</v>
      </c>
      <c r="N38" s="13">
        <f t="shared" ref="N38:N69" si="16">G38*(1-H38/G38)/J38</f>
        <v>5.8782689192316582</v>
      </c>
      <c r="O38" s="12">
        <f t="shared" ref="O38:O69" si="17">N38/F38</f>
        <v>2.9391344596158289E-2</v>
      </c>
      <c r="P38" s="11">
        <f>IF(ISNUMBER(O38),O38,"")</f>
        <v>2.9391344596158289E-2</v>
      </c>
      <c r="U38" s="22">
        <f t="shared" si="5"/>
        <v>7.3331831012845697E-2</v>
      </c>
      <c r="V38" s="15">
        <f t="shared" si="0"/>
        <v>0</v>
      </c>
      <c r="Y38" s="22">
        <v>3.1762164909160215E-2</v>
      </c>
      <c r="Z38" s="15">
        <v>34</v>
      </c>
    </row>
    <row r="39" spans="1:35" x14ac:dyDescent="0.4">
      <c r="A39" s="18" t="s">
        <v>66</v>
      </c>
      <c r="B39" s="14"/>
      <c r="C39" s="16">
        <v>295</v>
      </c>
      <c r="D39" s="15">
        <v>243</v>
      </c>
      <c r="E39" s="17">
        <f t="shared" si="14"/>
        <v>0.82372881355932204</v>
      </c>
      <c r="F39" s="14">
        <f t="shared" si="15"/>
        <v>243</v>
      </c>
      <c r="G39" s="16">
        <v>122470</v>
      </c>
      <c r="H39" s="15">
        <v>95260</v>
      </c>
      <c r="I39" s="15">
        <v>34930</v>
      </c>
      <c r="J39" s="15">
        <v>4241</v>
      </c>
      <c r="K39" s="15">
        <v>95450</v>
      </c>
      <c r="L39" s="15">
        <v>5926.4</v>
      </c>
      <c r="M39" s="14">
        <v>87950</v>
      </c>
      <c r="N39" s="13">
        <f t="shared" si="16"/>
        <v>6.415939636878095</v>
      </c>
      <c r="O39" s="12">
        <f t="shared" si="17"/>
        <v>2.6403043773160884E-2</v>
      </c>
      <c r="P39" s="11">
        <f>IF(ISNUMBER(O39),O39,"")</f>
        <v>2.6403043773160884E-2</v>
      </c>
      <c r="U39" s="22">
        <f t="shared" si="5"/>
        <v>7.5554007710204651E-2</v>
      </c>
      <c r="V39" s="15">
        <f t="shared" si="0"/>
        <v>0</v>
      </c>
      <c r="Y39" s="22">
        <v>3.2720243643373795E-2</v>
      </c>
      <c r="Z39" s="15">
        <v>35</v>
      </c>
    </row>
    <row r="40" spans="1:35" x14ac:dyDescent="0.4">
      <c r="A40" s="18" t="s">
        <v>65</v>
      </c>
      <c r="B40" s="14" t="s">
        <v>64</v>
      </c>
      <c r="C40" s="16">
        <v>350</v>
      </c>
      <c r="D40" s="15">
        <v>210</v>
      </c>
      <c r="E40" s="17">
        <f t="shared" si="14"/>
        <v>0.6</v>
      </c>
      <c r="F40" s="14">
        <f t="shared" si="15"/>
        <v>210</v>
      </c>
      <c r="G40" s="16">
        <v>181437</v>
      </c>
      <c r="H40" s="15">
        <v>130635</v>
      </c>
      <c r="I40" s="15">
        <v>73364</v>
      </c>
      <c r="J40" s="15">
        <v>7630</v>
      </c>
      <c r="K40" s="15">
        <v>130635</v>
      </c>
      <c r="L40" s="15">
        <v>11908</v>
      </c>
      <c r="M40" s="14">
        <v>110586</v>
      </c>
      <c r="N40" s="13">
        <f t="shared" si="16"/>
        <v>6.6581913499344694</v>
      </c>
      <c r="O40" s="12">
        <f t="shared" si="17"/>
        <v>3.1705673094926043E-2</v>
      </c>
      <c r="P40" s="11">
        <f>IF(ISNUMBER(O40),O40,"")</f>
        <v>3.1705673094926043E-2</v>
      </c>
      <c r="U40" s="22">
        <f t="shared" si="5"/>
        <v>7.7776184407563606E-2</v>
      </c>
      <c r="V40" s="15">
        <f t="shared" si="0"/>
        <v>1</v>
      </c>
      <c r="Y40" s="22">
        <v>3.3889803443408938E-2</v>
      </c>
      <c r="Z40" s="15">
        <v>36</v>
      </c>
    </row>
    <row r="41" spans="1:35" x14ac:dyDescent="0.4">
      <c r="A41" s="18" t="s">
        <v>63</v>
      </c>
      <c r="B41" s="14" t="s">
        <v>62</v>
      </c>
      <c r="C41" s="16">
        <v>375</v>
      </c>
      <c r="D41" s="15">
        <v>243</v>
      </c>
      <c r="E41" s="17">
        <f t="shared" si="14"/>
        <v>0.64800000000000002</v>
      </c>
      <c r="F41" s="14">
        <f t="shared" si="15"/>
        <v>243</v>
      </c>
      <c r="G41" s="16">
        <v>204116</v>
      </c>
      <c r="H41" s="15">
        <v>149685</v>
      </c>
      <c r="I41" s="15">
        <v>73363</v>
      </c>
      <c r="J41" s="15">
        <v>6871</v>
      </c>
      <c r="K41" s="15">
        <v>149685</v>
      </c>
      <c r="L41" s="15">
        <v>10093</v>
      </c>
      <c r="M41" s="14">
        <v>131542</v>
      </c>
      <c r="N41" s="13">
        <f t="shared" si="16"/>
        <v>7.9218454373453637</v>
      </c>
      <c r="O41" s="12">
        <f t="shared" si="17"/>
        <v>3.2600186984960346E-2</v>
      </c>
      <c r="P41" s="19"/>
      <c r="U41" s="22">
        <f t="shared" si="5"/>
        <v>7.9998361104922561E-2</v>
      </c>
      <c r="V41" s="15">
        <f t="shared" si="0"/>
        <v>0</v>
      </c>
      <c r="Y41" s="22">
        <v>3.409633350760348E-2</v>
      </c>
      <c r="Z41" s="15">
        <v>37</v>
      </c>
    </row>
    <row r="42" spans="1:35" ht="13.5" thickBot="1" x14ac:dyDescent="0.45">
      <c r="A42" s="18" t="s">
        <v>61</v>
      </c>
      <c r="B42" s="14"/>
      <c r="C42" s="16">
        <v>440</v>
      </c>
      <c r="D42" s="15">
        <v>305</v>
      </c>
      <c r="E42" s="17">
        <f t="shared" si="14"/>
        <v>0.69318181818181823</v>
      </c>
      <c r="F42" s="14">
        <f t="shared" si="15"/>
        <v>305</v>
      </c>
      <c r="G42" s="16">
        <v>242630</v>
      </c>
      <c r="H42" s="15">
        <v>190470</v>
      </c>
      <c r="I42" s="15">
        <v>94240</v>
      </c>
      <c r="J42" s="15">
        <v>6112</v>
      </c>
      <c r="K42" s="15">
        <v>190500</v>
      </c>
      <c r="L42" s="15">
        <v>11973</v>
      </c>
      <c r="M42" s="14">
        <v>153201</v>
      </c>
      <c r="N42" s="13">
        <f t="shared" si="16"/>
        <v>8.5340314136125635</v>
      </c>
      <c r="O42" s="12">
        <f t="shared" si="17"/>
        <v>2.7980430864303487E-2</v>
      </c>
      <c r="P42" s="11">
        <f t="shared" ref="P42:P49" si="18">IF(ISNUMBER(O42),O42,"")</f>
        <v>2.7980430864303487E-2</v>
      </c>
      <c r="U42" s="2"/>
      <c r="Y42" s="22">
        <v>3.4227939575987125E-2</v>
      </c>
      <c r="Z42" s="15">
        <v>38</v>
      </c>
    </row>
    <row r="43" spans="1:35" ht="13.5" thickBot="1" x14ac:dyDescent="0.45">
      <c r="A43" s="18" t="s">
        <v>60</v>
      </c>
      <c r="B43" s="14" t="s">
        <v>59</v>
      </c>
      <c r="C43" s="16">
        <v>440</v>
      </c>
      <c r="D43" s="15">
        <v>305</v>
      </c>
      <c r="E43" s="17">
        <f t="shared" si="14"/>
        <v>0.69318181818181823</v>
      </c>
      <c r="F43" s="14">
        <f t="shared" si="15"/>
        <v>305</v>
      </c>
      <c r="G43" s="16">
        <v>233600</v>
      </c>
      <c r="H43" s="15">
        <v>190500</v>
      </c>
      <c r="I43" s="15">
        <v>94240</v>
      </c>
      <c r="J43" s="15">
        <v>5848</v>
      </c>
      <c r="K43" s="15">
        <v>190500</v>
      </c>
      <c r="L43" s="15">
        <v>12038</v>
      </c>
      <c r="M43" s="14">
        <v>150952</v>
      </c>
      <c r="N43" s="13">
        <f t="shared" si="16"/>
        <v>7.3700410396716816</v>
      </c>
      <c r="O43" s="12">
        <f t="shared" si="17"/>
        <v>2.4164068982530103E-2</v>
      </c>
      <c r="P43" s="11">
        <f t="shared" si="18"/>
        <v>2.4164068982530103E-2</v>
      </c>
      <c r="U43" s="2"/>
      <c r="V43" s="25">
        <f>SUM(V5:V41)</f>
        <v>61</v>
      </c>
      <c r="Y43" s="22">
        <v>3.4299723455352593E-2</v>
      </c>
      <c r="Z43" s="15">
        <v>39</v>
      </c>
    </row>
    <row r="44" spans="1:35" x14ac:dyDescent="0.4">
      <c r="A44" s="18" t="s">
        <v>58</v>
      </c>
      <c r="B44" s="14"/>
      <c r="C44" s="16">
        <v>440</v>
      </c>
      <c r="D44" s="15">
        <v>301</v>
      </c>
      <c r="E44" s="17">
        <f t="shared" si="14"/>
        <v>0.68409090909090908</v>
      </c>
      <c r="F44" s="14">
        <f t="shared" si="15"/>
        <v>301</v>
      </c>
      <c r="G44" s="16">
        <v>347452</v>
      </c>
      <c r="H44" s="15">
        <v>209106</v>
      </c>
      <c r="I44" s="15">
        <v>145538</v>
      </c>
      <c r="J44" s="15">
        <v>14047</v>
      </c>
      <c r="K44" s="15">
        <v>209106</v>
      </c>
      <c r="L44" s="15">
        <v>15029</v>
      </c>
      <c r="M44" s="14">
        <v>202075</v>
      </c>
      <c r="N44" s="13">
        <f t="shared" si="16"/>
        <v>9.8487933366555129</v>
      </c>
      <c r="O44" s="12">
        <f t="shared" si="17"/>
        <v>3.2720243643373795E-2</v>
      </c>
      <c r="P44" s="11">
        <f t="shared" si="18"/>
        <v>3.2720243643373795E-2</v>
      </c>
      <c r="U44" s="2"/>
      <c r="Y44" s="22">
        <v>3.4518447252955498E-2</v>
      </c>
      <c r="Z44" s="15">
        <v>40</v>
      </c>
    </row>
    <row r="45" spans="1:35" x14ac:dyDescent="0.4">
      <c r="A45" s="18" t="s">
        <v>57</v>
      </c>
      <c r="B45" s="14"/>
      <c r="C45" s="16">
        <v>550</v>
      </c>
      <c r="D45" s="15">
        <v>368</v>
      </c>
      <c r="E45" s="17">
        <f t="shared" si="14"/>
        <v>0.66909090909090907</v>
      </c>
      <c r="F45" s="14">
        <f t="shared" si="15"/>
        <v>368</v>
      </c>
      <c r="G45" s="16">
        <v>299370</v>
      </c>
      <c r="H45" s="15">
        <v>224530</v>
      </c>
      <c r="I45" s="15">
        <v>135880</v>
      </c>
      <c r="J45" s="15">
        <v>6750.54</v>
      </c>
      <c r="K45" s="15">
        <v>224540</v>
      </c>
      <c r="L45" s="15">
        <v>15269.7</v>
      </c>
      <c r="M45" s="14">
        <v>162046</v>
      </c>
      <c r="N45" s="13">
        <f t="shared" si="16"/>
        <v>11.086520485768544</v>
      </c>
      <c r="O45" s="12">
        <f t="shared" si="17"/>
        <v>3.0126414363501476E-2</v>
      </c>
      <c r="P45" s="11">
        <f t="shared" si="18"/>
        <v>3.0126414363501476E-2</v>
      </c>
      <c r="U45" s="2"/>
      <c r="Y45" s="22">
        <v>3.7568974288733202E-2</v>
      </c>
      <c r="Z45" s="15">
        <v>41</v>
      </c>
    </row>
    <row r="46" spans="1:35" x14ac:dyDescent="0.4">
      <c r="A46" s="18" t="s">
        <v>56</v>
      </c>
      <c r="B46" s="14" t="s">
        <v>55</v>
      </c>
      <c r="C46" s="16">
        <v>550</v>
      </c>
      <c r="D46" s="15">
        <v>365</v>
      </c>
      <c r="E46" s="17">
        <f t="shared" si="14"/>
        <v>0.66363636363636369</v>
      </c>
      <c r="F46" s="14">
        <f t="shared" si="15"/>
        <v>365</v>
      </c>
      <c r="G46" s="16">
        <v>351535</v>
      </c>
      <c r="H46" s="15">
        <v>237682</v>
      </c>
      <c r="I46" s="15">
        <v>145540</v>
      </c>
      <c r="J46" s="15">
        <v>10533</v>
      </c>
      <c r="K46" s="15">
        <v>237682</v>
      </c>
      <c r="L46" s="15">
        <v>14585</v>
      </c>
      <c r="M46" s="14">
        <v>206389</v>
      </c>
      <c r="N46" s="13">
        <f t="shared" si="16"/>
        <v>10.80917117630305</v>
      </c>
      <c r="O46" s="12">
        <f t="shared" si="17"/>
        <v>2.9614167606309725E-2</v>
      </c>
      <c r="P46" s="11">
        <f t="shared" si="18"/>
        <v>2.9614167606309725E-2</v>
      </c>
      <c r="U46" s="2"/>
      <c r="Y46" s="22">
        <v>3.7942771431868014E-2</v>
      </c>
      <c r="Z46" s="15">
        <v>42</v>
      </c>
    </row>
    <row r="47" spans="1:35" x14ac:dyDescent="0.4">
      <c r="A47" s="18" t="s">
        <v>54</v>
      </c>
      <c r="B47" s="14" t="s">
        <v>52</v>
      </c>
      <c r="C47" s="16">
        <v>375</v>
      </c>
      <c r="D47" s="15">
        <v>242</v>
      </c>
      <c r="E47" s="17">
        <f t="shared" si="14"/>
        <v>0.64533333333333331</v>
      </c>
      <c r="F47" s="14">
        <f t="shared" si="15"/>
        <v>242</v>
      </c>
      <c r="G47" s="16">
        <v>227930</v>
      </c>
      <c r="H47" s="15">
        <v>161025</v>
      </c>
      <c r="I47" s="15">
        <v>101343</v>
      </c>
      <c r="J47" s="15">
        <v>10186</v>
      </c>
      <c r="K47" s="15">
        <v>161025</v>
      </c>
      <c r="L47" s="15">
        <v>17536</v>
      </c>
      <c r="M47" s="14">
        <v>127008</v>
      </c>
      <c r="N47" s="13">
        <f t="shared" si="16"/>
        <v>6.5683290791282154</v>
      </c>
      <c r="O47" s="12">
        <f t="shared" si="17"/>
        <v>2.7141855698876925E-2</v>
      </c>
      <c r="P47" s="11">
        <f t="shared" si="18"/>
        <v>2.7141855698876925E-2</v>
      </c>
      <c r="U47" s="2"/>
      <c r="Y47" s="22">
        <v>3.8811771238200996E-2</v>
      </c>
      <c r="Z47" s="15">
        <v>43</v>
      </c>
    </row>
    <row r="48" spans="1:35" x14ac:dyDescent="0.4">
      <c r="A48" s="18" t="s">
        <v>53</v>
      </c>
      <c r="B48" s="14" t="s">
        <v>52</v>
      </c>
      <c r="C48" s="16">
        <v>408</v>
      </c>
      <c r="D48" s="15">
        <v>290</v>
      </c>
      <c r="E48" s="17">
        <f t="shared" si="14"/>
        <v>0.71078431372549022</v>
      </c>
      <c r="F48" s="14">
        <f t="shared" si="15"/>
        <v>290</v>
      </c>
      <c r="G48" s="16">
        <v>254011</v>
      </c>
      <c r="H48" s="15">
        <v>181437</v>
      </c>
      <c r="I48" s="15">
        <v>101522</v>
      </c>
      <c r="J48" s="15">
        <v>9714</v>
      </c>
      <c r="K48" s="15">
        <v>181437</v>
      </c>
      <c r="L48" s="15">
        <v>15223</v>
      </c>
      <c r="M48" s="14">
        <v>152316</v>
      </c>
      <c r="N48" s="13">
        <f t="shared" si="16"/>
        <v>7.4710726786081931</v>
      </c>
      <c r="O48" s="12">
        <f t="shared" si="17"/>
        <v>2.5762319581407563E-2</v>
      </c>
      <c r="P48" s="11">
        <f t="shared" si="18"/>
        <v>2.5762319581407563E-2</v>
      </c>
      <c r="U48" s="2"/>
      <c r="Y48" s="22">
        <v>3.9020390811229357E-2</v>
      </c>
      <c r="Z48" s="15">
        <v>44</v>
      </c>
    </row>
    <row r="49" spans="1:26" x14ac:dyDescent="0.4">
      <c r="A49" s="18" t="s">
        <v>51</v>
      </c>
      <c r="B49" s="14"/>
      <c r="C49" s="16">
        <v>440</v>
      </c>
      <c r="D49" s="15">
        <v>330</v>
      </c>
      <c r="E49" s="17">
        <f t="shared" si="14"/>
        <v>0.75</v>
      </c>
      <c r="F49" s="14">
        <f t="shared" si="15"/>
        <v>330</v>
      </c>
      <c r="G49" s="16">
        <v>254011</v>
      </c>
      <c r="H49" s="15">
        <v>192776</v>
      </c>
      <c r="I49" s="15">
        <v>101522</v>
      </c>
      <c r="J49" s="15">
        <v>7704</v>
      </c>
      <c r="K49" s="15">
        <v>192686</v>
      </c>
      <c r="L49" s="15">
        <v>14964</v>
      </c>
      <c r="M49" s="14">
        <v>152363</v>
      </c>
      <c r="N49" s="13">
        <f t="shared" si="16"/>
        <v>7.9484683281412263</v>
      </c>
      <c r="O49" s="12">
        <f t="shared" si="17"/>
        <v>2.4086267661034021E-2</v>
      </c>
      <c r="P49" s="11">
        <f t="shared" si="18"/>
        <v>2.4086267661034021E-2</v>
      </c>
      <c r="U49" s="2"/>
      <c r="Y49" s="22">
        <v>3.9795338260375221E-2</v>
      </c>
      <c r="Z49" s="15">
        <v>45</v>
      </c>
    </row>
    <row r="50" spans="1:26" x14ac:dyDescent="0.4">
      <c r="A50" s="18" t="s">
        <v>50</v>
      </c>
      <c r="B50" s="14" t="s">
        <v>49</v>
      </c>
      <c r="C50" s="16">
        <v>410</v>
      </c>
      <c r="D50" s="15">
        <v>298</v>
      </c>
      <c r="E50" s="17">
        <f t="shared" si="14"/>
        <v>0.72682926829268291</v>
      </c>
      <c r="F50" s="14">
        <f t="shared" si="15"/>
        <v>298</v>
      </c>
      <c r="G50" s="16">
        <v>274655</v>
      </c>
      <c r="H50" s="15">
        <v>181440</v>
      </c>
      <c r="I50" s="15">
        <v>117356</v>
      </c>
      <c r="J50" s="15">
        <v>9538</v>
      </c>
      <c r="K50" s="15">
        <v>50741</v>
      </c>
      <c r="L50" s="15">
        <v>12038</v>
      </c>
      <c r="M50" s="14">
        <v>31852</v>
      </c>
      <c r="N50" s="13">
        <f t="shared" si="16"/>
        <v>9.7730132103166287</v>
      </c>
      <c r="O50" s="12">
        <f t="shared" si="17"/>
        <v>3.2795346343344391E-2</v>
      </c>
      <c r="P50" s="19"/>
      <c r="U50" s="2"/>
      <c r="Y50" s="22">
        <v>4.0145071456327446E-2</v>
      </c>
      <c r="Z50" s="15">
        <v>46</v>
      </c>
    </row>
    <row r="51" spans="1:26" x14ac:dyDescent="0.4">
      <c r="A51" s="18" t="s">
        <v>48</v>
      </c>
      <c r="B51" s="14" t="s">
        <v>47</v>
      </c>
      <c r="C51" s="16">
        <v>172</v>
      </c>
      <c r="D51" s="15">
        <v>143</v>
      </c>
      <c r="E51" s="17">
        <f t="shared" si="14"/>
        <v>0.83139534883720934</v>
      </c>
      <c r="F51" s="14">
        <f t="shared" si="15"/>
        <v>143</v>
      </c>
      <c r="G51" s="16">
        <v>63504</v>
      </c>
      <c r="H51" s="15">
        <v>50802</v>
      </c>
      <c r="I51" s="15">
        <v>17764</v>
      </c>
      <c r="J51" s="15">
        <v>2621</v>
      </c>
      <c r="K51" s="15">
        <v>17600</v>
      </c>
      <c r="L51" s="15">
        <v>4389</v>
      </c>
      <c r="M51" s="14">
        <v>12701</v>
      </c>
      <c r="N51" s="13">
        <f t="shared" si="16"/>
        <v>4.8462418924074777</v>
      </c>
      <c r="O51" s="12">
        <f t="shared" si="17"/>
        <v>3.3889803443408938E-2</v>
      </c>
      <c r="P51" s="11">
        <f>IF(ISNUMBER(O51),O51,"")</f>
        <v>3.3889803443408938E-2</v>
      </c>
      <c r="U51" s="2"/>
      <c r="Y51" s="22">
        <v>4.0692041522491333E-2</v>
      </c>
      <c r="Z51" s="15">
        <v>47</v>
      </c>
    </row>
    <row r="52" spans="1:26" x14ac:dyDescent="0.4">
      <c r="A52" s="18" t="s">
        <v>46</v>
      </c>
      <c r="B52" s="14"/>
      <c r="C52" s="16">
        <v>172</v>
      </c>
      <c r="D52" s="15">
        <v>155</v>
      </c>
      <c r="E52" s="17">
        <f t="shared" si="14"/>
        <v>0.90116279069767447</v>
      </c>
      <c r="F52" s="14">
        <f t="shared" si="15"/>
        <v>155</v>
      </c>
      <c r="G52" s="16">
        <v>70760</v>
      </c>
      <c r="H52" s="15">
        <v>58967</v>
      </c>
      <c r="I52" s="15">
        <v>17748</v>
      </c>
      <c r="J52" s="15">
        <v>2277.96</v>
      </c>
      <c r="K52" s="15">
        <v>18971</v>
      </c>
      <c r="L52" s="15">
        <v>4074.4</v>
      </c>
      <c r="M52" s="14">
        <v>13000</v>
      </c>
      <c r="N52" s="13">
        <f t="shared" si="16"/>
        <v>5.1770004741084135</v>
      </c>
      <c r="O52" s="12">
        <f t="shared" si="17"/>
        <v>3.3400003058763957E-2</v>
      </c>
      <c r="P52" s="21"/>
      <c r="U52" s="2"/>
      <c r="Y52" s="22">
        <v>4.0849673202614387E-2</v>
      </c>
      <c r="Z52" s="15">
        <v>48</v>
      </c>
    </row>
    <row r="53" spans="1:26" x14ac:dyDescent="0.4">
      <c r="A53" s="18" t="s">
        <v>45</v>
      </c>
      <c r="B53" s="14"/>
      <c r="C53" s="16">
        <v>40</v>
      </c>
      <c r="D53" s="15">
        <v>37</v>
      </c>
      <c r="E53" s="17">
        <f t="shared" si="14"/>
        <v>0.92500000000000004</v>
      </c>
      <c r="F53" s="14">
        <f t="shared" si="15"/>
        <v>37</v>
      </c>
      <c r="G53" s="16">
        <v>16465</v>
      </c>
      <c r="H53" s="15">
        <v>14515</v>
      </c>
      <c r="I53" s="15">
        <v>2576</v>
      </c>
      <c r="J53" s="15">
        <v>1259</v>
      </c>
      <c r="K53" s="15">
        <v>4178</v>
      </c>
      <c r="L53" s="15">
        <v>1956</v>
      </c>
      <c r="M53" s="14">
        <v>3552</v>
      </c>
      <c r="N53" s="13">
        <f t="shared" si="16"/>
        <v>1.5488482922954734</v>
      </c>
      <c r="O53" s="12">
        <f t="shared" si="17"/>
        <v>4.1860764656634415E-2</v>
      </c>
      <c r="P53" s="11">
        <f t="shared" ref="P53:P61" si="19">IF(ISNUMBER(O53),O53,"")</f>
        <v>4.1860764656634415E-2</v>
      </c>
      <c r="U53" s="2"/>
      <c r="Y53" s="22">
        <v>4.0969131878222771E-2</v>
      </c>
      <c r="Z53" s="15">
        <v>49</v>
      </c>
    </row>
    <row r="54" spans="1:26" x14ac:dyDescent="0.4">
      <c r="A54" s="18" t="s">
        <v>44</v>
      </c>
      <c r="B54" s="14" t="s">
        <v>43</v>
      </c>
      <c r="C54" s="16">
        <v>56</v>
      </c>
      <c r="D54" s="15">
        <v>50</v>
      </c>
      <c r="E54" s="17">
        <f t="shared" si="14"/>
        <v>0.8928571428571429</v>
      </c>
      <c r="F54" s="14">
        <f t="shared" si="15"/>
        <v>50</v>
      </c>
      <c r="G54" s="16">
        <v>19500</v>
      </c>
      <c r="H54" s="15">
        <v>17920</v>
      </c>
      <c r="I54" s="15">
        <v>2574</v>
      </c>
      <c r="J54" s="15">
        <v>715</v>
      </c>
      <c r="K54" s="15">
        <v>6223</v>
      </c>
      <c r="L54" s="15">
        <v>1700</v>
      </c>
      <c r="M54" s="14">
        <v>5289</v>
      </c>
      <c r="N54" s="13">
        <f t="shared" si="16"/>
        <v>2.2097902097902096</v>
      </c>
      <c r="O54" s="12">
        <f t="shared" si="17"/>
        <v>4.4195804195804191E-2</v>
      </c>
      <c r="P54" s="11">
        <f t="shared" si="19"/>
        <v>4.4195804195804191E-2</v>
      </c>
      <c r="U54" s="2"/>
      <c r="Y54" s="22">
        <v>4.1860764656634415E-2</v>
      </c>
      <c r="Z54" s="15">
        <v>50</v>
      </c>
    </row>
    <row r="55" spans="1:26" ht="14.25" x14ac:dyDescent="0.45">
      <c r="A55" s="18" t="s">
        <v>42</v>
      </c>
      <c r="B55" s="14" t="s">
        <v>40</v>
      </c>
      <c r="C55" s="16">
        <v>50</v>
      </c>
      <c r="D55" s="15">
        <v>50</v>
      </c>
      <c r="E55" s="17">
        <f t="shared" si="14"/>
        <v>1</v>
      </c>
      <c r="F55" s="14">
        <f t="shared" si="15"/>
        <v>50</v>
      </c>
      <c r="G55" s="16">
        <v>21523</v>
      </c>
      <c r="H55" s="15">
        <v>19142</v>
      </c>
      <c r="I55" s="15">
        <v>4161</v>
      </c>
      <c r="J55" s="15">
        <v>1019</v>
      </c>
      <c r="K55" s="15">
        <v>5480</v>
      </c>
      <c r="L55" s="15">
        <v>2593</v>
      </c>
      <c r="M55" s="14">
        <v>3800</v>
      </c>
      <c r="N55" s="13">
        <f t="shared" si="16"/>
        <v>2.3366045142296366</v>
      </c>
      <c r="O55" s="12">
        <f t="shared" si="17"/>
        <v>4.6732090284592728E-2</v>
      </c>
      <c r="P55" s="11">
        <f t="shared" si="19"/>
        <v>4.6732090284592728E-2</v>
      </c>
      <c r="U55" s="2"/>
      <c r="Y55" s="22">
        <v>4.3930021868166212E-2</v>
      </c>
      <c r="Z55" s="15">
        <v>51</v>
      </c>
    </row>
    <row r="56" spans="1:26" ht="14.25" x14ac:dyDescent="0.45">
      <c r="A56" s="18" t="s">
        <v>41</v>
      </c>
      <c r="B56" s="14" t="s">
        <v>40</v>
      </c>
      <c r="C56" s="16">
        <v>50</v>
      </c>
      <c r="D56" s="15">
        <v>50</v>
      </c>
      <c r="E56" s="17">
        <f t="shared" si="14"/>
        <v>1</v>
      </c>
      <c r="F56" s="14">
        <f t="shared" si="15"/>
        <v>50</v>
      </c>
      <c r="G56" s="16">
        <v>21523</v>
      </c>
      <c r="H56" s="15">
        <v>19142</v>
      </c>
      <c r="I56" s="15">
        <v>4255</v>
      </c>
      <c r="J56" s="15">
        <v>1061</v>
      </c>
      <c r="K56" s="24">
        <f>12000*0.4536</f>
        <v>5443.2</v>
      </c>
      <c r="L56" s="15">
        <v>2559</v>
      </c>
      <c r="M56" s="23">
        <f>8000*0.4536</f>
        <v>3628.8</v>
      </c>
      <c r="N56" s="13">
        <f t="shared" si="16"/>
        <v>2.2441093308199807</v>
      </c>
      <c r="O56" s="12">
        <f t="shared" si="17"/>
        <v>4.4882186616399616E-2</v>
      </c>
      <c r="P56" s="11">
        <f t="shared" si="19"/>
        <v>4.4882186616399616E-2</v>
      </c>
      <c r="U56" s="2"/>
      <c r="Y56" s="22">
        <v>4.4195804195804191E-2</v>
      </c>
      <c r="Z56" s="15">
        <v>52</v>
      </c>
    </row>
    <row r="57" spans="1:26" x14ac:dyDescent="0.4">
      <c r="A57" s="18" t="s">
        <v>39</v>
      </c>
      <c r="B57" s="14" t="s">
        <v>38</v>
      </c>
      <c r="C57" s="16">
        <v>78</v>
      </c>
      <c r="D57" s="15">
        <v>78</v>
      </c>
      <c r="E57" s="17">
        <f t="shared" si="14"/>
        <v>1</v>
      </c>
      <c r="F57" s="14">
        <f t="shared" si="15"/>
        <v>78</v>
      </c>
      <c r="G57" s="16">
        <v>32995</v>
      </c>
      <c r="H57" s="15">
        <v>28259</v>
      </c>
      <c r="I57" s="15">
        <v>8991</v>
      </c>
      <c r="J57" s="15">
        <v>1759</v>
      </c>
      <c r="K57" s="15">
        <v>8505</v>
      </c>
      <c r="L57" s="15">
        <v>4260</v>
      </c>
      <c r="M57" s="14">
        <v>4536</v>
      </c>
      <c r="N57" s="13">
        <f t="shared" si="16"/>
        <v>2.6924388857305286</v>
      </c>
      <c r="O57" s="12">
        <f t="shared" si="17"/>
        <v>3.4518447252955498E-2</v>
      </c>
      <c r="P57" s="11">
        <f t="shared" si="19"/>
        <v>3.4518447252955498E-2</v>
      </c>
      <c r="U57" s="2"/>
      <c r="Y57" s="22">
        <v>4.4396581671645924E-2</v>
      </c>
      <c r="Z57" s="15">
        <v>53</v>
      </c>
    </row>
    <row r="58" spans="1:26" x14ac:dyDescent="0.4">
      <c r="A58" s="18" t="s">
        <v>37</v>
      </c>
      <c r="B58" s="14" t="s">
        <v>36</v>
      </c>
      <c r="C58" s="16">
        <v>90</v>
      </c>
      <c r="D58" s="15">
        <v>90</v>
      </c>
      <c r="E58" s="17">
        <f t="shared" si="14"/>
        <v>1</v>
      </c>
      <c r="F58" s="14">
        <f t="shared" si="15"/>
        <v>90</v>
      </c>
      <c r="G58" s="16">
        <v>38329</v>
      </c>
      <c r="H58" s="15">
        <v>31752</v>
      </c>
      <c r="I58" s="15">
        <v>8888</v>
      </c>
      <c r="J58" s="15">
        <v>1926</v>
      </c>
      <c r="K58" s="15">
        <v>9979</v>
      </c>
      <c r="L58" s="15">
        <v>3630</v>
      </c>
      <c r="M58" s="14">
        <v>6940</v>
      </c>
      <c r="N58" s="13">
        <f t="shared" si="16"/>
        <v>3.4148494288681213</v>
      </c>
      <c r="O58" s="12">
        <f t="shared" si="17"/>
        <v>3.7942771431868014E-2</v>
      </c>
      <c r="P58" s="11">
        <f t="shared" si="19"/>
        <v>3.7942771431868014E-2</v>
      </c>
      <c r="U58" s="2"/>
      <c r="Y58" s="22">
        <v>4.4882186616399616E-2</v>
      </c>
      <c r="Z58" s="15">
        <v>54</v>
      </c>
    </row>
    <row r="59" spans="1:26" x14ac:dyDescent="0.4">
      <c r="A59" s="18" t="s">
        <v>35</v>
      </c>
      <c r="B59" s="14"/>
      <c r="C59" s="16">
        <v>104</v>
      </c>
      <c r="D59" s="15">
        <v>104</v>
      </c>
      <c r="E59" s="17">
        <f t="shared" si="14"/>
        <v>1</v>
      </c>
      <c r="F59" s="14">
        <f t="shared" si="15"/>
        <v>104</v>
      </c>
      <c r="G59" s="16">
        <v>41640</v>
      </c>
      <c r="H59" s="15">
        <v>35153</v>
      </c>
      <c r="I59" s="15">
        <v>8822</v>
      </c>
      <c r="J59" s="15">
        <v>2222</v>
      </c>
      <c r="K59" s="15">
        <v>11975</v>
      </c>
      <c r="L59" s="15">
        <v>3510</v>
      </c>
      <c r="M59" s="14">
        <v>9639</v>
      </c>
      <c r="N59" s="13">
        <f t="shared" si="16"/>
        <v>2.9194419441944186</v>
      </c>
      <c r="O59" s="12">
        <f t="shared" si="17"/>
        <v>2.8071557155715562E-2</v>
      </c>
      <c r="P59" s="11">
        <f t="shared" si="19"/>
        <v>2.8071557155715562E-2</v>
      </c>
      <c r="U59" s="2"/>
      <c r="Y59" s="22">
        <v>4.6377911388710544E-2</v>
      </c>
      <c r="Z59" s="15">
        <v>55</v>
      </c>
    </row>
    <row r="60" spans="1:26" x14ac:dyDescent="0.4">
      <c r="A60" s="18" t="s">
        <v>34</v>
      </c>
      <c r="B60" s="14" t="s">
        <v>33</v>
      </c>
      <c r="C60" s="16">
        <v>39</v>
      </c>
      <c r="D60" s="15">
        <v>37</v>
      </c>
      <c r="E60" s="17">
        <f t="shared" si="14"/>
        <v>0.94871794871794868</v>
      </c>
      <c r="F60" s="14">
        <f t="shared" si="15"/>
        <v>37</v>
      </c>
      <c r="G60" s="16">
        <v>15650</v>
      </c>
      <c r="H60" s="15">
        <v>14061</v>
      </c>
      <c r="I60" s="15">
        <v>2576</v>
      </c>
      <c r="J60" s="15">
        <v>926</v>
      </c>
      <c r="K60" s="15">
        <v>3813</v>
      </c>
      <c r="L60" s="15">
        <v>1991</v>
      </c>
      <c r="M60" s="14">
        <v>2750</v>
      </c>
      <c r="N60" s="13">
        <f t="shared" si="16"/>
        <v>1.7159827213822902</v>
      </c>
      <c r="O60" s="12">
        <f t="shared" si="17"/>
        <v>4.6377911388710544E-2</v>
      </c>
      <c r="P60" s="11">
        <f t="shared" si="19"/>
        <v>4.6377911388710544E-2</v>
      </c>
      <c r="U60" s="2"/>
      <c r="Y60" s="22">
        <v>4.6732090284592728E-2</v>
      </c>
      <c r="Z60" s="15">
        <v>56</v>
      </c>
    </row>
    <row r="61" spans="1:26" x14ac:dyDescent="0.4">
      <c r="A61" s="18" t="s">
        <v>32</v>
      </c>
      <c r="B61" s="14" t="s">
        <v>31</v>
      </c>
      <c r="C61" s="16">
        <v>86</v>
      </c>
      <c r="D61" s="15">
        <v>82</v>
      </c>
      <c r="E61" s="17">
        <f t="shared" si="14"/>
        <v>0.95348837209302328</v>
      </c>
      <c r="F61" s="14">
        <f t="shared" si="15"/>
        <v>82</v>
      </c>
      <c r="G61" s="16">
        <v>29257</v>
      </c>
      <c r="H61" s="15">
        <v>25855</v>
      </c>
      <c r="I61" s="15">
        <v>5318</v>
      </c>
      <c r="J61" s="15">
        <v>1396</v>
      </c>
      <c r="K61" s="15">
        <v>8500</v>
      </c>
      <c r="L61" s="15">
        <v>2847</v>
      </c>
      <c r="M61" s="14">
        <v>6468</v>
      </c>
      <c r="N61" s="13">
        <f t="shared" si="16"/>
        <v>2.4369627507163325</v>
      </c>
      <c r="O61" s="12">
        <f t="shared" si="17"/>
        <v>2.9719057935565032E-2</v>
      </c>
      <c r="P61" s="11">
        <f t="shared" si="19"/>
        <v>2.9719057935565032E-2</v>
      </c>
      <c r="U61" s="2"/>
      <c r="Y61" s="22">
        <v>4.9086982132338502E-2</v>
      </c>
      <c r="Z61" s="15">
        <v>57</v>
      </c>
    </row>
    <row r="62" spans="1:26" x14ac:dyDescent="0.4">
      <c r="A62" s="20" t="s">
        <v>30</v>
      </c>
      <c r="B62" s="14" t="s">
        <v>29</v>
      </c>
      <c r="C62" s="16">
        <v>19</v>
      </c>
      <c r="D62" s="15">
        <v>19</v>
      </c>
      <c r="E62" s="17">
        <f t="shared" si="14"/>
        <v>1</v>
      </c>
      <c r="F62" s="14">
        <f t="shared" si="15"/>
        <v>19</v>
      </c>
      <c r="G62" s="16">
        <v>5670</v>
      </c>
      <c r="H62" s="15">
        <f>1928+2653</f>
        <v>4581</v>
      </c>
      <c r="I62" s="15">
        <v>1159</v>
      </c>
      <c r="J62" s="15">
        <v>92.6</v>
      </c>
      <c r="K62" s="15">
        <v>1649</v>
      </c>
      <c r="L62" s="15">
        <v>370.4</v>
      </c>
      <c r="M62" s="14">
        <v>1378</v>
      </c>
      <c r="N62" s="13">
        <f t="shared" si="16"/>
        <v>11.76025917926566</v>
      </c>
      <c r="O62" s="12">
        <f t="shared" si="17"/>
        <v>0.61896100943503474</v>
      </c>
      <c r="P62" s="19"/>
      <c r="U62" s="2"/>
      <c r="Y62" s="22">
        <v>4.9617652209444862E-2</v>
      </c>
      <c r="Z62" s="15">
        <v>58</v>
      </c>
    </row>
    <row r="63" spans="1:26" x14ac:dyDescent="0.4">
      <c r="A63" s="20" t="s">
        <v>28</v>
      </c>
      <c r="B63" s="14" t="s">
        <v>27</v>
      </c>
      <c r="C63" s="16">
        <v>19</v>
      </c>
      <c r="D63" s="15">
        <v>19</v>
      </c>
      <c r="E63" s="17">
        <f t="shared" si="14"/>
        <v>1</v>
      </c>
      <c r="F63" s="14">
        <f t="shared" si="15"/>
        <v>19</v>
      </c>
      <c r="G63" s="16">
        <v>6400</v>
      </c>
      <c r="H63" s="15">
        <v>5940</v>
      </c>
      <c r="I63" s="15">
        <v>1885</v>
      </c>
      <c r="J63" s="15">
        <v>396</v>
      </c>
      <c r="K63" s="15">
        <v>1960</v>
      </c>
      <c r="L63" s="15">
        <v>2363</v>
      </c>
      <c r="M63" s="14">
        <v>547</v>
      </c>
      <c r="N63" s="13">
        <f t="shared" si="16"/>
        <v>1.161616161616162</v>
      </c>
      <c r="O63" s="12">
        <f t="shared" si="17"/>
        <v>6.1137692716640102E-2</v>
      </c>
      <c r="P63" s="11">
        <f>IF(ISNUMBER(O63),O63,"")</f>
        <v>6.1137692716640102E-2</v>
      </c>
      <c r="U63" s="2"/>
      <c r="Y63" s="22">
        <v>6.1137692716640102E-2</v>
      </c>
      <c r="Z63" s="15">
        <v>59</v>
      </c>
    </row>
    <row r="64" spans="1:26" x14ac:dyDescent="0.4">
      <c r="A64" s="18" t="s">
        <v>26</v>
      </c>
      <c r="B64" s="14" t="s">
        <v>24</v>
      </c>
      <c r="C64" s="16">
        <v>78</v>
      </c>
      <c r="D64" s="15">
        <v>74</v>
      </c>
      <c r="E64" s="17">
        <f t="shared" si="14"/>
        <v>0.94871794871794868</v>
      </c>
      <c r="F64" s="14">
        <f t="shared" si="15"/>
        <v>74</v>
      </c>
      <c r="G64" s="16">
        <v>35990</v>
      </c>
      <c r="H64" s="15">
        <v>29600</v>
      </c>
      <c r="I64" s="15">
        <v>9428</v>
      </c>
      <c r="J64" s="15">
        <v>1945</v>
      </c>
      <c r="K64" s="15">
        <v>9400</v>
      </c>
      <c r="L64" s="15">
        <v>4074</v>
      </c>
      <c r="M64" s="14">
        <v>5800</v>
      </c>
      <c r="N64" s="13">
        <f t="shared" si="16"/>
        <v>3.2853470437017984</v>
      </c>
      <c r="O64" s="12">
        <f t="shared" si="17"/>
        <v>4.4396581671645924E-2</v>
      </c>
      <c r="P64" s="11">
        <f>IF(ISNUMBER(O64),O64,"")</f>
        <v>4.4396581671645924E-2</v>
      </c>
      <c r="U64" s="2"/>
      <c r="Y64" s="22">
        <v>6.2073246430788369E-2</v>
      </c>
      <c r="Z64" s="15">
        <v>60</v>
      </c>
    </row>
    <row r="65" spans="1:26" x14ac:dyDescent="0.4">
      <c r="A65" s="18" t="s">
        <v>25</v>
      </c>
      <c r="B65" s="14" t="s">
        <v>24</v>
      </c>
      <c r="C65" s="16">
        <v>84</v>
      </c>
      <c r="D65" s="15">
        <v>78</v>
      </c>
      <c r="E65" s="17">
        <f t="shared" si="14"/>
        <v>0.9285714285714286</v>
      </c>
      <c r="F65" s="14">
        <f t="shared" si="15"/>
        <v>78</v>
      </c>
      <c r="G65" s="16">
        <v>37500</v>
      </c>
      <c r="H65" s="15">
        <v>31700</v>
      </c>
      <c r="I65" s="15">
        <v>9428</v>
      </c>
      <c r="J65" s="15">
        <v>1815</v>
      </c>
      <c r="K65" s="15">
        <v>10200</v>
      </c>
      <c r="L65" s="15">
        <v>3852</v>
      </c>
      <c r="M65" s="14">
        <v>6600</v>
      </c>
      <c r="N65" s="13">
        <f t="shared" si="16"/>
        <v>3.1955922865013764</v>
      </c>
      <c r="O65" s="12">
        <f t="shared" si="17"/>
        <v>4.0969131878222771E-2</v>
      </c>
      <c r="P65" s="11">
        <f>IF(ISNUMBER(O65),O65,"")</f>
        <v>4.0969131878222771E-2</v>
      </c>
      <c r="U65" s="2"/>
      <c r="Y65" s="22">
        <v>7.9802069275753479E-2</v>
      </c>
      <c r="Z65" s="15">
        <v>61</v>
      </c>
    </row>
    <row r="66" spans="1:26" x14ac:dyDescent="0.4">
      <c r="A66" s="18" t="s">
        <v>23</v>
      </c>
      <c r="B66" s="14" t="s">
        <v>22</v>
      </c>
      <c r="C66" s="16">
        <v>106</v>
      </c>
      <c r="D66" s="15">
        <v>100</v>
      </c>
      <c r="E66" s="17">
        <f t="shared" si="14"/>
        <v>0.94339622641509435</v>
      </c>
      <c r="F66" s="14">
        <f t="shared" si="15"/>
        <v>100</v>
      </c>
      <c r="G66" s="16">
        <v>47790</v>
      </c>
      <c r="H66" s="15">
        <v>40800</v>
      </c>
      <c r="I66" s="15">
        <v>13000</v>
      </c>
      <c r="J66" s="15">
        <v>1801</v>
      </c>
      <c r="K66" s="15">
        <v>12900</v>
      </c>
      <c r="L66" s="15">
        <v>4352</v>
      </c>
      <c r="M66" s="14">
        <v>6800</v>
      </c>
      <c r="N66" s="13">
        <f t="shared" si="16"/>
        <v>3.8811771238200996</v>
      </c>
      <c r="O66" s="12">
        <f t="shared" si="17"/>
        <v>3.8811771238200996E-2</v>
      </c>
      <c r="P66" s="11">
        <f>IF(ISNUMBER(O66),O66,"")</f>
        <v>3.8811771238200996E-2</v>
      </c>
      <c r="U66" s="2"/>
      <c r="Y66" s="19"/>
    </row>
    <row r="67" spans="1:26" x14ac:dyDescent="0.4">
      <c r="A67" s="18" t="s">
        <v>21</v>
      </c>
      <c r="B67" s="14" t="s">
        <v>20</v>
      </c>
      <c r="C67" s="16">
        <v>114</v>
      </c>
      <c r="D67" s="15">
        <v>104</v>
      </c>
      <c r="E67" s="17">
        <f t="shared" si="14"/>
        <v>0.91228070175438591</v>
      </c>
      <c r="F67" s="14">
        <f t="shared" si="15"/>
        <v>104</v>
      </c>
      <c r="G67" s="16">
        <v>56400</v>
      </c>
      <c r="H67" s="15">
        <v>46700</v>
      </c>
      <c r="I67" s="15">
        <v>13500</v>
      </c>
      <c r="J67" s="15">
        <v>3982</v>
      </c>
      <c r="K67" s="15">
        <v>13700</v>
      </c>
      <c r="L67" s="15">
        <v>6334</v>
      </c>
      <c r="M67" s="14">
        <v>9600</v>
      </c>
      <c r="N67" s="13">
        <f t="shared" si="16"/>
        <v>2.4359618282270215</v>
      </c>
      <c r="O67" s="12">
        <f t="shared" si="17"/>
        <v>2.3422709886798284E-2</v>
      </c>
      <c r="P67" s="19"/>
      <c r="U67" s="2"/>
      <c r="Y67" s="19"/>
    </row>
    <row r="68" spans="1:26" x14ac:dyDescent="0.4">
      <c r="A68" s="18" t="s">
        <v>19</v>
      </c>
      <c r="B68" s="14" t="s">
        <v>18</v>
      </c>
      <c r="C68" s="16">
        <v>118</v>
      </c>
      <c r="D68" s="15">
        <v>124</v>
      </c>
      <c r="E68" s="17">
        <f t="shared" si="14"/>
        <v>1.0508474576271187</v>
      </c>
      <c r="F68" s="14">
        <f t="shared" si="15"/>
        <v>124</v>
      </c>
      <c r="G68" s="16">
        <v>48790</v>
      </c>
      <c r="H68" s="15">
        <v>42500</v>
      </c>
      <c r="I68" s="15">
        <v>13100</v>
      </c>
      <c r="J68" s="15">
        <v>1482</v>
      </c>
      <c r="K68" s="15">
        <v>13800</v>
      </c>
      <c r="L68" s="15">
        <v>4352</v>
      </c>
      <c r="M68" s="14">
        <v>7000</v>
      </c>
      <c r="N68" s="13">
        <f t="shared" si="16"/>
        <v>4.2442645074224039</v>
      </c>
      <c r="O68" s="12">
        <f t="shared" si="17"/>
        <v>3.4227939575987125E-2</v>
      </c>
      <c r="P68" s="11">
        <f>IF(ISNUMBER(O68),O68,"")</f>
        <v>3.4227939575987125E-2</v>
      </c>
      <c r="U68" s="2"/>
      <c r="Y68" s="19"/>
    </row>
    <row r="69" spans="1:26" x14ac:dyDescent="0.4">
      <c r="A69" s="18" t="s">
        <v>17</v>
      </c>
      <c r="B69" s="14" t="s">
        <v>16</v>
      </c>
      <c r="C69" s="16">
        <v>146</v>
      </c>
      <c r="D69" s="15">
        <v>104</v>
      </c>
      <c r="E69" s="17">
        <f t="shared" si="14"/>
        <v>0.71232876712328763</v>
      </c>
      <c r="F69" s="14">
        <f t="shared" si="15"/>
        <v>104</v>
      </c>
      <c r="G69" s="16">
        <v>61500</v>
      </c>
      <c r="H69" s="15">
        <v>51850</v>
      </c>
      <c r="I69" s="15">
        <v>13690</v>
      </c>
      <c r="J69" s="15">
        <v>3519</v>
      </c>
      <c r="K69" s="15">
        <v>16100</v>
      </c>
      <c r="L69" s="15">
        <v>5649</v>
      </c>
      <c r="M69" s="14">
        <v>12000</v>
      </c>
      <c r="N69" s="13">
        <f t="shared" si="16"/>
        <v>2.7422563228189816</v>
      </c>
      <c r="O69" s="12">
        <f t="shared" si="17"/>
        <v>2.6367849257874824E-2</v>
      </c>
      <c r="P69" s="21"/>
      <c r="U69" s="2"/>
      <c r="Y69" s="19"/>
      <c r="Z69" s="10"/>
    </row>
    <row r="70" spans="1:26" x14ac:dyDescent="0.4">
      <c r="A70" s="18" t="s">
        <v>15</v>
      </c>
      <c r="B70" s="14" t="s">
        <v>14</v>
      </c>
      <c r="C70" s="16">
        <v>30</v>
      </c>
      <c r="D70" s="15">
        <v>30</v>
      </c>
      <c r="E70" s="17">
        <f t="shared" ref="E70:E80" si="20" xml:space="preserve"> IF(AND(ISNUMBER(D70),ISNUMBER(C70)),D70/C70,"")</f>
        <v>1</v>
      </c>
      <c r="F70" s="14">
        <f t="shared" ref="F70:F80" si="21">D70</f>
        <v>30</v>
      </c>
      <c r="G70" s="16">
        <v>11500</v>
      </c>
      <c r="H70" s="15">
        <v>10500</v>
      </c>
      <c r="I70" s="15">
        <v>2622</v>
      </c>
      <c r="J70" s="15">
        <v>537</v>
      </c>
      <c r="K70" s="15">
        <v>3281</v>
      </c>
      <c r="L70" s="15">
        <v>2926</v>
      </c>
      <c r="M70" s="14">
        <v>1700</v>
      </c>
      <c r="N70" s="13">
        <f t="shared" ref="N70:N80" si="22">G70*(1-H70/G70)/J70</f>
        <v>1.8621973929236511</v>
      </c>
      <c r="O70" s="12">
        <f t="shared" ref="O70:O80" si="23">N70/F70</f>
        <v>6.2073246430788369E-2</v>
      </c>
      <c r="P70" s="11">
        <f>IF(ISNUMBER(O70),O70,"")</f>
        <v>6.2073246430788369E-2</v>
      </c>
      <c r="U70" s="2"/>
      <c r="Y70" s="19"/>
      <c r="Z70" s="10"/>
    </row>
    <row r="71" spans="1:26" ht="12.75" customHeight="1" x14ac:dyDescent="0.4">
      <c r="A71" s="18" t="s">
        <v>13</v>
      </c>
      <c r="B71" s="14"/>
      <c r="C71" s="16">
        <v>37</v>
      </c>
      <c r="D71" s="15">
        <v>37</v>
      </c>
      <c r="E71" s="17">
        <f t="shared" si="20"/>
        <v>1</v>
      </c>
      <c r="F71" s="14">
        <f t="shared" si="21"/>
        <v>37</v>
      </c>
      <c r="G71" s="16">
        <v>19000</v>
      </c>
      <c r="H71" s="15">
        <v>15600</v>
      </c>
      <c r="I71" s="15">
        <v>4173</v>
      </c>
      <c r="J71" s="15">
        <v>1852</v>
      </c>
      <c r="K71" s="15">
        <v>4290</v>
      </c>
      <c r="L71" s="15">
        <v>2593</v>
      </c>
      <c r="M71" s="14">
        <v>3500</v>
      </c>
      <c r="N71" s="13">
        <f t="shared" si="22"/>
        <v>1.83585313174946</v>
      </c>
      <c r="O71" s="12">
        <f t="shared" si="23"/>
        <v>4.9617652209444862E-2</v>
      </c>
      <c r="P71" s="11">
        <f>IF(ISNUMBER(O71),O71,"")</f>
        <v>4.9617652209444862E-2</v>
      </c>
      <c r="U71" s="2"/>
      <c r="Y71" s="19"/>
      <c r="Z71" s="10"/>
    </row>
    <row r="72" spans="1:26" ht="12.75" customHeight="1" x14ac:dyDescent="0.4">
      <c r="A72" s="18" t="s">
        <v>12</v>
      </c>
      <c r="B72" s="14"/>
      <c r="C72" s="16">
        <v>44</v>
      </c>
      <c r="D72" s="15">
        <v>44</v>
      </c>
      <c r="E72" s="17">
        <f t="shared" si="20"/>
        <v>1</v>
      </c>
      <c r="F72" s="14">
        <f t="shared" si="21"/>
        <v>44</v>
      </c>
      <c r="G72" s="16">
        <v>20100</v>
      </c>
      <c r="H72" s="15">
        <v>17100</v>
      </c>
      <c r="I72" s="15">
        <v>4173</v>
      </c>
      <c r="J72" s="15">
        <v>1389</v>
      </c>
      <c r="K72" s="15">
        <v>5350</v>
      </c>
      <c r="L72" s="15">
        <v>2408</v>
      </c>
      <c r="M72" s="14">
        <v>4200</v>
      </c>
      <c r="N72" s="13">
        <f t="shared" si="22"/>
        <v>2.159827213822894</v>
      </c>
      <c r="O72" s="12">
        <f t="shared" si="23"/>
        <v>4.9086982132338502E-2</v>
      </c>
      <c r="P72" s="11">
        <f>IF(ISNUMBER(O72),O72,"")</f>
        <v>4.9086982132338502E-2</v>
      </c>
      <c r="U72" s="2"/>
      <c r="Y72" s="19"/>
      <c r="Z72" s="10"/>
    </row>
    <row r="73" spans="1:26" ht="12.75" customHeight="1" x14ac:dyDescent="0.4">
      <c r="A73" s="18" t="s">
        <v>11</v>
      </c>
      <c r="B73" s="14" t="s">
        <v>10</v>
      </c>
      <c r="C73" s="16">
        <v>50</v>
      </c>
      <c r="D73" s="15">
        <v>50</v>
      </c>
      <c r="E73" s="17">
        <f t="shared" si="20"/>
        <v>1</v>
      </c>
      <c r="F73" s="14">
        <f t="shared" si="21"/>
        <v>50</v>
      </c>
      <c r="G73" s="16">
        <v>20600</v>
      </c>
      <c r="H73" s="15">
        <v>17100</v>
      </c>
      <c r="I73" s="15">
        <v>4173</v>
      </c>
      <c r="J73" s="15">
        <v>1759</v>
      </c>
      <c r="K73" s="15">
        <v>5250</v>
      </c>
      <c r="L73" s="15">
        <v>2222</v>
      </c>
      <c r="M73" s="14">
        <v>4600</v>
      </c>
      <c r="N73" s="13">
        <f t="shared" si="22"/>
        <v>1.9897669130187612</v>
      </c>
      <c r="O73" s="12">
        <f t="shared" si="23"/>
        <v>3.9795338260375221E-2</v>
      </c>
      <c r="P73" s="11">
        <f>IF(ISNUMBER(O73),O73,"")</f>
        <v>3.9795338260375221E-2</v>
      </c>
      <c r="U73" s="2"/>
      <c r="Y73" s="19"/>
      <c r="Z73" s="10"/>
    </row>
    <row r="74" spans="1:26" ht="12.75" customHeight="1" x14ac:dyDescent="0.4">
      <c r="A74" s="18" t="s">
        <v>9</v>
      </c>
      <c r="B74" s="14" t="s">
        <v>8</v>
      </c>
      <c r="C74" s="16">
        <v>109</v>
      </c>
      <c r="D74" s="15">
        <v>97</v>
      </c>
      <c r="E74" s="17">
        <f t="shared" si="20"/>
        <v>0.88990825688073394</v>
      </c>
      <c r="F74" s="14">
        <f t="shared" si="21"/>
        <v>97</v>
      </c>
      <c r="G74" s="16">
        <v>44450</v>
      </c>
      <c r="H74" s="15">
        <v>36740</v>
      </c>
      <c r="I74" s="15">
        <v>10293</v>
      </c>
      <c r="J74" s="15">
        <v>2037</v>
      </c>
      <c r="K74" s="15">
        <v>10700</v>
      </c>
      <c r="L74" s="15">
        <v>3111</v>
      </c>
      <c r="M74" s="14">
        <v>8400</v>
      </c>
      <c r="N74" s="13">
        <f t="shared" si="22"/>
        <v>3.7849779086892479</v>
      </c>
      <c r="O74" s="12">
        <f t="shared" si="23"/>
        <v>3.9020390811229357E-2</v>
      </c>
      <c r="P74" s="11">
        <f>IF(ISNUMBER(O74),O74,"")</f>
        <v>3.9020390811229357E-2</v>
      </c>
      <c r="U74" s="2"/>
      <c r="Y74" s="19"/>
      <c r="Z74" s="10"/>
    </row>
    <row r="75" spans="1:26" ht="12.5" customHeight="1" x14ac:dyDescent="0.4">
      <c r="A75" s="18" t="s">
        <v>7</v>
      </c>
      <c r="B75" s="14"/>
      <c r="C75" s="16">
        <v>80</v>
      </c>
      <c r="D75" s="15">
        <v>72</v>
      </c>
      <c r="E75" s="17">
        <f t="shared" si="20"/>
        <v>0.9</v>
      </c>
      <c r="F75" s="14">
        <f t="shared" si="21"/>
        <v>72</v>
      </c>
      <c r="G75" s="16">
        <v>41730</v>
      </c>
      <c r="H75" s="15">
        <v>33565</v>
      </c>
      <c r="I75" s="15">
        <v>10731</v>
      </c>
      <c r="J75" s="15">
        <v>2537</v>
      </c>
      <c r="K75" s="15">
        <v>9250</v>
      </c>
      <c r="L75" s="15">
        <v>3741</v>
      </c>
      <c r="M75" s="14">
        <v>6600</v>
      </c>
      <c r="N75" s="13">
        <f t="shared" si="22"/>
        <v>3.2183681513598743</v>
      </c>
      <c r="O75" s="12">
        <f t="shared" si="23"/>
        <v>4.4699557657776029E-2</v>
      </c>
      <c r="P75" s="19"/>
      <c r="U75" s="2"/>
      <c r="Y75" s="19"/>
    </row>
    <row r="76" spans="1:26" ht="12.5" customHeight="1" x14ac:dyDescent="0.4">
      <c r="A76" s="20" t="s">
        <v>6</v>
      </c>
      <c r="B76" s="14" t="s">
        <v>5</v>
      </c>
      <c r="C76" s="16">
        <v>56</v>
      </c>
      <c r="D76" s="15">
        <v>46</v>
      </c>
      <c r="E76" s="17">
        <f t="shared" si="20"/>
        <v>0.8214285714285714</v>
      </c>
      <c r="F76" s="14">
        <f t="shared" si="21"/>
        <v>46</v>
      </c>
      <c r="G76" s="16">
        <v>20820</v>
      </c>
      <c r="H76" s="15">
        <v>18900</v>
      </c>
      <c r="I76" s="15">
        <v>4120</v>
      </c>
      <c r="J76" s="15">
        <v>1111</v>
      </c>
      <c r="K76" s="15">
        <v>5500</v>
      </c>
      <c r="L76" s="15">
        <v>3197</v>
      </c>
      <c r="M76" s="14">
        <v>3333</v>
      </c>
      <c r="N76" s="13">
        <f t="shared" si="22"/>
        <v>1.7281728172817274</v>
      </c>
      <c r="O76" s="12">
        <f t="shared" si="23"/>
        <v>3.7568974288733202E-2</v>
      </c>
      <c r="P76" s="11">
        <f>IF(ISNUMBER(O76),O76,"")</f>
        <v>3.7568974288733202E-2</v>
      </c>
      <c r="U76" s="2"/>
      <c r="Y76" s="19"/>
    </row>
    <row r="77" spans="1:26" x14ac:dyDescent="0.4">
      <c r="A77" s="18" t="s">
        <v>4</v>
      </c>
      <c r="B77" s="14" t="s">
        <v>3</v>
      </c>
      <c r="C77" s="16">
        <v>37</v>
      </c>
      <c r="D77" s="15">
        <v>34</v>
      </c>
      <c r="E77" s="17">
        <f t="shared" si="20"/>
        <v>0.91891891891891897</v>
      </c>
      <c r="F77" s="14">
        <f t="shared" si="21"/>
        <v>34</v>
      </c>
      <c r="G77" s="16">
        <v>12700</v>
      </c>
      <c r="H77" s="15">
        <v>12340</v>
      </c>
      <c r="I77" s="15">
        <v>2580</v>
      </c>
      <c r="J77" s="15">
        <v>806</v>
      </c>
      <c r="K77" s="15">
        <v>11454</v>
      </c>
      <c r="L77" s="15">
        <v>2248</v>
      </c>
      <c r="M77" s="14">
        <v>10141</v>
      </c>
      <c r="N77" s="13">
        <f t="shared" si="22"/>
        <v>0.44665012406947846</v>
      </c>
      <c r="O77" s="12">
        <f t="shared" si="23"/>
        <v>1.313676835498466E-2</v>
      </c>
      <c r="P77" s="11">
        <f>IF(ISNUMBER(O77),O77,"")</f>
        <v>1.313676835498466E-2</v>
      </c>
      <c r="U77" s="2"/>
      <c r="Y77" s="19"/>
      <c r="Z77" s="10"/>
    </row>
    <row r="78" spans="1:26" ht="12.75" customHeight="1" x14ac:dyDescent="0.4">
      <c r="A78" s="18" t="s">
        <v>2</v>
      </c>
      <c r="B78" s="14"/>
      <c r="C78" s="16">
        <v>98</v>
      </c>
      <c r="D78" s="15">
        <v>100</v>
      </c>
      <c r="E78" s="17">
        <f t="shared" si="20"/>
        <v>1.0204081632653061</v>
      </c>
      <c r="F78" s="14">
        <f t="shared" si="21"/>
        <v>100</v>
      </c>
      <c r="G78" s="16">
        <v>45880</v>
      </c>
      <c r="H78" s="15">
        <v>40000</v>
      </c>
      <c r="I78" s="15">
        <v>12407</v>
      </c>
      <c r="J78" s="15">
        <v>1445</v>
      </c>
      <c r="K78" s="15">
        <v>12300</v>
      </c>
      <c r="L78" s="15">
        <v>5204</v>
      </c>
      <c r="M78" s="14">
        <v>5640</v>
      </c>
      <c r="N78" s="13">
        <f t="shared" si="22"/>
        <v>4.0692041522491333</v>
      </c>
      <c r="O78" s="12">
        <f t="shared" si="23"/>
        <v>4.0692041522491333E-2</v>
      </c>
      <c r="P78" s="11">
        <f>IF(ISNUMBER(O78),O78,"")</f>
        <v>4.0692041522491333E-2</v>
      </c>
      <c r="U78" s="2"/>
      <c r="Y78" s="19"/>
      <c r="Z78" s="10"/>
    </row>
    <row r="79" spans="1:26" ht="12.75" customHeight="1" x14ac:dyDescent="0.4">
      <c r="A79" s="18" t="s">
        <v>1</v>
      </c>
      <c r="B79" s="14"/>
      <c r="C79" s="16">
        <v>460</v>
      </c>
      <c r="D79" s="15">
        <v>300</v>
      </c>
      <c r="E79" s="17">
        <f t="shared" si="20"/>
        <v>0.65217391304347827</v>
      </c>
      <c r="F79" s="14">
        <f t="shared" si="21"/>
        <v>300</v>
      </c>
      <c r="G79" s="16">
        <v>242000</v>
      </c>
      <c r="H79" s="15">
        <v>181000</v>
      </c>
      <c r="I79" s="15">
        <v>76561</v>
      </c>
      <c r="J79" s="15">
        <v>7723</v>
      </c>
      <c r="K79" s="15">
        <v>45813</v>
      </c>
      <c r="L79" s="15">
        <v>17372</v>
      </c>
      <c r="M79" s="14">
        <v>0</v>
      </c>
      <c r="N79" s="13">
        <f t="shared" si="22"/>
        <v>7.8984850446717614</v>
      </c>
      <c r="O79" s="12">
        <f t="shared" si="23"/>
        <v>2.6328283482239204E-2</v>
      </c>
      <c r="P79" s="11">
        <f>IF(ISNUMBER(O79),O79,"")</f>
        <v>2.6328283482239204E-2</v>
      </c>
      <c r="U79" s="2"/>
      <c r="Z79" s="10"/>
    </row>
    <row r="80" spans="1:26" ht="13.5" thickBot="1" x14ac:dyDescent="0.45">
      <c r="A80" s="9" t="s">
        <v>0</v>
      </c>
      <c r="B80" s="5"/>
      <c r="C80" s="7">
        <v>290</v>
      </c>
      <c r="D80" s="6">
        <v>261</v>
      </c>
      <c r="E80" s="8">
        <f t="shared" si="20"/>
        <v>0.9</v>
      </c>
      <c r="F80" s="5">
        <f t="shared" si="21"/>
        <v>261</v>
      </c>
      <c r="G80" s="7">
        <v>158758</v>
      </c>
      <c r="H80" s="6">
        <v>126099</v>
      </c>
      <c r="I80" s="6">
        <v>50753</v>
      </c>
      <c r="J80" s="6">
        <v>4260</v>
      </c>
      <c r="K80" s="6">
        <v>126098</v>
      </c>
      <c r="L80" s="6">
        <v>7778</v>
      </c>
      <c r="M80" s="5">
        <v>108862</v>
      </c>
      <c r="N80" s="4">
        <f t="shared" si="22"/>
        <v>7.6664319248826294</v>
      </c>
      <c r="O80" s="3">
        <f t="shared" si="23"/>
        <v>2.9373302394186319E-2</v>
      </c>
      <c r="U80" s="2"/>
    </row>
    <row r="81" spans="21:21" x14ac:dyDescent="0.4">
      <c r="U81" s="2"/>
    </row>
    <row r="82" spans="21:21" x14ac:dyDescent="0.4">
      <c r="U82" s="2"/>
    </row>
    <row r="83" spans="21:21" x14ac:dyDescent="0.4">
      <c r="U83" s="2"/>
    </row>
  </sheetData>
  <autoFilter ref="A4:AI78" xr:uid="{00000000-0009-0000-0000-000002000000}"/>
  <mergeCells count="2">
    <mergeCell ref="AD29:AE29"/>
    <mergeCell ref="C2: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8"/>
  <sheetViews>
    <sheetView workbookViewId="0">
      <selection activeCell="D7" sqref="D7:D8"/>
    </sheetView>
  </sheetViews>
  <sheetFormatPr baseColWidth="10" defaultRowHeight="15.75" x14ac:dyDescent="0.5"/>
  <cols>
    <col min="1" max="1" width="30.1875" customWidth="1"/>
    <col min="2" max="2" width="19.6875" customWidth="1"/>
    <col min="3" max="3" width="18.5" customWidth="1"/>
    <col min="4" max="4" width="40.3125" customWidth="1"/>
  </cols>
  <sheetData>
    <row r="1" spans="1:10" ht="18" x14ac:dyDescent="0.55000000000000004">
      <c r="A1" s="170" t="s">
        <v>279</v>
      </c>
      <c r="B1" s="170"/>
    </row>
    <row r="2" spans="1:10" x14ac:dyDescent="0.5">
      <c r="A2" s="165" t="s">
        <v>280</v>
      </c>
      <c r="B2" s="165"/>
    </row>
    <row r="3" spans="1:10" x14ac:dyDescent="0.5">
      <c r="A3" s="165" t="s">
        <v>281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x14ac:dyDescent="0.5">
      <c r="A4" s="165" t="s">
        <v>282</v>
      </c>
      <c r="B4" s="165"/>
      <c r="C4" s="165"/>
      <c r="D4" s="165"/>
      <c r="E4" s="165"/>
      <c r="F4" s="165"/>
      <c r="G4" s="165"/>
      <c r="H4" s="165"/>
      <c r="I4" s="165"/>
      <c r="J4" s="165"/>
    </row>
    <row r="5" spans="1:10" x14ac:dyDescent="0.5">
      <c r="A5" s="165" t="s">
        <v>283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10" ht="16.149999999999999" thickBot="1" x14ac:dyDescent="0.55000000000000004">
      <c r="A6" s="83"/>
      <c r="B6" s="83"/>
      <c r="C6" s="83"/>
    </row>
    <row r="7" spans="1:10" x14ac:dyDescent="0.5">
      <c r="A7" s="166" t="s">
        <v>161</v>
      </c>
      <c r="B7" s="168" t="s">
        <v>160</v>
      </c>
      <c r="C7" s="166" t="s">
        <v>305</v>
      </c>
      <c r="D7" s="166" t="s">
        <v>325</v>
      </c>
    </row>
    <row r="8" spans="1:10" x14ac:dyDescent="0.5">
      <c r="A8" s="167"/>
      <c r="B8" s="169"/>
      <c r="C8" s="167"/>
      <c r="D8" s="167"/>
    </row>
    <row r="9" spans="1:10" x14ac:dyDescent="0.5">
      <c r="A9" s="130" t="s">
        <v>79</v>
      </c>
      <c r="B9" s="112">
        <v>4788</v>
      </c>
      <c r="C9" s="67">
        <v>1</v>
      </c>
    </row>
    <row r="10" spans="1:10" x14ac:dyDescent="0.5">
      <c r="A10" s="130" t="s">
        <v>120</v>
      </c>
      <c r="B10" s="112">
        <v>4132</v>
      </c>
      <c r="C10" s="67">
        <v>2</v>
      </c>
    </row>
    <row r="11" spans="1:10" x14ac:dyDescent="0.5">
      <c r="A11" s="130" t="s">
        <v>118</v>
      </c>
      <c r="B11" s="112">
        <v>1637</v>
      </c>
      <c r="C11" s="67">
        <v>3</v>
      </c>
    </row>
    <row r="12" spans="1:10" x14ac:dyDescent="0.5">
      <c r="A12" s="130" t="s">
        <v>121</v>
      </c>
      <c r="B12" s="112">
        <v>1243</v>
      </c>
      <c r="C12" s="67">
        <v>4</v>
      </c>
    </row>
    <row r="13" spans="1:10" x14ac:dyDescent="0.5">
      <c r="A13" s="130" t="s">
        <v>119</v>
      </c>
      <c r="B13" s="112">
        <v>1009</v>
      </c>
      <c r="C13" s="67">
        <v>5</v>
      </c>
    </row>
    <row r="14" spans="1:10" x14ac:dyDescent="0.5">
      <c r="A14" s="130" t="s">
        <v>81</v>
      </c>
      <c r="B14" s="112">
        <v>979</v>
      </c>
      <c r="C14" s="67">
        <v>6</v>
      </c>
    </row>
    <row r="15" spans="1:10" x14ac:dyDescent="0.5">
      <c r="A15" s="130" t="s">
        <v>56</v>
      </c>
      <c r="B15" s="112">
        <v>805</v>
      </c>
      <c r="C15" s="67">
        <v>7</v>
      </c>
    </row>
    <row r="16" spans="1:10" x14ac:dyDescent="0.5">
      <c r="A16" s="130" t="s">
        <v>102</v>
      </c>
      <c r="B16" s="112">
        <v>795</v>
      </c>
      <c r="C16" s="67">
        <v>8</v>
      </c>
    </row>
    <row r="17" spans="1:3" x14ac:dyDescent="0.5">
      <c r="A17" s="130" t="s">
        <v>115</v>
      </c>
      <c r="B17" s="112">
        <v>707</v>
      </c>
      <c r="C17" s="67">
        <v>9</v>
      </c>
    </row>
    <row r="18" spans="1:3" x14ac:dyDescent="0.5">
      <c r="A18" s="130" t="s">
        <v>25</v>
      </c>
      <c r="B18" s="112">
        <v>624</v>
      </c>
      <c r="C18" s="67">
        <v>10</v>
      </c>
    </row>
    <row r="19" spans="1:3" x14ac:dyDescent="0.5">
      <c r="A19" s="130" t="s">
        <v>159</v>
      </c>
      <c r="B19" s="164">
        <v>601</v>
      </c>
      <c r="C19" s="67">
        <v>11</v>
      </c>
    </row>
    <row r="20" spans="1:3" x14ac:dyDescent="0.5">
      <c r="A20" s="130" t="s">
        <v>158</v>
      </c>
      <c r="B20" s="164"/>
      <c r="C20" s="67">
        <v>12</v>
      </c>
    </row>
    <row r="21" spans="1:3" x14ac:dyDescent="0.5">
      <c r="A21" s="130" t="s">
        <v>77</v>
      </c>
      <c r="B21" s="112">
        <v>556</v>
      </c>
      <c r="C21" s="67">
        <v>13</v>
      </c>
    </row>
    <row r="22" spans="1:3" x14ac:dyDescent="0.5">
      <c r="A22" s="130" t="s">
        <v>53</v>
      </c>
      <c r="B22" s="112">
        <v>540</v>
      </c>
      <c r="C22" s="67">
        <v>14</v>
      </c>
    </row>
    <row r="23" spans="1:3" x14ac:dyDescent="0.5">
      <c r="A23" s="130" t="s">
        <v>116</v>
      </c>
      <c r="B23" s="112">
        <v>502</v>
      </c>
      <c r="C23" s="67">
        <v>15</v>
      </c>
    </row>
    <row r="24" spans="1:3" x14ac:dyDescent="0.5">
      <c r="A24" s="130" t="s">
        <v>23</v>
      </c>
      <c r="B24" s="112">
        <v>501</v>
      </c>
      <c r="C24" s="67">
        <v>16</v>
      </c>
    </row>
    <row r="25" spans="1:3" x14ac:dyDescent="0.5">
      <c r="A25" s="130" t="s">
        <v>11</v>
      </c>
      <c r="B25" s="112">
        <v>479</v>
      </c>
      <c r="C25" s="67">
        <v>17</v>
      </c>
    </row>
    <row r="26" spans="1:3" x14ac:dyDescent="0.5">
      <c r="A26" s="130" t="s">
        <v>37</v>
      </c>
      <c r="B26" s="112">
        <v>471</v>
      </c>
      <c r="C26" s="67">
        <v>18</v>
      </c>
    </row>
    <row r="27" spans="1:3" x14ac:dyDescent="0.5">
      <c r="A27" s="130" t="s">
        <v>32</v>
      </c>
      <c r="B27" s="112">
        <v>462</v>
      </c>
      <c r="C27" s="67">
        <v>19</v>
      </c>
    </row>
    <row r="28" spans="1:3" x14ac:dyDescent="0.5">
      <c r="A28" s="130" t="s">
        <v>61</v>
      </c>
      <c r="B28" s="164">
        <v>391</v>
      </c>
      <c r="C28" s="67">
        <v>20</v>
      </c>
    </row>
    <row r="29" spans="1:3" x14ac:dyDescent="0.5">
      <c r="A29" s="130" t="s">
        <v>60</v>
      </c>
      <c r="B29" s="164"/>
      <c r="C29" s="67">
        <v>21</v>
      </c>
    </row>
    <row r="30" spans="1:3" x14ac:dyDescent="0.5">
      <c r="A30" s="130" t="s">
        <v>0</v>
      </c>
      <c r="B30" s="112">
        <v>365</v>
      </c>
      <c r="C30" s="67">
        <v>22</v>
      </c>
    </row>
    <row r="31" spans="1:3" x14ac:dyDescent="0.5">
      <c r="A31" s="130" t="s">
        <v>54</v>
      </c>
      <c r="B31" s="112">
        <v>363</v>
      </c>
      <c r="C31" s="67">
        <v>23</v>
      </c>
    </row>
    <row r="32" spans="1:3" x14ac:dyDescent="0.5">
      <c r="A32" s="130" t="s">
        <v>117</v>
      </c>
      <c r="B32" s="112">
        <v>355</v>
      </c>
      <c r="C32" s="67">
        <v>24</v>
      </c>
    </row>
    <row r="33" spans="1:3" x14ac:dyDescent="0.5">
      <c r="A33" s="130" t="s">
        <v>157</v>
      </c>
      <c r="B33" s="112">
        <v>347</v>
      </c>
      <c r="C33" s="67">
        <v>25</v>
      </c>
    </row>
    <row r="34" spans="1:3" x14ac:dyDescent="0.5">
      <c r="A34" s="130" t="s">
        <v>109</v>
      </c>
      <c r="B34" s="112">
        <v>321</v>
      </c>
      <c r="C34" s="67">
        <v>26</v>
      </c>
    </row>
    <row r="35" spans="1:3" x14ac:dyDescent="0.5">
      <c r="A35" s="130" t="s">
        <v>30</v>
      </c>
      <c r="B35" s="112">
        <v>315</v>
      </c>
      <c r="C35" s="67">
        <v>27</v>
      </c>
    </row>
    <row r="36" spans="1:3" x14ac:dyDescent="0.5">
      <c r="A36" s="130" t="s">
        <v>68</v>
      </c>
      <c r="B36" s="112">
        <v>302</v>
      </c>
      <c r="C36" s="67">
        <v>28</v>
      </c>
    </row>
    <row r="37" spans="1:3" x14ac:dyDescent="0.5">
      <c r="A37" s="130" t="s">
        <v>39</v>
      </c>
      <c r="B37" s="112">
        <v>291</v>
      </c>
      <c r="C37" s="67">
        <v>29</v>
      </c>
    </row>
    <row r="38" spans="1:3" x14ac:dyDescent="0.5">
      <c r="A38" s="130" t="s">
        <v>106</v>
      </c>
      <c r="B38" s="112">
        <v>237</v>
      </c>
      <c r="C38" s="67">
        <v>30</v>
      </c>
    </row>
    <row r="39" spans="1:3" x14ac:dyDescent="0.5">
      <c r="A39" s="130" t="s">
        <v>48</v>
      </c>
      <c r="B39" s="112">
        <v>232</v>
      </c>
      <c r="C39" s="67">
        <v>31</v>
      </c>
    </row>
    <row r="40" spans="1:3" x14ac:dyDescent="0.5">
      <c r="A40" s="130" t="s">
        <v>100</v>
      </c>
      <c r="B40" s="112">
        <v>220</v>
      </c>
      <c r="C40" s="67">
        <v>32</v>
      </c>
    </row>
    <row r="41" spans="1:3" x14ac:dyDescent="0.5">
      <c r="A41" s="130" t="s">
        <v>91</v>
      </c>
      <c r="B41" s="112">
        <v>214</v>
      </c>
      <c r="C41" s="67">
        <v>33</v>
      </c>
    </row>
    <row r="42" spans="1:3" x14ac:dyDescent="0.5">
      <c r="A42" s="130" t="s">
        <v>104</v>
      </c>
      <c r="B42" s="112">
        <v>208</v>
      </c>
      <c r="C42" s="67">
        <v>34</v>
      </c>
    </row>
    <row r="43" spans="1:3" x14ac:dyDescent="0.5">
      <c r="A43" s="130" t="s">
        <v>128</v>
      </c>
      <c r="B43" s="112">
        <v>200</v>
      </c>
      <c r="C43" s="67">
        <v>35</v>
      </c>
    </row>
    <row r="44" spans="1:3" x14ac:dyDescent="0.5">
      <c r="A44" s="130" t="s">
        <v>4</v>
      </c>
      <c r="B44" s="112">
        <v>188</v>
      </c>
      <c r="C44" s="67">
        <v>36</v>
      </c>
    </row>
    <row r="45" spans="1:3" x14ac:dyDescent="0.5">
      <c r="A45" s="130" t="s">
        <v>84</v>
      </c>
      <c r="B45" s="112">
        <v>161</v>
      </c>
      <c r="C45" s="67">
        <v>37</v>
      </c>
    </row>
    <row r="46" spans="1:3" x14ac:dyDescent="0.5">
      <c r="A46" s="130" t="s">
        <v>19</v>
      </c>
      <c r="B46" s="112">
        <v>161</v>
      </c>
      <c r="C46" s="67">
        <v>38</v>
      </c>
    </row>
    <row r="47" spans="1:3" x14ac:dyDescent="0.5">
      <c r="A47" s="130" t="s">
        <v>44</v>
      </c>
      <c r="B47" s="112">
        <v>157</v>
      </c>
      <c r="C47" s="67">
        <v>39</v>
      </c>
    </row>
    <row r="48" spans="1:3" x14ac:dyDescent="0.5">
      <c r="A48" s="130" t="s">
        <v>26</v>
      </c>
      <c r="B48" s="112">
        <v>157</v>
      </c>
      <c r="C48" s="67">
        <v>40</v>
      </c>
    </row>
    <row r="49" spans="1:3" x14ac:dyDescent="0.5">
      <c r="A49" s="130" t="s">
        <v>34</v>
      </c>
      <c r="B49" s="112">
        <v>152</v>
      </c>
      <c r="C49" s="67">
        <v>41</v>
      </c>
    </row>
    <row r="50" spans="1:3" x14ac:dyDescent="0.5">
      <c r="A50" s="130" t="s">
        <v>98</v>
      </c>
      <c r="B50" s="112">
        <v>145</v>
      </c>
      <c r="C50" s="67">
        <v>42</v>
      </c>
    </row>
    <row r="51" spans="1:3" x14ac:dyDescent="0.5">
      <c r="A51" s="130" t="s">
        <v>74</v>
      </c>
      <c r="B51" s="112">
        <v>142</v>
      </c>
      <c r="C51" s="67">
        <v>43</v>
      </c>
    </row>
    <row r="52" spans="1:3" x14ac:dyDescent="0.5">
      <c r="A52" s="130" t="s">
        <v>87</v>
      </c>
      <c r="B52" s="112">
        <v>141</v>
      </c>
      <c r="C52" s="67">
        <v>44</v>
      </c>
    </row>
    <row r="53" spans="1:3" x14ac:dyDescent="0.5">
      <c r="A53" s="130" t="s">
        <v>2</v>
      </c>
      <c r="B53" s="112">
        <v>131</v>
      </c>
      <c r="C53" s="67">
        <v>45</v>
      </c>
    </row>
    <row r="54" spans="1:3" x14ac:dyDescent="0.5">
      <c r="A54" s="130" t="s">
        <v>15</v>
      </c>
      <c r="B54" s="112">
        <v>127</v>
      </c>
      <c r="C54" s="67">
        <v>46</v>
      </c>
    </row>
    <row r="55" spans="1:3" x14ac:dyDescent="0.5">
      <c r="A55" s="130" t="s">
        <v>9</v>
      </c>
      <c r="B55" s="112">
        <v>109</v>
      </c>
      <c r="C55" s="67">
        <v>47</v>
      </c>
    </row>
    <row r="56" spans="1:3" x14ac:dyDescent="0.5">
      <c r="A56" s="130" t="s">
        <v>35</v>
      </c>
      <c r="B56" s="112">
        <v>40</v>
      </c>
      <c r="C56" s="67">
        <v>48</v>
      </c>
    </row>
    <row r="57" spans="1:3" x14ac:dyDescent="0.5">
      <c r="A57" s="130" t="s">
        <v>17</v>
      </c>
      <c r="B57" s="112">
        <v>40</v>
      </c>
      <c r="C57" s="67">
        <v>49</v>
      </c>
    </row>
    <row r="58" spans="1:3" ht="16.149999999999999" thickBot="1" x14ac:dyDescent="0.55000000000000004">
      <c r="A58" s="131" t="s">
        <v>95</v>
      </c>
      <c r="B58" s="129">
        <v>38</v>
      </c>
      <c r="C58" s="110">
        <v>50</v>
      </c>
    </row>
  </sheetData>
  <mergeCells count="11">
    <mergeCell ref="B28:B29"/>
    <mergeCell ref="A5:J5"/>
    <mergeCell ref="A7:A8"/>
    <mergeCell ref="B7:B8"/>
    <mergeCell ref="A1:B1"/>
    <mergeCell ref="A2:B2"/>
    <mergeCell ref="A3:J3"/>
    <mergeCell ref="A4:J4"/>
    <mergeCell ref="B19:B20"/>
    <mergeCell ref="C7:C8"/>
    <mergeCell ref="D7:D8"/>
  </mergeCells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F3BA8-C869-9B47-8AC7-2111ABABAB8A}">
  <dimension ref="A1:K53"/>
  <sheetViews>
    <sheetView workbookViewId="0">
      <selection activeCell="D11" sqref="D11"/>
    </sheetView>
  </sheetViews>
  <sheetFormatPr baseColWidth="10" defaultRowHeight="15.75" x14ac:dyDescent="0.5"/>
  <cols>
    <col min="1" max="1" width="32.3125" customWidth="1"/>
    <col min="10" max="10" width="22.1875" customWidth="1"/>
    <col min="11" max="11" width="25.5" customWidth="1"/>
  </cols>
  <sheetData>
    <row r="1" spans="1:11" ht="16.05" customHeight="1" x14ac:dyDescent="0.5">
      <c r="A1" s="150" t="s">
        <v>154</v>
      </c>
      <c r="B1" s="148" t="s">
        <v>151</v>
      </c>
      <c r="C1" s="148" t="s">
        <v>148</v>
      </c>
      <c r="D1" s="148" t="s">
        <v>147</v>
      </c>
      <c r="E1" s="148" t="s">
        <v>146</v>
      </c>
      <c r="F1" s="148" t="s">
        <v>145</v>
      </c>
      <c r="G1" s="148" t="s">
        <v>144</v>
      </c>
      <c r="H1" s="148" t="s">
        <v>143</v>
      </c>
      <c r="I1" s="148" t="s">
        <v>142</v>
      </c>
      <c r="J1" s="148" t="s">
        <v>162</v>
      </c>
      <c r="K1" s="148" t="s">
        <v>300</v>
      </c>
    </row>
    <row r="2" spans="1:11" ht="16.149999999999999" thickBot="1" x14ac:dyDescent="0.55000000000000004">
      <c r="A2" s="151"/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1" x14ac:dyDescent="0.5">
      <c r="A3" s="132" t="s">
        <v>128</v>
      </c>
      <c r="B3" s="111">
        <v>150</v>
      </c>
      <c r="C3" s="111">
        <v>67585</v>
      </c>
      <c r="D3" s="111">
        <v>55792</v>
      </c>
      <c r="E3" s="111">
        <v>16884</v>
      </c>
      <c r="F3" s="111">
        <v>3704</v>
      </c>
      <c r="G3" s="111">
        <v>55691</v>
      </c>
      <c r="H3" s="111">
        <v>6232</v>
      </c>
      <c r="I3" s="111">
        <v>50013</v>
      </c>
      <c r="J3" s="123">
        <f>(G3-I3)/(H3-F3)</f>
        <v>2.2460443037974684</v>
      </c>
      <c r="K3" s="123">
        <f>J3/B3</f>
        <v>1.4973628691983123E-2</v>
      </c>
    </row>
    <row r="4" spans="1:11" x14ac:dyDescent="0.5">
      <c r="A4" s="68" t="s">
        <v>121</v>
      </c>
      <c r="B4" s="111">
        <v>134</v>
      </c>
      <c r="C4" s="111">
        <v>75500</v>
      </c>
      <c r="D4" s="111">
        <v>58500</v>
      </c>
      <c r="E4" s="111">
        <v>18729</v>
      </c>
      <c r="F4" s="111">
        <v>4630</v>
      </c>
      <c r="G4" s="111">
        <v>17400</v>
      </c>
      <c r="H4" s="111">
        <v>5413</v>
      </c>
      <c r="I4" s="111">
        <v>15600</v>
      </c>
      <c r="J4" s="123">
        <f t="shared" ref="J4:J53" si="0">(G4-I4)/(H4-F4)</f>
        <v>2.2988505747126435</v>
      </c>
      <c r="K4" s="123">
        <f t="shared" ref="K4:K53" si="1">J4/B4</f>
        <v>1.7155601303825697E-2</v>
      </c>
    </row>
    <row r="5" spans="1:11" x14ac:dyDescent="0.5">
      <c r="A5" s="68" t="s">
        <v>120</v>
      </c>
      <c r="B5" s="111">
        <v>150</v>
      </c>
      <c r="C5" s="111">
        <v>78000</v>
      </c>
      <c r="D5" s="111">
        <v>62500</v>
      </c>
      <c r="E5" s="111">
        <v>18729</v>
      </c>
      <c r="F5" s="111">
        <v>3882</v>
      </c>
      <c r="G5" s="111">
        <v>19750</v>
      </c>
      <c r="H5" s="111">
        <v>5200</v>
      </c>
      <c r="I5" s="111">
        <v>16125</v>
      </c>
      <c r="J5" s="123">
        <f t="shared" si="0"/>
        <v>2.7503793626707131</v>
      </c>
      <c r="K5" s="123">
        <f t="shared" si="1"/>
        <v>1.8335862417804754E-2</v>
      </c>
    </row>
    <row r="6" spans="1:11" x14ac:dyDescent="0.5">
      <c r="A6" s="68" t="s">
        <v>119</v>
      </c>
      <c r="B6" s="111">
        <v>165</v>
      </c>
      <c r="C6" s="111">
        <v>79000</v>
      </c>
      <c r="D6" s="111">
        <v>62800</v>
      </c>
      <c r="E6" s="111">
        <v>21005</v>
      </c>
      <c r="F6" s="111">
        <v>4528</v>
      </c>
      <c r="G6" s="111">
        <v>19250</v>
      </c>
      <c r="H6" s="111">
        <v>6315</v>
      </c>
      <c r="I6" s="111">
        <v>15150</v>
      </c>
      <c r="J6" s="123">
        <f t="shared" si="0"/>
        <v>2.2943480693900393</v>
      </c>
      <c r="K6" s="123">
        <f t="shared" si="1"/>
        <v>1.3905139814485087E-2</v>
      </c>
    </row>
    <row r="7" spans="1:11" x14ac:dyDescent="0.5">
      <c r="A7" s="68" t="s">
        <v>118</v>
      </c>
      <c r="B7" s="111">
        <v>185</v>
      </c>
      <c r="C7" s="111">
        <v>93500</v>
      </c>
      <c r="D7" s="111">
        <v>77800</v>
      </c>
      <c r="E7" s="111">
        <v>23301</v>
      </c>
      <c r="F7" s="111">
        <v>4215</v>
      </c>
      <c r="G7" s="111">
        <v>24242</v>
      </c>
      <c r="H7" s="111">
        <v>5460</v>
      </c>
      <c r="I7" s="111">
        <v>20152</v>
      </c>
      <c r="J7" s="123">
        <f t="shared" si="0"/>
        <v>3.285140562248996</v>
      </c>
      <c r="K7" s="123">
        <f t="shared" si="1"/>
        <v>1.7757516552697274E-2</v>
      </c>
    </row>
    <row r="8" spans="1:11" x14ac:dyDescent="0.5">
      <c r="A8" s="68" t="s">
        <v>117</v>
      </c>
      <c r="B8" s="111">
        <v>206</v>
      </c>
      <c r="C8" s="111">
        <v>97000</v>
      </c>
      <c r="D8" s="111">
        <v>73300</v>
      </c>
      <c r="E8" s="111">
        <v>26484</v>
      </c>
      <c r="F8" s="111">
        <v>5648.6</v>
      </c>
      <c r="G8" s="111">
        <v>23950</v>
      </c>
      <c r="H8" s="111">
        <v>6482</v>
      </c>
      <c r="I8" s="111">
        <v>21350</v>
      </c>
      <c r="J8" s="123">
        <f t="shared" si="0"/>
        <v>3.1197504199664041</v>
      </c>
      <c r="K8" s="123">
        <f t="shared" si="1"/>
        <v>1.514441951440002E-2</v>
      </c>
    </row>
    <row r="9" spans="1:11" x14ac:dyDescent="0.5">
      <c r="A9" s="68" t="s">
        <v>116</v>
      </c>
      <c r="B9" s="111">
        <v>246</v>
      </c>
      <c r="C9" s="111">
        <v>242000</v>
      </c>
      <c r="D9" s="111">
        <v>170000</v>
      </c>
      <c r="E9" s="111">
        <v>109186</v>
      </c>
      <c r="F9" s="111">
        <v>8584</v>
      </c>
      <c r="G9" s="111">
        <v>45813</v>
      </c>
      <c r="H9" s="111">
        <v>16455</v>
      </c>
      <c r="I9" s="111">
        <v>6350</v>
      </c>
      <c r="J9" s="123">
        <f t="shared" si="0"/>
        <v>5.0137212552407568</v>
      </c>
      <c r="K9" s="123">
        <f t="shared" si="1"/>
        <v>2.0380980712360799E-2</v>
      </c>
    </row>
    <row r="10" spans="1:11" x14ac:dyDescent="0.5">
      <c r="A10" s="68" t="s">
        <v>115</v>
      </c>
      <c r="B10" s="111">
        <v>300</v>
      </c>
      <c r="C10" s="111">
        <v>242000</v>
      </c>
      <c r="D10" s="111">
        <v>175000</v>
      </c>
      <c r="E10" s="111">
        <v>76561</v>
      </c>
      <c r="F10" s="111">
        <v>7723</v>
      </c>
      <c r="G10" s="111">
        <v>45359</v>
      </c>
      <c r="H10" s="111">
        <v>10038</v>
      </c>
      <c r="I10" s="111">
        <v>34927</v>
      </c>
      <c r="J10" s="123">
        <f t="shared" si="0"/>
        <v>4.5062634989200863</v>
      </c>
      <c r="K10" s="123">
        <f t="shared" si="1"/>
        <v>1.502087832973362E-2</v>
      </c>
    </row>
    <row r="11" spans="1:11" x14ac:dyDescent="0.5">
      <c r="A11" s="68" t="s">
        <v>1</v>
      </c>
      <c r="B11" s="111">
        <v>300</v>
      </c>
      <c r="C11" s="111">
        <v>242000</v>
      </c>
      <c r="D11" s="111">
        <v>181000</v>
      </c>
      <c r="E11" s="111">
        <v>76561</v>
      </c>
      <c r="F11" s="111">
        <v>7723</v>
      </c>
      <c r="G11" s="111">
        <v>45813</v>
      </c>
      <c r="H11" s="111">
        <v>17372</v>
      </c>
      <c r="I11" s="111">
        <v>0</v>
      </c>
      <c r="J11" s="123">
        <f t="shared" si="0"/>
        <v>4.747953155767437</v>
      </c>
      <c r="K11" s="123">
        <f t="shared" si="1"/>
        <v>1.582651051922479E-2</v>
      </c>
    </row>
    <row r="12" spans="1:11" x14ac:dyDescent="0.5">
      <c r="A12" s="68" t="s">
        <v>109</v>
      </c>
      <c r="B12" s="111">
        <v>315</v>
      </c>
      <c r="C12" s="111">
        <v>280000</v>
      </c>
      <c r="D12" s="111">
        <v>195700</v>
      </c>
      <c r="E12" s="111">
        <v>108330</v>
      </c>
      <c r="F12" s="111">
        <v>10797</v>
      </c>
      <c r="G12" s="111">
        <v>53700</v>
      </c>
      <c r="H12" s="111">
        <v>15890</v>
      </c>
      <c r="I12" s="111">
        <v>24800</v>
      </c>
      <c r="J12" s="123">
        <f t="shared" si="0"/>
        <v>5.6744551344983307</v>
      </c>
      <c r="K12" s="123">
        <f t="shared" si="1"/>
        <v>1.8014143284121684E-2</v>
      </c>
    </row>
    <row r="13" spans="1:11" x14ac:dyDescent="0.5">
      <c r="A13" s="68" t="s">
        <v>106</v>
      </c>
      <c r="B13" s="111">
        <v>575</v>
      </c>
      <c r="C13" s="111">
        <v>575000</v>
      </c>
      <c r="D13" s="111">
        <v>369000</v>
      </c>
      <c r="E13" s="111">
        <v>323546</v>
      </c>
      <c r="F13" s="111">
        <v>12131</v>
      </c>
      <c r="G13" s="111">
        <v>83571</v>
      </c>
      <c r="H13" s="111">
        <v>16298</v>
      </c>
      <c r="I13" s="111">
        <v>34286</v>
      </c>
      <c r="J13" s="123">
        <f t="shared" si="0"/>
        <v>11.827453803695704</v>
      </c>
      <c r="K13" s="123">
        <f t="shared" si="1"/>
        <v>2.0569484875992528E-2</v>
      </c>
    </row>
    <row r="14" spans="1:11" x14ac:dyDescent="0.5">
      <c r="A14" s="68" t="s">
        <v>104</v>
      </c>
      <c r="B14" s="111">
        <v>48</v>
      </c>
      <c r="C14" s="111">
        <v>18600</v>
      </c>
      <c r="D14" s="111">
        <v>16700</v>
      </c>
      <c r="E14" s="111">
        <v>4500</v>
      </c>
      <c r="F14" s="111">
        <v>969</v>
      </c>
      <c r="G14" s="111">
        <v>5045</v>
      </c>
      <c r="H14" s="111">
        <v>3034</v>
      </c>
      <c r="I14" s="111">
        <v>2455</v>
      </c>
      <c r="J14" s="123">
        <f t="shared" si="0"/>
        <v>1.2542372881355932</v>
      </c>
      <c r="K14" s="123">
        <f t="shared" si="1"/>
        <v>2.6129943502824857E-2</v>
      </c>
    </row>
    <row r="15" spans="1:11" x14ac:dyDescent="0.5">
      <c r="A15" s="68" t="s">
        <v>102</v>
      </c>
      <c r="B15" s="111">
        <v>68</v>
      </c>
      <c r="C15" s="111">
        <v>22500</v>
      </c>
      <c r="D15" s="111">
        <v>20500</v>
      </c>
      <c r="E15" s="111">
        <v>5000</v>
      </c>
      <c r="F15" s="111">
        <v>926</v>
      </c>
      <c r="G15" s="111">
        <v>7000</v>
      </c>
      <c r="H15" s="111">
        <v>3087</v>
      </c>
      <c r="I15" s="111">
        <v>4000</v>
      </c>
      <c r="J15" s="123">
        <f t="shared" si="0"/>
        <v>1.3882461823229986</v>
      </c>
      <c r="K15" s="123">
        <f t="shared" si="1"/>
        <v>2.0415385034161744E-2</v>
      </c>
    </row>
    <row r="16" spans="1:11" x14ac:dyDescent="0.5">
      <c r="A16" s="68" t="s">
        <v>100</v>
      </c>
      <c r="B16" s="111">
        <v>19</v>
      </c>
      <c r="C16" s="111">
        <v>7766</v>
      </c>
      <c r="D16" s="111">
        <v>6879</v>
      </c>
      <c r="E16" s="111">
        <v>2022</v>
      </c>
      <c r="F16" s="111">
        <v>585</v>
      </c>
      <c r="G16" s="111">
        <v>1984</v>
      </c>
      <c r="H16" s="111">
        <v>975</v>
      </c>
      <c r="I16" s="111">
        <v>1724</v>
      </c>
      <c r="J16" s="123">
        <f t="shared" si="0"/>
        <v>0.66666666666666663</v>
      </c>
      <c r="K16" s="123">
        <f t="shared" si="1"/>
        <v>3.5087719298245612E-2</v>
      </c>
    </row>
    <row r="17" spans="1:11" x14ac:dyDescent="0.5">
      <c r="A17" s="68" t="s">
        <v>98</v>
      </c>
      <c r="B17" s="111">
        <v>106</v>
      </c>
      <c r="C17" s="111">
        <v>54884</v>
      </c>
      <c r="D17" s="111">
        <v>45586</v>
      </c>
      <c r="E17" s="111">
        <v>13382</v>
      </c>
      <c r="F17" s="111">
        <v>2185</v>
      </c>
      <c r="G17" s="111">
        <v>45589</v>
      </c>
      <c r="H17" s="111">
        <v>3704</v>
      </c>
      <c r="I17" s="111">
        <v>42000</v>
      </c>
      <c r="J17" s="123">
        <f t="shared" si="0"/>
        <v>2.3627386438446347</v>
      </c>
      <c r="K17" s="123">
        <f t="shared" si="1"/>
        <v>2.2289987206081458E-2</v>
      </c>
    </row>
    <row r="18" spans="1:11" x14ac:dyDescent="0.5">
      <c r="A18" s="68" t="s">
        <v>157</v>
      </c>
      <c r="B18" s="111">
        <v>162</v>
      </c>
      <c r="C18" s="111">
        <v>82644</v>
      </c>
      <c r="D18" s="111">
        <v>65952</v>
      </c>
      <c r="E18" s="111">
        <v>20730</v>
      </c>
      <c r="F18" s="111">
        <v>4842</v>
      </c>
      <c r="G18" s="111">
        <v>65930</v>
      </c>
      <c r="H18" s="111">
        <v>6426</v>
      </c>
      <c r="I18" s="111">
        <v>61983</v>
      </c>
      <c r="J18" s="123">
        <f t="shared" si="0"/>
        <v>2.4917929292929295</v>
      </c>
      <c r="K18" s="123">
        <f t="shared" si="1"/>
        <v>1.5381437835141541E-2</v>
      </c>
    </row>
    <row r="19" spans="1:11" x14ac:dyDescent="0.5">
      <c r="A19" s="68" t="s">
        <v>95</v>
      </c>
      <c r="B19" s="111">
        <v>180</v>
      </c>
      <c r="C19" s="111">
        <v>88314</v>
      </c>
      <c r="D19" s="111">
        <v>70987</v>
      </c>
      <c r="E19" s="111">
        <v>20730</v>
      </c>
      <c r="F19" s="111">
        <v>4630</v>
      </c>
      <c r="G19" s="111">
        <v>70964.5</v>
      </c>
      <c r="H19" s="111">
        <v>5843</v>
      </c>
      <c r="I19" s="111">
        <v>67653</v>
      </c>
      <c r="J19" s="123">
        <f t="shared" si="0"/>
        <v>2.7300082440230833</v>
      </c>
      <c r="K19" s="123">
        <f t="shared" si="1"/>
        <v>1.5166712466794907E-2</v>
      </c>
    </row>
    <row r="20" spans="1:11" x14ac:dyDescent="0.5">
      <c r="A20" s="68" t="s">
        <v>91</v>
      </c>
      <c r="B20" s="111">
        <v>126</v>
      </c>
      <c r="C20" s="111">
        <v>61235</v>
      </c>
      <c r="D20" s="111">
        <v>48308</v>
      </c>
      <c r="E20" s="111">
        <v>18602</v>
      </c>
      <c r="F20" s="111">
        <v>3439</v>
      </c>
      <c r="G20" s="111">
        <v>48357</v>
      </c>
      <c r="H20" s="111">
        <v>5159</v>
      </c>
      <c r="I20" s="111">
        <v>43667</v>
      </c>
      <c r="J20" s="123">
        <f t="shared" si="0"/>
        <v>2.7267441860465116</v>
      </c>
      <c r="K20" s="123">
        <f t="shared" si="1"/>
        <v>2.1640826873385012E-2</v>
      </c>
    </row>
    <row r="21" spans="1:11" x14ac:dyDescent="0.5">
      <c r="A21" s="68" t="s">
        <v>87</v>
      </c>
      <c r="B21" s="111">
        <v>147</v>
      </c>
      <c r="C21" s="111">
        <v>68039</v>
      </c>
      <c r="D21" s="111">
        <v>53070</v>
      </c>
      <c r="E21" s="111">
        <v>18602</v>
      </c>
      <c r="F21" s="111">
        <v>3258</v>
      </c>
      <c r="G21" s="111">
        <v>53167</v>
      </c>
      <c r="H21" s="111">
        <v>4630</v>
      </c>
      <c r="I21" s="111">
        <v>48667</v>
      </c>
      <c r="J21" s="123">
        <f t="shared" si="0"/>
        <v>3.2798833819241984</v>
      </c>
      <c r="K21" s="123">
        <f t="shared" si="1"/>
        <v>2.2312131849824477E-2</v>
      </c>
    </row>
    <row r="22" spans="1:11" x14ac:dyDescent="0.5">
      <c r="A22" s="68" t="s">
        <v>84</v>
      </c>
      <c r="B22" s="111">
        <v>110</v>
      </c>
      <c r="C22" s="111">
        <v>60555</v>
      </c>
      <c r="D22" s="111">
        <v>46493</v>
      </c>
      <c r="E22" s="111">
        <v>18602</v>
      </c>
      <c r="F22" s="111">
        <v>2910</v>
      </c>
      <c r="G22" s="111">
        <v>46667</v>
      </c>
      <c r="H22" s="111">
        <v>4994</v>
      </c>
      <c r="I22" s="111">
        <v>41333</v>
      </c>
      <c r="J22" s="123">
        <f t="shared" si="0"/>
        <v>2.5595009596928984</v>
      </c>
      <c r="K22" s="123">
        <f t="shared" si="1"/>
        <v>2.3268190542662711E-2</v>
      </c>
    </row>
    <row r="23" spans="1:11" x14ac:dyDescent="0.5">
      <c r="A23" s="68" t="s">
        <v>81</v>
      </c>
      <c r="B23" s="111">
        <v>128</v>
      </c>
      <c r="C23" s="111">
        <v>70080</v>
      </c>
      <c r="D23" s="111">
        <v>55202</v>
      </c>
      <c r="E23" s="111">
        <v>20894</v>
      </c>
      <c r="F23" s="111">
        <v>3945</v>
      </c>
      <c r="G23" s="111">
        <v>55202</v>
      </c>
      <c r="H23" s="111">
        <v>6186</v>
      </c>
      <c r="I23" s="111">
        <v>49237</v>
      </c>
      <c r="J23" s="123">
        <f t="shared" si="0"/>
        <v>2.6617581436858546</v>
      </c>
      <c r="K23" s="123">
        <f t="shared" si="1"/>
        <v>2.0794985497545739E-2</v>
      </c>
    </row>
    <row r="24" spans="1:11" x14ac:dyDescent="0.5">
      <c r="A24" s="68" t="s">
        <v>79</v>
      </c>
      <c r="B24" s="111">
        <v>160</v>
      </c>
      <c r="C24" s="111">
        <v>79016</v>
      </c>
      <c r="D24" s="111">
        <v>62732</v>
      </c>
      <c r="E24" s="111">
        <v>20894</v>
      </c>
      <c r="F24" s="111">
        <v>3750</v>
      </c>
      <c r="G24" s="111">
        <v>62596</v>
      </c>
      <c r="H24" s="111">
        <v>5223</v>
      </c>
      <c r="I24" s="111">
        <v>58128</v>
      </c>
      <c r="J24" s="123">
        <f t="shared" si="0"/>
        <v>3.0332654446707399</v>
      </c>
      <c r="K24" s="123">
        <f t="shared" si="1"/>
        <v>1.8957909029192123E-2</v>
      </c>
    </row>
    <row r="25" spans="1:11" x14ac:dyDescent="0.5">
      <c r="A25" s="68" t="s">
        <v>77</v>
      </c>
      <c r="B25" s="111">
        <v>177</v>
      </c>
      <c r="C25" s="111">
        <v>74389</v>
      </c>
      <c r="D25" s="111">
        <v>62732</v>
      </c>
      <c r="E25" s="111">
        <v>20894</v>
      </c>
      <c r="F25" s="111">
        <v>3704</v>
      </c>
      <c r="G25" s="111">
        <v>62732</v>
      </c>
      <c r="H25" s="111">
        <v>5149</v>
      </c>
      <c r="I25" s="111">
        <v>58173</v>
      </c>
      <c r="J25" s="123">
        <f t="shared" si="0"/>
        <v>3.1550173010380624</v>
      </c>
      <c r="K25" s="123">
        <f t="shared" si="1"/>
        <v>1.7824956503039901E-2</v>
      </c>
    </row>
    <row r="26" spans="1:11" x14ac:dyDescent="0.5">
      <c r="A26" s="68" t="s">
        <v>74</v>
      </c>
      <c r="B26" s="111">
        <v>416</v>
      </c>
      <c r="C26" s="111">
        <v>396894</v>
      </c>
      <c r="D26" s="111">
        <v>246074</v>
      </c>
      <c r="E26" s="111">
        <v>173425</v>
      </c>
      <c r="F26" s="111">
        <v>10570</v>
      </c>
      <c r="G26" s="111">
        <v>246073</v>
      </c>
      <c r="H26" s="111">
        <v>13100</v>
      </c>
      <c r="I26" s="111">
        <v>222273</v>
      </c>
      <c r="J26" s="123">
        <f t="shared" si="0"/>
        <v>9.4071146245059296</v>
      </c>
      <c r="K26" s="123">
        <f t="shared" si="1"/>
        <v>2.2613256308908484E-2</v>
      </c>
    </row>
    <row r="27" spans="1:11" x14ac:dyDescent="0.5">
      <c r="A27" s="68" t="s">
        <v>68</v>
      </c>
      <c r="B27" s="111">
        <v>200</v>
      </c>
      <c r="C27" s="111">
        <v>108850</v>
      </c>
      <c r="D27" s="111">
        <v>83450</v>
      </c>
      <c r="E27" s="111">
        <v>34260</v>
      </c>
      <c r="F27" s="111">
        <v>4321</v>
      </c>
      <c r="G27" s="111">
        <v>83450</v>
      </c>
      <c r="H27" s="111">
        <v>6482</v>
      </c>
      <c r="I27" s="111">
        <v>74000</v>
      </c>
      <c r="J27" s="123">
        <f t="shared" si="0"/>
        <v>4.372975474317446</v>
      </c>
      <c r="K27" s="123">
        <f t="shared" si="1"/>
        <v>2.1864877371587231E-2</v>
      </c>
    </row>
    <row r="28" spans="1:11" x14ac:dyDescent="0.5">
      <c r="A28" s="68" t="s">
        <v>0</v>
      </c>
      <c r="B28" s="111">
        <v>261</v>
      </c>
      <c r="C28" s="111">
        <v>158758</v>
      </c>
      <c r="D28" s="111">
        <v>126099</v>
      </c>
      <c r="E28" s="111">
        <v>50753</v>
      </c>
      <c r="F28" s="111">
        <v>4260</v>
      </c>
      <c r="G28" s="111">
        <v>126098</v>
      </c>
      <c r="H28" s="111">
        <v>7778</v>
      </c>
      <c r="I28" s="111">
        <v>108862</v>
      </c>
      <c r="J28" s="123">
        <f t="shared" si="0"/>
        <v>4.8993746446844799</v>
      </c>
      <c r="K28" s="123">
        <f t="shared" si="1"/>
        <v>1.8771550362775787E-2</v>
      </c>
    </row>
    <row r="29" spans="1:11" x14ac:dyDescent="0.5">
      <c r="A29" s="68" t="s">
        <v>61</v>
      </c>
      <c r="B29" s="111">
        <v>305</v>
      </c>
      <c r="C29" s="111">
        <v>242630</v>
      </c>
      <c r="D29" s="111">
        <v>190470</v>
      </c>
      <c r="E29" s="111">
        <v>94240</v>
      </c>
      <c r="F29" s="111">
        <v>6112</v>
      </c>
      <c r="G29" s="111">
        <v>190500</v>
      </c>
      <c r="H29" s="111">
        <v>11973</v>
      </c>
      <c r="I29" s="111">
        <v>153201</v>
      </c>
      <c r="J29" s="123">
        <f t="shared" si="0"/>
        <v>6.3639310697833134</v>
      </c>
      <c r="K29" s="123">
        <f t="shared" si="1"/>
        <v>2.0865347769781356E-2</v>
      </c>
    </row>
    <row r="30" spans="1:11" x14ac:dyDescent="0.5">
      <c r="A30" s="68" t="s">
        <v>60</v>
      </c>
      <c r="B30" s="111">
        <v>305</v>
      </c>
      <c r="C30" s="111">
        <v>233600</v>
      </c>
      <c r="D30" s="111">
        <v>190500</v>
      </c>
      <c r="E30" s="111">
        <v>94240</v>
      </c>
      <c r="F30" s="111">
        <v>5848</v>
      </c>
      <c r="G30" s="111">
        <v>190500</v>
      </c>
      <c r="H30" s="111">
        <v>12038</v>
      </c>
      <c r="I30" s="111">
        <v>150952</v>
      </c>
      <c r="J30" s="123">
        <f t="shared" si="0"/>
        <v>6.3890145395799678</v>
      </c>
      <c r="K30" s="123">
        <f t="shared" si="1"/>
        <v>2.0947588654360551E-2</v>
      </c>
    </row>
    <row r="31" spans="1:11" x14ac:dyDescent="0.5">
      <c r="A31" s="68" t="s">
        <v>56</v>
      </c>
      <c r="B31" s="111">
        <v>365</v>
      </c>
      <c r="C31" s="111">
        <v>351535</v>
      </c>
      <c r="D31" s="111">
        <v>237682</v>
      </c>
      <c r="E31" s="111">
        <v>145540</v>
      </c>
      <c r="F31" s="111">
        <v>10533</v>
      </c>
      <c r="G31" s="111">
        <v>237682</v>
      </c>
      <c r="H31" s="111">
        <v>14585</v>
      </c>
      <c r="I31" s="111">
        <v>206389</v>
      </c>
      <c r="J31" s="123">
        <f t="shared" si="0"/>
        <v>7.7228529121421516</v>
      </c>
      <c r="K31" s="123">
        <f t="shared" si="1"/>
        <v>2.1158501129156581E-2</v>
      </c>
    </row>
    <row r="32" spans="1:11" x14ac:dyDescent="0.5">
      <c r="A32" s="68" t="s">
        <v>54</v>
      </c>
      <c r="B32" s="111">
        <v>242</v>
      </c>
      <c r="C32" s="111">
        <v>227930</v>
      </c>
      <c r="D32" s="111">
        <v>161025</v>
      </c>
      <c r="E32" s="111">
        <v>101343</v>
      </c>
      <c r="F32" s="111">
        <v>10186</v>
      </c>
      <c r="G32" s="111">
        <v>161025</v>
      </c>
      <c r="H32" s="111">
        <v>17536</v>
      </c>
      <c r="I32" s="111">
        <v>127008</v>
      </c>
      <c r="J32" s="123">
        <f t="shared" si="0"/>
        <v>4.6281632653061227</v>
      </c>
      <c r="K32" s="123">
        <f t="shared" si="1"/>
        <v>1.9124641592174061E-2</v>
      </c>
    </row>
    <row r="33" spans="1:11" x14ac:dyDescent="0.5">
      <c r="A33" s="68" t="s">
        <v>53</v>
      </c>
      <c r="B33" s="111">
        <v>290</v>
      </c>
      <c r="C33" s="111">
        <v>254011</v>
      </c>
      <c r="D33" s="111">
        <v>181437</v>
      </c>
      <c r="E33" s="111">
        <v>101522</v>
      </c>
      <c r="F33" s="111">
        <v>9714</v>
      </c>
      <c r="G33" s="111">
        <v>181437</v>
      </c>
      <c r="H33" s="111">
        <v>15223</v>
      </c>
      <c r="I33" s="111">
        <v>152316</v>
      </c>
      <c r="J33" s="123">
        <f t="shared" si="0"/>
        <v>5.2860773280087132</v>
      </c>
      <c r="K33" s="123">
        <f t="shared" si="1"/>
        <v>1.822785285520246E-2</v>
      </c>
    </row>
    <row r="34" spans="1:11" x14ac:dyDescent="0.5">
      <c r="A34" s="68" t="s">
        <v>48</v>
      </c>
      <c r="B34" s="111">
        <v>143</v>
      </c>
      <c r="C34" s="111">
        <v>63504</v>
      </c>
      <c r="D34" s="111">
        <v>50802</v>
      </c>
      <c r="E34" s="111">
        <v>17764</v>
      </c>
      <c r="F34" s="111">
        <v>2621</v>
      </c>
      <c r="G34" s="111">
        <v>17600</v>
      </c>
      <c r="H34" s="111">
        <v>4389</v>
      </c>
      <c r="I34" s="111">
        <v>12701</v>
      </c>
      <c r="J34" s="123">
        <f t="shared" si="0"/>
        <v>2.7709276018099547</v>
      </c>
      <c r="K34" s="123">
        <f t="shared" si="1"/>
        <v>1.937711609657311E-2</v>
      </c>
    </row>
    <row r="35" spans="1:11" x14ac:dyDescent="0.5">
      <c r="A35" s="68" t="s">
        <v>159</v>
      </c>
      <c r="B35" s="111">
        <v>50</v>
      </c>
      <c r="C35" s="111">
        <v>21523</v>
      </c>
      <c r="D35" s="111">
        <v>19142</v>
      </c>
      <c r="E35" s="111">
        <v>4161</v>
      </c>
      <c r="F35" s="111">
        <v>1019</v>
      </c>
      <c r="G35" s="111">
        <v>5480</v>
      </c>
      <c r="H35" s="111">
        <v>2593</v>
      </c>
      <c r="I35" s="111">
        <v>3800</v>
      </c>
      <c r="J35" s="123">
        <f t="shared" si="0"/>
        <v>1.0673443456162643</v>
      </c>
      <c r="K35" s="123">
        <f t="shared" si="1"/>
        <v>2.1346886912325287E-2</v>
      </c>
    </row>
    <row r="36" spans="1:11" x14ac:dyDescent="0.5">
      <c r="A36" s="68" t="s">
        <v>158</v>
      </c>
      <c r="B36" s="111">
        <v>50</v>
      </c>
      <c r="C36" s="111">
        <v>21523</v>
      </c>
      <c r="D36" s="111">
        <v>19142</v>
      </c>
      <c r="E36" s="111">
        <v>4255</v>
      </c>
      <c r="F36" s="111">
        <v>1061</v>
      </c>
      <c r="G36" s="111">
        <v>5443.2</v>
      </c>
      <c r="H36" s="111">
        <v>2559</v>
      </c>
      <c r="I36" s="111">
        <v>3628.8</v>
      </c>
      <c r="J36" s="123">
        <f t="shared" si="0"/>
        <v>1.2112149532710279</v>
      </c>
      <c r="K36" s="123">
        <f t="shared" si="1"/>
        <v>2.4224299065420559E-2</v>
      </c>
    </row>
    <row r="37" spans="1:11" x14ac:dyDescent="0.5">
      <c r="A37" s="68" t="s">
        <v>39</v>
      </c>
      <c r="B37" s="111">
        <v>78</v>
      </c>
      <c r="C37" s="111">
        <v>32995</v>
      </c>
      <c r="D37" s="111">
        <v>28259</v>
      </c>
      <c r="E37" s="111">
        <v>8991</v>
      </c>
      <c r="F37" s="111">
        <v>1759</v>
      </c>
      <c r="G37" s="111">
        <v>8505</v>
      </c>
      <c r="H37" s="111">
        <v>4260</v>
      </c>
      <c r="I37" s="111">
        <v>4536</v>
      </c>
      <c r="J37" s="123">
        <f t="shared" si="0"/>
        <v>1.5869652139144341</v>
      </c>
      <c r="K37" s="123">
        <f t="shared" si="1"/>
        <v>2.0345707870697873E-2</v>
      </c>
    </row>
    <row r="38" spans="1:11" x14ac:dyDescent="0.5">
      <c r="A38" s="68" t="s">
        <v>37</v>
      </c>
      <c r="B38" s="111">
        <v>90</v>
      </c>
      <c r="C38" s="111">
        <v>38329</v>
      </c>
      <c r="D38" s="111">
        <v>31752</v>
      </c>
      <c r="E38" s="111">
        <v>8888</v>
      </c>
      <c r="F38" s="111">
        <v>1926</v>
      </c>
      <c r="G38" s="111">
        <v>9979</v>
      </c>
      <c r="H38" s="111">
        <v>3630</v>
      </c>
      <c r="I38" s="111">
        <v>6940</v>
      </c>
      <c r="J38" s="123">
        <f t="shared" si="0"/>
        <v>1.783450704225352</v>
      </c>
      <c r="K38" s="123">
        <f t="shared" si="1"/>
        <v>1.9816118935837245E-2</v>
      </c>
    </row>
    <row r="39" spans="1:11" x14ac:dyDescent="0.5">
      <c r="A39" s="68" t="s">
        <v>35</v>
      </c>
      <c r="B39" s="111">
        <v>104</v>
      </c>
      <c r="C39" s="111">
        <v>41640</v>
      </c>
      <c r="D39" s="111">
        <v>35153</v>
      </c>
      <c r="E39" s="111">
        <v>8822</v>
      </c>
      <c r="F39" s="111">
        <v>2222</v>
      </c>
      <c r="G39" s="111">
        <v>11975</v>
      </c>
      <c r="H39" s="111">
        <v>3510</v>
      </c>
      <c r="I39" s="111">
        <v>9639</v>
      </c>
      <c r="J39" s="123">
        <f t="shared" si="0"/>
        <v>1.813664596273292</v>
      </c>
      <c r="K39" s="123">
        <f t="shared" si="1"/>
        <v>1.743908265647396E-2</v>
      </c>
    </row>
    <row r="40" spans="1:11" x14ac:dyDescent="0.5">
      <c r="A40" s="68" t="s">
        <v>34</v>
      </c>
      <c r="B40" s="111">
        <v>37</v>
      </c>
      <c r="C40" s="111">
        <v>15650</v>
      </c>
      <c r="D40" s="111">
        <v>14061</v>
      </c>
      <c r="E40" s="111">
        <v>2576</v>
      </c>
      <c r="F40" s="111">
        <v>926</v>
      </c>
      <c r="G40" s="111">
        <v>3813</v>
      </c>
      <c r="H40" s="111">
        <v>1991</v>
      </c>
      <c r="I40" s="111">
        <v>2750</v>
      </c>
      <c r="J40" s="123">
        <f t="shared" si="0"/>
        <v>0.99812206572769957</v>
      </c>
      <c r="K40" s="123">
        <f t="shared" si="1"/>
        <v>2.6976272046694581E-2</v>
      </c>
    </row>
    <row r="41" spans="1:11" x14ac:dyDescent="0.5">
      <c r="A41" s="68" t="s">
        <v>44</v>
      </c>
      <c r="B41" s="111">
        <v>50</v>
      </c>
      <c r="C41" s="111">
        <v>19500</v>
      </c>
      <c r="D41" s="111">
        <v>17920</v>
      </c>
      <c r="E41" s="111">
        <v>2574</v>
      </c>
      <c r="F41" s="111">
        <v>715</v>
      </c>
      <c r="G41" s="111">
        <v>6223</v>
      </c>
      <c r="H41" s="111">
        <v>1700</v>
      </c>
      <c r="I41" s="111">
        <v>5289</v>
      </c>
      <c r="J41" s="123">
        <f t="shared" si="0"/>
        <v>0.94822335025380711</v>
      </c>
      <c r="K41" s="123">
        <f t="shared" si="1"/>
        <v>1.8964467005076143E-2</v>
      </c>
    </row>
    <row r="42" spans="1:11" x14ac:dyDescent="0.5">
      <c r="A42" s="68" t="s">
        <v>32</v>
      </c>
      <c r="B42" s="111">
        <v>82</v>
      </c>
      <c r="C42" s="111">
        <v>29257</v>
      </c>
      <c r="D42" s="111">
        <v>25855</v>
      </c>
      <c r="E42" s="111">
        <v>5318</v>
      </c>
      <c r="F42" s="111">
        <v>1396</v>
      </c>
      <c r="G42" s="111">
        <v>8500</v>
      </c>
      <c r="H42" s="111">
        <v>2847</v>
      </c>
      <c r="I42" s="111">
        <v>6468</v>
      </c>
      <c r="J42" s="123">
        <f t="shared" si="0"/>
        <v>1.4004135079255686</v>
      </c>
      <c r="K42" s="123">
        <f t="shared" si="1"/>
        <v>1.7078213511287424E-2</v>
      </c>
    </row>
    <row r="43" spans="1:11" x14ac:dyDescent="0.5">
      <c r="A43" s="68" t="s">
        <v>30</v>
      </c>
      <c r="B43" s="111">
        <v>19</v>
      </c>
      <c r="C43" s="111">
        <v>5670</v>
      </c>
      <c r="D43" s="111">
        <v>4581</v>
      </c>
      <c r="E43" s="111">
        <v>1159</v>
      </c>
      <c r="F43" s="111">
        <v>92.6</v>
      </c>
      <c r="G43" s="111">
        <v>1649</v>
      </c>
      <c r="H43" s="111">
        <v>370.4</v>
      </c>
      <c r="I43" s="111">
        <v>1378</v>
      </c>
      <c r="J43" s="123">
        <f t="shared" si="0"/>
        <v>0.97552195824334065</v>
      </c>
      <c r="K43" s="123">
        <f t="shared" si="1"/>
        <v>5.1343260960175822E-2</v>
      </c>
    </row>
    <row r="44" spans="1:11" x14ac:dyDescent="0.5">
      <c r="A44" s="68" t="s">
        <v>26</v>
      </c>
      <c r="B44" s="111">
        <v>74</v>
      </c>
      <c r="C44" s="111">
        <v>35990</v>
      </c>
      <c r="D44" s="111">
        <v>29600</v>
      </c>
      <c r="E44" s="111">
        <v>9428</v>
      </c>
      <c r="F44" s="111">
        <v>1945</v>
      </c>
      <c r="G44" s="111">
        <v>9400</v>
      </c>
      <c r="H44" s="111">
        <v>4074</v>
      </c>
      <c r="I44" s="111">
        <v>5800</v>
      </c>
      <c r="J44" s="123">
        <f t="shared" si="0"/>
        <v>1.6909347111319868</v>
      </c>
      <c r="K44" s="123">
        <f t="shared" si="1"/>
        <v>2.2850469069351172E-2</v>
      </c>
    </row>
    <row r="45" spans="1:11" x14ac:dyDescent="0.5">
      <c r="A45" s="68" t="s">
        <v>25</v>
      </c>
      <c r="B45" s="111">
        <v>78</v>
      </c>
      <c r="C45" s="111">
        <v>37500</v>
      </c>
      <c r="D45" s="111">
        <v>31700</v>
      </c>
      <c r="E45" s="111">
        <v>9428</v>
      </c>
      <c r="F45" s="111">
        <v>1815</v>
      </c>
      <c r="G45" s="111">
        <v>10200</v>
      </c>
      <c r="H45" s="111">
        <v>3852</v>
      </c>
      <c r="I45" s="111">
        <v>6600</v>
      </c>
      <c r="J45" s="123">
        <f t="shared" si="0"/>
        <v>1.7673048600883652</v>
      </c>
      <c r="K45" s="123">
        <f t="shared" si="1"/>
        <v>2.2657754616517502E-2</v>
      </c>
    </row>
    <row r="46" spans="1:11" x14ac:dyDescent="0.5">
      <c r="A46" s="68" t="s">
        <v>23</v>
      </c>
      <c r="B46" s="111">
        <v>100</v>
      </c>
      <c r="C46" s="111">
        <v>47790</v>
      </c>
      <c r="D46" s="111">
        <v>40800</v>
      </c>
      <c r="E46" s="111">
        <v>13000</v>
      </c>
      <c r="F46" s="111">
        <v>1801</v>
      </c>
      <c r="G46" s="111">
        <v>12900</v>
      </c>
      <c r="H46" s="111">
        <v>4352</v>
      </c>
      <c r="I46" s="111">
        <v>6800</v>
      </c>
      <c r="J46" s="123">
        <f t="shared" si="0"/>
        <v>2.3912191297530381</v>
      </c>
      <c r="K46" s="123">
        <f t="shared" si="1"/>
        <v>2.3912191297530382E-2</v>
      </c>
    </row>
    <row r="47" spans="1:11" x14ac:dyDescent="0.5">
      <c r="A47" s="68" t="s">
        <v>19</v>
      </c>
      <c r="B47" s="111">
        <v>124</v>
      </c>
      <c r="C47" s="111">
        <v>48790</v>
      </c>
      <c r="D47" s="111">
        <v>42500</v>
      </c>
      <c r="E47" s="111">
        <v>13100</v>
      </c>
      <c r="F47" s="111">
        <v>1482</v>
      </c>
      <c r="G47" s="111">
        <v>13800</v>
      </c>
      <c r="H47" s="111">
        <v>4352</v>
      </c>
      <c r="I47" s="111">
        <v>7000</v>
      </c>
      <c r="J47" s="123">
        <f t="shared" si="0"/>
        <v>2.3693379790940767</v>
      </c>
      <c r="K47" s="123">
        <f t="shared" si="1"/>
        <v>1.9107564347532878E-2</v>
      </c>
    </row>
    <row r="48" spans="1:11" x14ac:dyDescent="0.5">
      <c r="A48" s="68" t="s">
        <v>17</v>
      </c>
      <c r="B48" s="111">
        <v>104</v>
      </c>
      <c r="C48" s="111">
        <v>61500</v>
      </c>
      <c r="D48" s="111">
        <v>51850</v>
      </c>
      <c r="E48" s="111">
        <v>13690</v>
      </c>
      <c r="F48" s="111">
        <v>3519</v>
      </c>
      <c r="G48" s="111">
        <v>16100</v>
      </c>
      <c r="H48" s="111">
        <v>5649</v>
      </c>
      <c r="I48" s="111">
        <v>12000</v>
      </c>
      <c r="J48" s="123">
        <f t="shared" si="0"/>
        <v>1.9248826291079812</v>
      </c>
      <c r="K48" s="123">
        <f t="shared" si="1"/>
        <v>1.8508486818345972E-2</v>
      </c>
    </row>
    <row r="49" spans="1:11" x14ac:dyDescent="0.5">
      <c r="A49" s="68" t="s">
        <v>15</v>
      </c>
      <c r="B49" s="111">
        <v>30</v>
      </c>
      <c r="C49" s="111">
        <v>11500</v>
      </c>
      <c r="D49" s="111">
        <v>10500</v>
      </c>
      <c r="E49" s="111">
        <v>2622</v>
      </c>
      <c r="F49" s="111">
        <v>537</v>
      </c>
      <c r="G49" s="111">
        <v>3281</v>
      </c>
      <c r="H49" s="111">
        <v>2926</v>
      </c>
      <c r="I49" s="111">
        <v>1700</v>
      </c>
      <c r="J49" s="123">
        <f t="shared" si="0"/>
        <v>0.66178317287568023</v>
      </c>
      <c r="K49" s="123">
        <f t="shared" si="1"/>
        <v>2.2059439095856007E-2</v>
      </c>
    </row>
    <row r="50" spans="1:11" x14ac:dyDescent="0.5">
      <c r="A50" s="68" t="s">
        <v>11</v>
      </c>
      <c r="B50" s="111">
        <v>50</v>
      </c>
      <c r="C50" s="111">
        <v>20600</v>
      </c>
      <c r="D50" s="111">
        <v>17100</v>
      </c>
      <c r="E50" s="111">
        <v>4173</v>
      </c>
      <c r="F50" s="111">
        <v>1759</v>
      </c>
      <c r="G50" s="111">
        <v>5250</v>
      </c>
      <c r="H50" s="111">
        <v>2222</v>
      </c>
      <c r="I50" s="111">
        <v>4600</v>
      </c>
      <c r="J50" s="123">
        <f t="shared" si="0"/>
        <v>1.4038876889848813</v>
      </c>
      <c r="K50" s="123">
        <f t="shared" si="1"/>
        <v>2.8077753779697626E-2</v>
      </c>
    </row>
    <row r="51" spans="1:11" x14ac:dyDescent="0.5">
      <c r="A51" s="68" t="s">
        <v>9</v>
      </c>
      <c r="B51" s="111">
        <v>97</v>
      </c>
      <c r="C51" s="111">
        <v>44450</v>
      </c>
      <c r="D51" s="111">
        <v>36740</v>
      </c>
      <c r="E51" s="111">
        <v>10293</v>
      </c>
      <c r="F51" s="111">
        <v>2037</v>
      </c>
      <c r="G51" s="111">
        <v>10700</v>
      </c>
      <c r="H51" s="111">
        <v>3111</v>
      </c>
      <c r="I51" s="111">
        <v>8400</v>
      </c>
      <c r="J51" s="123">
        <f t="shared" si="0"/>
        <v>2.1415270018621975</v>
      </c>
      <c r="K51" s="123">
        <f t="shared" si="1"/>
        <v>2.2077597957342241E-2</v>
      </c>
    </row>
    <row r="52" spans="1:11" x14ac:dyDescent="0.5">
      <c r="A52" s="68" t="s">
        <v>4</v>
      </c>
      <c r="B52" s="111">
        <v>34</v>
      </c>
      <c r="C52" s="111">
        <v>12700</v>
      </c>
      <c r="D52" s="111">
        <v>12340</v>
      </c>
      <c r="E52" s="111">
        <v>2580</v>
      </c>
      <c r="F52" s="111">
        <v>806</v>
      </c>
      <c r="G52" s="111">
        <v>11454</v>
      </c>
      <c r="H52" s="111">
        <v>2248</v>
      </c>
      <c r="I52" s="111">
        <v>10141</v>
      </c>
      <c r="J52" s="123">
        <f t="shared" si="0"/>
        <v>0.91054091539528437</v>
      </c>
      <c r="K52" s="123">
        <f t="shared" si="1"/>
        <v>2.6780615158684833E-2</v>
      </c>
    </row>
    <row r="53" spans="1:11" x14ac:dyDescent="0.5">
      <c r="A53" s="68" t="s">
        <v>2</v>
      </c>
      <c r="B53" s="111">
        <v>100</v>
      </c>
      <c r="C53" s="111">
        <v>45880</v>
      </c>
      <c r="D53" s="111">
        <v>40000</v>
      </c>
      <c r="E53" s="111">
        <v>12407</v>
      </c>
      <c r="F53" s="111">
        <v>1445</v>
      </c>
      <c r="G53" s="111">
        <v>12300</v>
      </c>
      <c r="H53" s="111">
        <v>5204</v>
      </c>
      <c r="I53" s="111">
        <v>5640</v>
      </c>
      <c r="J53" s="123">
        <f t="shared" si="0"/>
        <v>1.7717478052673583</v>
      </c>
      <c r="K53" s="123">
        <f t="shared" si="1"/>
        <v>1.7717478052673583E-2</v>
      </c>
    </row>
  </sheetData>
  <autoFilter ref="A1:K53" xr:uid="{1BDF3BA8-C869-9B47-8AC7-2111ABABAB8A}"/>
  <mergeCells count="11">
    <mergeCell ref="G1:G2"/>
    <mergeCell ref="H1:H2"/>
    <mergeCell ref="I1:I2"/>
    <mergeCell ref="J1:J2"/>
    <mergeCell ref="K1:K2"/>
    <mergeCell ref="F1:F2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49268-5F09-9F47-AF4A-92742FF728F1}">
  <dimension ref="A1:H53"/>
  <sheetViews>
    <sheetView workbookViewId="0">
      <selection activeCell="F16" sqref="F16"/>
    </sheetView>
  </sheetViews>
  <sheetFormatPr baseColWidth="10" defaultRowHeight="15.75" x14ac:dyDescent="0.5"/>
  <cols>
    <col min="1" max="1" width="32.6875" customWidth="1"/>
    <col min="7" max="7" width="27" customWidth="1"/>
    <col min="8" max="8" width="37.6875" customWidth="1"/>
    <col min="10" max="10" width="28.5" customWidth="1"/>
    <col min="11" max="11" width="37" customWidth="1"/>
  </cols>
  <sheetData>
    <row r="1" spans="1:8" ht="16.05" customHeight="1" x14ac:dyDescent="0.5">
      <c r="A1" s="150" t="s">
        <v>154</v>
      </c>
      <c r="B1" s="148" t="s">
        <v>151</v>
      </c>
      <c r="C1" s="148" t="s">
        <v>148</v>
      </c>
      <c r="D1" s="148" t="s">
        <v>147</v>
      </c>
      <c r="E1" s="148" t="s">
        <v>146</v>
      </c>
      <c r="F1" s="148" t="s">
        <v>145</v>
      </c>
      <c r="G1" s="148" t="s">
        <v>163</v>
      </c>
      <c r="H1" s="148" t="s">
        <v>298</v>
      </c>
    </row>
    <row r="2" spans="1:8" ht="16.149999999999999" thickBot="1" x14ac:dyDescent="0.55000000000000004">
      <c r="A2" s="151"/>
      <c r="B2" s="149"/>
      <c r="C2" s="149"/>
      <c r="D2" s="149"/>
      <c r="E2" s="149"/>
      <c r="F2" s="149"/>
      <c r="G2" s="149"/>
      <c r="H2" s="149"/>
    </row>
    <row r="3" spans="1:8" x14ac:dyDescent="0.5">
      <c r="A3" s="132" t="s">
        <v>128</v>
      </c>
      <c r="B3" s="111">
        <v>150</v>
      </c>
      <c r="C3" s="111">
        <v>67585</v>
      </c>
      <c r="D3" s="111">
        <v>55792</v>
      </c>
      <c r="E3" s="111">
        <v>16884</v>
      </c>
      <c r="F3" s="111">
        <v>3704</v>
      </c>
      <c r="G3" s="123">
        <f t="shared" ref="G3:G35" si="0">C3*(1-(D3/C3))/F3</f>
        <v>3.1838552915766734</v>
      </c>
      <c r="H3" s="123">
        <f t="shared" ref="H3:H35" si="1">G3/B3</f>
        <v>2.1225701943844488E-2</v>
      </c>
    </row>
    <row r="4" spans="1:8" x14ac:dyDescent="0.5">
      <c r="A4" s="68" t="s">
        <v>121</v>
      </c>
      <c r="B4" s="111">
        <v>134</v>
      </c>
      <c r="C4" s="111">
        <v>75500</v>
      </c>
      <c r="D4" s="111">
        <v>58500</v>
      </c>
      <c r="E4" s="111">
        <v>18729</v>
      </c>
      <c r="F4" s="111">
        <v>4630</v>
      </c>
      <c r="G4" s="123">
        <f t="shared" si="0"/>
        <v>3.6717062634989208</v>
      </c>
      <c r="H4" s="123">
        <f t="shared" si="1"/>
        <v>2.7400793011185975E-2</v>
      </c>
    </row>
    <row r="5" spans="1:8" x14ac:dyDescent="0.5">
      <c r="A5" s="68" t="s">
        <v>120</v>
      </c>
      <c r="B5" s="111">
        <v>150</v>
      </c>
      <c r="C5" s="111">
        <v>78000</v>
      </c>
      <c r="D5" s="111">
        <v>62500</v>
      </c>
      <c r="E5" s="111">
        <v>18729</v>
      </c>
      <c r="F5" s="111">
        <v>3882</v>
      </c>
      <c r="G5" s="123">
        <f t="shared" si="0"/>
        <v>3.9927872230808852</v>
      </c>
      <c r="H5" s="123">
        <f t="shared" si="1"/>
        <v>2.6618581487205903E-2</v>
      </c>
    </row>
    <row r="6" spans="1:8" x14ac:dyDescent="0.5">
      <c r="A6" s="68" t="s">
        <v>119</v>
      </c>
      <c r="B6" s="111">
        <v>165</v>
      </c>
      <c r="C6" s="111">
        <v>79000</v>
      </c>
      <c r="D6" s="111">
        <v>62800</v>
      </c>
      <c r="E6" s="111">
        <v>21005</v>
      </c>
      <c r="F6" s="111">
        <v>4528</v>
      </c>
      <c r="G6" s="123">
        <f t="shared" si="0"/>
        <v>3.5777385159010597</v>
      </c>
      <c r="H6" s="123">
        <f t="shared" si="1"/>
        <v>2.1683263732733694E-2</v>
      </c>
    </row>
    <row r="7" spans="1:8" x14ac:dyDescent="0.5">
      <c r="A7" s="68" t="s">
        <v>118</v>
      </c>
      <c r="B7" s="111">
        <v>185</v>
      </c>
      <c r="C7" s="111">
        <v>93500</v>
      </c>
      <c r="D7" s="111">
        <v>77800</v>
      </c>
      <c r="E7" s="111">
        <v>23301</v>
      </c>
      <c r="F7" s="111">
        <v>4215</v>
      </c>
      <c r="G7" s="123">
        <f t="shared" si="0"/>
        <v>3.7247924080664307</v>
      </c>
      <c r="H7" s="123">
        <f t="shared" si="1"/>
        <v>2.0134013016575303E-2</v>
      </c>
    </row>
    <row r="8" spans="1:8" x14ac:dyDescent="0.5">
      <c r="A8" s="68" t="s">
        <v>117</v>
      </c>
      <c r="B8" s="111">
        <v>206</v>
      </c>
      <c r="C8" s="111">
        <v>97000</v>
      </c>
      <c r="D8" s="111">
        <v>73300</v>
      </c>
      <c r="E8" s="111">
        <v>26484</v>
      </c>
      <c r="F8" s="111">
        <v>5648.6</v>
      </c>
      <c r="G8" s="123">
        <f t="shared" si="0"/>
        <v>4.195729915377262</v>
      </c>
      <c r="H8" s="123">
        <f t="shared" si="1"/>
        <v>2.0367620948433311E-2</v>
      </c>
    </row>
    <row r="9" spans="1:8" x14ac:dyDescent="0.5">
      <c r="A9" s="68" t="s">
        <v>116</v>
      </c>
      <c r="B9" s="111">
        <v>246</v>
      </c>
      <c r="C9" s="111">
        <v>242000</v>
      </c>
      <c r="D9" s="111">
        <v>170000</v>
      </c>
      <c r="E9" s="111">
        <v>109186</v>
      </c>
      <c r="F9" s="111">
        <v>8584</v>
      </c>
      <c r="G9" s="123">
        <f t="shared" si="0"/>
        <v>8.387698042870456</v>
      </c>
      <c r="H9" s="123">
        <f t="shared" si="1"/>
        <v>3.409633350760348E-2</v>
      </c>
    </row>
    <row r="10" spans="1:8" x14ac:dyDescent="0.5">
      <c r="A10" s="68" t="s">
        <v>115</v>
      </c>
      <c r="B10" s="111">
        <v>300</v>
      </c>
      <c r="C10" s="111">
        <v>242000</v>
      </c>
      <c r="D10" s="111">
        <v>175000</v>
      </c>
      <c r="E10" s="111">
        <v>76561</v>
      </c>
      <c r="F10" s="111">
        <v>7723</v>
      </c>
      <c r="G10" s="123">
        <f t="shared" si="0"/>
        <v>8.6753852130001281</v>
      </c>
      <c r="H10" s="123">
        <f t="shared" si="1"/>
        <v>2.8917950710000428E-2</v>
      </c>
    </row>
    <row r="11" spans="1:8" x14ac:dyDescent="0.5">
      <c r="A11" s="68" t="s">
        <v>1</v>
      </c>
      <c r="B11" s="111">
        <v>300</v>
      </c>
      <c r="C11" s="111">
        <v>242000</v>
      </c>
      <c r="D11" s="111">
        <v>181000</v>
      </c>
      <c r="E11" s="111">
        <v>76561</v>
      </c>
      <c r="F11" s="111">
        <v>7723</v>
      </c>
      <c r="G11" s="123">
        <f t="shared" si="0"/>
        <v>7.8984850446717614</v>
      </c>
      <c r="H11" s="123">
        <f t="shared" si="1"/>
        <v>2.6328283482239204E-2</v>
      </c>
    </row>
    <row r="12" spans="1:8" x14ac:dyDescent="0.5">
      <c r="A12" s="68" t="s">
        <v>109</v>
      </c>
      <c r="B12" s="111">
        <v>315</v>
      </c>
      <c r="C12" s="111">
        <v>280000</v>
      </c>
      <c r="D12" s="111">
        <v>195700</v>
      </c>
      <c r="E12" s="111">
        <v>108330</v>
      </c>
      <c r="F12" s="111">
        <v>10797</v>
      </c>
      <c r="G12" s="123">
        <f t="shared" si="0"/>
        <v>7.807724367879965</v>
      </c>
      <c r="H12" s="123">
        <f t="shared" si="1"/>
        <v>2.4786426564698302E-2</v>
      </c>
    </row>
    <row r="13" spans="1:8" x14ac:dyDescent="0.5">
      <c r="A13" s="68" t="s">
        <v>106</v>
      </c>
      <c r="B13" s="111">
        <v>575</v>
      </c>
      <c r="C13" s="111">
        <v>575000</v>
      </c>
      <c r="D13" s="111">
        <v>369000</v>
      </c>
      <c r="E13" s="111">
        <v>323546</v>
      </c>
      <c r="F13" s="111">
        <v>12131</v>
      </c>
      <c r="G13" s="123">
        <f t="shared" si="0"/>
        <v>16.981287610254718</v>
      </c>
      <c r="H13" s="123">
        <f t="shared" si="1"/>
        <v>2.9532674104790813E-2</v>
      </c>
    </row>
    <row r="14" spans="1:8" x14ac:dyDescent="0.5">
      <c r="A14" s="68" t="s">
        <v>104</v>
      </c>
      <c r="B14" s="111">
        <v>48</v>
      </c>
      <c r="C14" s="111">
        <v>18600</v>
      </c>
      <c r="D14" s="111">
        <v>16700</v>
      </c>
      <c r="E14" s="111">
        <v>4500</v>
      </c>
      <c r="F14" s="111">
        <v>969</v>
      </c>
      <c r="G14" s="123">
        <f t="shared" si="0"/>
        <v>1.9607843137254906</v>
      </c>
      <c r="H14" s="123">
        <f t="shared" si="1"/>
        <v>4.0849673202614387E-2</v>
      </c>
    </row>
    <row r="15" spans="1:8" x14ac:dyDescent="0.5">
      <c r="A15" s="68" t="s">
        <v>102</v>
      </c>
      <c r="B15" s="111">
        <v>68</v>
      </c>
      <c r="C15" s="111">
        <v>22500</v>
      </c>
      <c r="D15" s="111">
        <v>20500</v>
      </c>
      <c r="E15" s="111">
        <v>5000</v>
      </c>
      <c r="F15" s="111">
        <v>926</v>
      </c>
      <c r="G15" s="123">
        <f t="shared" si="0"/>
        <v>2.1598272138228944</v>
      </c>
      <c r="H15" s="123">
        <f t="shared" si="1"/>
        <v>3.1762164909160215E-2</v>
      </c>
    </row>
    <row r="16" spans="1:8" x14ac:dyDescent="0.5">
      <c r="A16" s="68" t="s">
        <v>100</v>
      </c>
      <c r="B16" s="111">
        <v>19</v>
      </c>
      <c r="C16" s="111">
        <v>7766</v>
      </c>
      <c r="D16" s="111">
        <v>6879</v>
      </c>
      <c r="E16" s="111">
        <v>2022</v>
      </c>
      <c r="F16" s="111">
        <v>585</v>
      </c>
      <c r="G16" s="123">
        <f t="shared" si="0"/>
        <v>1.5162393162393162</v>
      </c>
      <c r="H16" s="123">
        <f t="shared" si="1"/>
        <v>7.9802069275753479E-2</v>
      </c>
    </row>
    <row r="17" spans="1:8" x14ac:dyDescent="0.5">
      <c r="A17" s="68" t="s">
        <v>98</v>
      </c>
      <c r="B17" s="111">
        <v>106</v>
      </c>
      <c r="C17" s="111">
        <v>54884</v>
      </c>
      <c r="D17" s="111">
        <v>45586</v>
      </c>
      <c r="E17" s="111">
        <v>13382</v>
      </c>
      <c r="F17" s="111">
        <v>2185</v>
      </c>
      <c r="G17" s="123">
        <f t="shared" si="0"/>
        <v>4.2553775743707094</v>
      </c>
      <c r="H17" s="123">
        <f t="shared" si="1"/>
        <v>4.0145071456327446E-2</v>
      </c>
    </row>
    <row r="18" spans="1:8" x14ac:dyDescent="0.5">
      <c r="A18" s="68" t="s">
        <v>157</v>
      </c>
      <c r="B18" s="111">
        <v>162</v>
      </c>
      <c r="C18" s="111">
        <v>82644</v>
      </c>
      <c r="D18" s="111">
        <v>65952</v>
      </c>
      <c r="E18" s="111">
        <v>20730</v>
      </c>
      <c r="F18" s="111">
        <v>4842</v>
      </c>
      <c r="G18" s="123">
        <f t="shared" si="0"/>
        <v>3.4473358116480783</v>
      </c>
      <c r="H18" s="123">
        <f t="shared" si="1"/>
        <v>2.127985068918567E-2</v>
      </c>
    </row>
    <row r="19" spans="1:8" x14ac:dyDescent="0.5">
      <c r="A19" s="68" t="s">
        <v>95</v>
      </c>
      <c r="B19" s="111">
        <v>180</v>
      </c>
      <c r="C19" s="111">
        <v>88314</v>
      </c>
      <c r="D19" s="111">
        <v>70987</v>
      </c>
      <c r="E19" s="111">
        <v>20730</v>
      </c>
      <c r="F19" s="111">
        <v>4630</v>
      </c>
      <c r="G19" s="123">
        <f t="shared" si="0"/>
        <v>3.742332613390928</v>
      </c>
      <c r="H19" s="123">
        <f t="shared" si="1"/>
        <v>2.079073674106071E-2</v>
      </c>
    </row>
    <row r="20" spans="1:8" x14ac:dyDescent="0.5">
      <c r="A20" s="68" t="s">
        <v>91</v>
      </c>
      <c r="B20" s="111">
        <v>126</v>
      </c>
      <c r="C20" s="111">
        <v>61235</v>
      </c>
      <c r="D20" s="111">
        <v>48308</v>
      </c>
      <c r="E20" s="111">
        <v>18602</v>
      </c>
      <c r="F20" s="111">
        <v>3439</v>
      </c>
      <c r="G20" s="123">
        <f t="shared" si="0"/>
        <v>3.7589415527769701</v>
      </c>
      <c r="H20" s="123">
        <f t="shared" si="1"/>
        <v>2.9832869466483888E-2</v>
      </c>
    </row>
    <row r="21" spans="1:8" x14ac:dyDescent="0.5">
      <c r="A21" s="68" t="s">
        <v>87</v>
      </c>
      <c r="B21" s="111">
        <v>147</v>
      </c>
      <c r="C21" s="111">
        <v>68039</v>
      </c>
      <c r="D21" s="111">
        <v>53070</v>
      </c>
      <c r="E21" s="111">
        <v>18602</v>
      </c>
      <c r="F21" s="111">
        <v>3258</v>
      </c>
      <c r="G21" s="123">
        <f t="shared" si="0"/>
        <v>4.5945365254757515</v>
      </c>
      <c r="H21" s="123">
        <f t="shared" si="1"/>
        <v>3.1255350513440486E-2</v>
      </c>
    </row>
    <row r="22" spans="1:8" x14ac:dyDescent="0.5">
      <c r="A22" s="68" t="s">
        <v>84</v>
      </c>
      <c r="B22" s="111">
        <v>110</v>
      </c>
      <c r="C22" s="111">
        <v>60555</v>
      </c>
      <c r="D22" s="111">
        <v>46493</v>
      </c>
      <c r="E22" s="111">
        <v>18602</v>
      </c>
      <c r="F22" s="111">
        <v>2910</v>
      </c>
      <c r="G22" s="123">
        <f t="shared" si="0"/>
        <v>4.8323024054982833</v>
      </c>
      <c r="H22" s="123">
        <f t="shared" si="1"/>
        <v>4.3930021868166212E-2</v>
      </c>
    </row>
    <row r="23" spans="1:8" x14ac:dyDescent="0.5">
      <c r="A23" s="68" t="s">
        <v>81</v>
      </c>
      <c r="B23" s="111">
        <v>128</v>
      </c>
      <c r="C23" s="111">
        <v>70080</v>
      </c>
      <c r="D23" s="111">
        <v>55202</v>
      </c>
      <c r="E23" s="111">
        <v>20894</v>
      </c>
      <c r="F23" s="111">
        <v>3945</v>
      </c>
      <c r="G23" s="123">
        <f t="shared" si="0"/>
        <v>3.7713561470215473</v>
      </c>
      <c r="H23" s="123">
        <f t="shared" si="1"/>
        <v>2.9463719898605838E-2</v>
      </c>
    </row>
    <row r="24" spans="1:8" x14ac:dyDescent="0.5">
      <c r="A24" s="68" t="s">
        <v>79</v>
      </c>
      <c r="B24" s="111">
        <v>160</v>
      </c>
      <c r="C24" s="111">
        <v>79016</v>
      </c>
      <c r="D24" s="111">
        <v>62732</v>
      </c>
      <c r="E24" s="111">
        <v>20894</v>
      </c>
      <c r="F24" s="111">
        <v>3750</v>
      </c>
      <c r="G24" s="123">
        <f t="shared" si="0"/>
        <v>4.3423999999999987</v>
      </c>
      <c r="H24" s="123">
        <f t="shared" si="1"/>
        <v>2.7139999999999991E-2</v>
      </c>
    </row>
    <row r="25" spans="1:8" x14ac:dyDescent="0.5">
      <c r="A25" s="68" t="s">
        <v>77</v>
      </c>
      <c r="B25" s="111">
        <v>177</v>
      </c>
      <c r="C25" s="111">
        <v>74389</v>
      </c>
      <c r="D25" s="111">
        <v>62732</v>
      </c>
      <c r="E25" s="111">
        <v>20894</v>
      </c>
      <c r="F25" s="111">
        <v>3704</v>
      </c>
      <c r="G25" s="123">
        <f t="shared" si="0"/>
        <v>3.1471382289416852</v>
      </c>
      <c r="H25" s="123">
        <f t="shared" si="1"/>
        <v>1.7780441971421951E-2</v>
      </c>
    </row>
    <row r="26" spans="1:8" x14ac:dyDescent="0.5">
      <c r="A26" s="68" t="s">
        <v>74</v>
      </c>
      <c r="B26" s="111">
        <v>416</v>
      </c>
      <c r="C26" s="111">
        <v>396894</v>
      </c>
      <c r="D26" s="111">
        <v>246074</v>
      </c>
      <c r="E26" s="111">
        <v>173425</v>
      </c>
      <c r="F26" s="111">
        <v>10570</v>
      </c>
      <c r="G26" s="123">
        <f t="shared" si="0"/>
        <v>14.268684957426679</v>
      </c>
      <c r="H26" s="123">
        <f t="shared" si="1"/>
        <v>3.4299723455352593E-2</v>
      </c>
    </row>
    <row r="27" spans="1:8" x14ac:dyDescent="0.5">
      <c r="A27" s="68" t="s">
        <v>68</v>
      </c>
      <c r="B27" s="111">
        <v>200</v>
      </c>
      <c r="C27" s="111">
        <v>108850</v>
      </c>
      <c r="D27" s="111">
        <v>83450</v>
      </c>
      <c r="E27" s="111">
        <v>34260</v>
      </c>
      <c r="F27" s="111">
        <v>4321</v>
      </c>
      <c r="G27" s="123">
        <f t="shared" si="0"/>
        <v>5.8782689192316582</v>
      </c>
      <c r="H27" s="123">
        <f t="shared" si="1"/>
        <v>2.9391344596158289E-2</v>
      </c>
    </row>
    <row r="28" spans="1:8" x14ac:dyDescent="0.5">
      <c r="A28" s="68" t="s">
        <v>0</v>
      </c>
      <c r="B28" s="111">
        <v>261</v>
      </c>
      <c r="C28" s="111">
        <v>158758</v>
      </c>
      <c r="D28" s="111">
        <v>126099</v>
      </c>
      <c r="E28" s="111">
        <v>50753</v>
      </c>
      <c r="F28" s="111">
        <v>4260</v>
      </c>
      <c r="G28" s="123">
        <f t="shared" si="0"/>
        <v>7.6664319248826294</v>
      </c>
      <c r="H28" s="123">
        <f t="shared" si="1"/>
        <v>2.9373302394186319E-2</v>
      </c>
    </row>
    <row r="29" spans="1:8" x14ac:dyDescent="0.5">
      <c r="A29" s="68" t="s">
        <v>61</v>
      </c>
      <c r="B29" s="111">
        <v>305</v>
      </c>
      <c r="C29" s="111">
        <v>242630</v>
      </c>
      <c r="D29" s="111">
        <v>190470</v>
      </c>
      <c r="E29" s="111">
        <v>94240</v>
      </c>
      <c r="F29" s="111">
        <v>6112</v>
      </c>
      <c r="G29" s="123">
        <f t="shared" si="0"/>
        <v>8.5340314136125635</v>
      </c>
      <c r="H29" s="123">
        <f t="shared" si="1"/>
        <v>2.7980430864303487E-2</v>
      </c>
    </row>
    <row r="30" spans="1:8" x14ac:dyDescent="0.5">
      <c r="A30" s="68" t="s">
        <v>60</v>
      </c>
      <c r="B30" s="111">
        <v>305</v>
      </c>
      <c r="C30" s="111">
        <v>233600</v>
      </c>
      <c r="D30" s="111">
        <v>190500</v>
      </c>
      <c r="E30" s="111">
        <v>94240</v>
      </c>
      <c r="F30" s="111">
        <v>5848</v>
      </c>
      <c r="G30" s="123">
        <f t="shared" si="0"/>
        <v>7.3700410396716816</v>
      </c>
      <c r="H30" s="123">
        <f t="shared" si="1"/>
        <v>2.4164068982530103E-2</v>
      </c>
    </row>
    <row r="31" spans="1:8" x14ac:dyDescent="0.5">
      <c r="A31" s="68" t="s">
        <v>56</v>
      </c>
      <c r="B31" s="111">
        <v>365</v>
      </c>
      <c r="C31" s="111">
        <v>351535</v>
      </c>
      <c r="D31" s="111">
        <v>237682</v>
      </c>
      <c r="E31" s="111">
        <v>145540</v>
      </c>
      <c r="F31" s="111">
        <v>10533</v>
      </c>
      <c r="G31" s="123">
        <f t="shared" si="0"/>
        <v>10.80917117630305</v>
      </c>
      <c r="H31" s="123">
        <f t="shared" si="1"/>
        <v>2.9614167606309725E-2</v>
      </c>
    </row>
    <row r="32" spans="1:8" x14ac:dyDescent="0.5">
      <c r="A32" s="68" t="s">
        <v>54</v>
      </c>
      <c r="B32" s="111">
        <v>242</v>
      </c>
      <c r="C32" s="111">
        <v>227930</v>
      </c>
      <c r="D32" s="111">
        <v>161025</v>
      </c>
      <c r="E32" s="111">
        <v>101343</v>
      </c>
      <c r="F32" s="111">
        <v>10186</v>
      </c>
      <c r="G32" s="123">
        <f t="shared" si="0"/>
        <v>6.5683290791282154</v>
      </c>
      <c r="H32" s="123">
        <f t="shared" si="1"/>
        <v>2.7141855698876925E-2</v>
      </c>
    </row>
    <row r="33" spans="1:8" x14ac:dyDescent="0.5">
      <c r="A33" s="68" t="s">
        <v>53</v>
      </c>
      <c r="B33" s="111">
        <v>290</v>
      </c>
      <c r="C33" s="111">
        <v>254011</v>
      </c>
      <c r="D33" s="111">
        <v>181437</v>
      </c>
      <c r="E33" s="111">
        <v>101522</v>
      </c>
      <c r="F33" s="111">
        <v>9714</v>
      </c>
      <c r="G33" s="123">
        <f t="shared" si="0"/>
        <v>7.4710726786081931</v>
      </c>
      <c r="H33" s="123">
        <f t="shared" si="1"/>
        <v>2.5762319581407563E-2</v>
      </c>
    </row>
    <row r="34" spans="1:8" x14ac:dyDescent="0.5">
      <c r="A34" s="68" t="s">
        <v>48</v>
      </c>
      <c r="B34" s="111">
        <v>143</v>
      </c>
      <c r="C34" s="111">
        <v>63504</v>
      </c>
      <c r="D34" s="111">
        <v>50802</v>
      </c>
      <c r="E34" s="111">
        <v>17764</v>
      </c>
      <c r="F34" s="111">
        <v>2621</v>
      </c>
      <c r="G34" s="123">
        <f t="shared" si="0"/>
        <v>4.8462418924074777</v>
      </c>
      <c r="H34" s="123">
        <f t="shared" si="1"/>
        <v>3.3889803443408938E-2</v>
      </c>
    </row>
    <row r="35" spans="1:8" x14ac:dyDescent="0.5">
      <c r="A35" s="68" t="s">
        <v>159</v>
      </c>
      <c r="B35" s="111">
        <v>50</v>
      </c>
      <c r="C35" s="111">
        <v>21523</v>
      </c>
      <c r="D35" s="111">
        <v>19142</v>
      </c>
      <c r="E35" s="111">
        <v>4161</v>
      </c>
      <c r="F35" s="111">
        <v>1019</v>
      </c>
      <c r="G35" s="123">
        <f t="shared" si="0"/>
        <v>2.3366045142296366</v>
      </c>
      <c r="H35" s="123">
        <f t="shared" si="1"/>
        <v>4.6732090284592728E-2</v>
      </c>
    </row>
    <row r="36" spans="1:8" x14ac:dyDescent="0.5">
      <c r="A36" s="68" t="s">
        <v>158</v>
      </c>
      <c r="B36" s="111">
        <v>50</v>
      </c>
      <c r="C36" s="111">
        <v>21523</v>
      </c>
      <c r="D36" s="111">
        <v>19142</v>
      </c>
      <c r="E36" s="111">
        <v>4255</v>
      </c>
      <c r="F36" s="111">
        <v>1061</v>
      </c>
      <c r="G36" s="123">
        <f t="shared" ref="G36:G53" si="2">C36*(1-(D36/C36))/F36</f>
        <v>2.2441093308199807</v>
      </c>
      <c r="H36" s="123">
        <f t="shared" ref="H36:H53" si="3">G36/B36</f>
        <v>4.4882186616399616E-2</v>
      </c>
    </row>
    <row r="37" spans="1:8" x14ac:dyDescent="0.5">
      <c r="A37" s="68" t="s">
        <v>39</v>
      </c>
      <c r="B37" s="111">
        <v>78</v>
      </c>
      <c r="C37" s="111">
        <v>32995</v>
      </c>
      <c r="D37" s="111">
        <v>28259</v>
      </c>
      <c r="E37" s="111">
        <v>8991</v>
      </c>
      <c r="F37" s="111">
        <v>1759</v>
      </c>
      <c r="G37" s="123">
        <f t="shared" si="2"/>
        <v>2.6924388857305286</v>
      </c>
      <c r="H37" s="123">
        <f t="shared" si="3"/>
        <v>3.4518447252955498E-2</v>
      </c>
    </row>
    <row r="38" spans="1:8" x14ac:dyDescent="0.5">
      <c r="A38" s="68" t="s">
        <v>37</v>
      </c>
      <c r="B38" s="111">
        <v>90</v>
      </c>
      <c r="C38" s="111">
        <v>38329</v>
      </c>
      <c r="D38" s="111">
        <v>31752</v>
      </c>
      <c r="E38" s="111">
        <v>8888</v>
      </c>
      <c r="F38" s="111">
        <v>1926</v>
      </c>
      <c r="G38" s="123">
        <f t="shared" si="2"/>
        <v>3.4148494288681213</v>
      </c>
      <c r="H38" s="123">
        <f t="shared" si="3"/>
        <v>3.7942771431868014E-2</v>
      </c>
    </row>
    <row r="39" spans="1:8" x14ac:dyDescent="0.5">
      <c r="A39" s="68" t="s">
        <v>35</v>
      </c>
      <c r="B39" s="111">
        <v>104</v>
      </c>
      <c r="C39" s="111">
        <v>41640</v>
      </c>
      <c r="D39" s="111">
        <v>35153</v>
      </c>
      <c r="E39" s="111">
        <v>8822</v>
      </c>
      <c r="F39" s="111">
        <v>2222</v>
      </c>
      <c r="G39" s="123">
        <f t="shared" si="2"/>
        <v>2.9194419441944186</v>
      </c>
      <c r="H39" s="123">
        <f t="shared" si="3"/>
        <v>2.8071557155715562E-2</v>
      </c>
    </row>
    <row r="40" spans="1:8" x14ac:dyDescent="0.5">
      <c r="A40" s="68" t="s">
        <v>34</v>
      </c>
      <c r="B40" s="111">
        <v>37</v>
      </c>
      <c r="C40" s="111">
        <v>15650</v>
      </c>
      <c r="D40" s="111">
        <v>14061</v>
      </c>
      <c r="E40" s="111">
        <v>2576</v>
      </c>
      <c r="F40" s="111">
        <v>926</v>
      </c>
      <c r="G40" s="123">
        <f t="shared" si="2"/>
        <v>1.7159827213822902</v>
      </c>
      <c r="H40" s="123">
        <f t="shared" si="3"/>
        <v>4.6377911388710544E-2</v>
      </c>
    </row>
    <row r="41" spans="1:8" x14ac:dyDescent="0.5">
      <c r="A41" s="68" t="s">
        <v>44</v>
      </c>
      <c r="B41" s="111">
        <v>50</v>
      </c>
      <c r="C41" s="111">
        <v>19500</v>
      </c>
      <c r="D41" s="111">
        <v>17920</v>
      </c>
      <c r="E41" s="111">
        <v>2574</v>
      </c>
      <c r="F41" s="111">
        <v>715</v>
      </c>
      <c r="G41" s="123">
        <f t="shared" si="2"/>
        <v>2.2097902097902096</v>
      </c>
      <c r="H41" s="123">
        <f t="shared" si="3"/>
        <v>4.4195804195804191E-2</v>
      </c>
    </row>
    <row r="42" spans="1:8" x14ac:dyDescent="0.5">
      <c r="A42" s="68" t="s">
        <v>32</v>
      </c>
      <c r="B42" s="111">
        <v>82</v>
      </c>
      <c r="C42" s="111">
        <v>29257</v>
      </c>
      <c r="D42" s="111">
        <v>25855</v>
      </c>
      <c r="E42" s="111">
        <v>5318</v>
      </c>
      <c r="F42" s="111">
        <v>1396</v>
      </c>
      <c r="G42" s="123">
        <f t="shared" si="2"/>
        <v>2.4369627507163325</v>
      </c>
      <c r="H42" s="123">
        <f t="shared" si="3"/>
        <v>2.9719057935565032E-2</v>
      </c>
    </row>
    <row r="43" spans="1:8" x14ac:dyDescent="0.5">
      <c r="A43" s="68" t="s">
        <v>30</v>
      </c>
      <c r="B43" s="111">
        <v>19</v>
      </c>
      <c r="C43" s="111">
        <v>5670</v>
      </c>
      <c r="D43" s="111">
        <v>4581</v>
      </c>
      <c r="E43" s="111">
        <v>1159</v>
      </c>
      <c r="F43" s="111">
        <v>92.6</v>
      </c>
      <c r="G43" s="123">
        <f t="shared" si="2"/>
        <v>11.76025917926566</v>
      </c>
      <c r="H43" s="123">
        <f t="shared" si="3"/>
        <v>0.61896100943503474</v>
      </c>
    </row>
    <row r="44" spans="1:8" x14ac:dyDescent="0.5">
      <c r="A44" s="68" t="s">
        <v>26</v>
      </c>
      <c r="B44" s="111">
        <v>74</v>
      </c>
      <c r="C44" s="111">
        <v>35990</v>
      </c>
      <c r="D44" s="111">
        <v>29600</v>
      </c>
      <c r="E44" s="111">
        <v>9428</v>
      </c>
      <c r="F44" s="111">
        <v>1945</v>
      </c>
      <c r="G44" s="123">
        <f t="shared" si="2"/>
        <v>3.2853470437017984</v>
      </c>
      <c r="H44" s="123">
        <f t="shared" si="3"/>
        <v>4.4396581671645924E-2</v>
      </c>
    </row>
    <row r="45" spans="1:8" x14ac:dyDescent="0.5">
      <c r="A45" s="68" t="s">
        <v>25</v>
      </c>
      <c r="B45" s="111">
        <v>78</v>
      </c>
      <c r="C45" s="111">
        <v>37500</v>
      </c>
      <c r="D45" s="111">
        <v>31700</v>
      </c>
      <c r="E45" s="111">
        <v>9428</v>
      </c>
      <c r="F45" s="111">
        <v>1815</v>
      </c>
      <c r="G45" s="123">
        <f t="shared" si="2"/>
        <v>3.1955922865013764</v>
      </c>
      <c r="H45" s="123">
        <f t="shared" si="3"/>
        <v>4.0969131878222771E-2</v>
      </c>
    </row>
    <row r="46" spans="1:8" x14ac:dyDescent="0.5">
      <c r="A46" s="68" t="s">
        <v>23</v>
      </c>
      <c r="B46" s="111">
        <v>100</v>
      </c>
      <c r="C46" s="111">
        <v>47790</v>
      </c>
      <c r="D46" s="111">
        <v>40800</v>
      </c>
      <c r="E46" s="111">
        <v>13000</v>
      </c>
      <c r="F46" s="111">
        <v>1801</v>
      </c>
      <c r="G46" s="123">
        <f t="shared" si="2"/>
        <v>3.8811771238200996</v>
      </c>
      <c r="H46" s="123">
        <f t="shared" si="3"/>
        <v>3.8811771238200996E-2</v>
      </c>
    </row>
    <row r="47" spans="1:8" x14ac:dyDescent="0.5">
      <c r="A47" s="68" t="s">
        <v>19</v>
      </c>
      <c r="B47" s="111">
        <v>124</v>
      </c>
      <c r="C47" s="111">
        <v>48790</v>
      </c>
      <c r="D47" s="111">
        <v>42500</v>
      </c>
      <c r="E47" s="111">
        <v>13100</v>
      </c>
      <c r="F47" s="111">
        <v>1482</v>
      </c>
      <c r="G47" s="123">
        <f t="shared" si="2"/>
        <v>4.2442645074224039</v>
      </c>
      <c r="H47" s="123">
        <f t="shared" si="3"/>
        <v>3.4227939575987125E-2</v>
      </c>
    </row>
    <row r="48" spans="1:8" x14ac:dyDescent="0.5">
      <c r="A48" s="68" t="s">
        <v>17</v>
      </c>
      <c r="B48" s="111">
        <v>104</v>
      </c>
      <c r="C48" s="111">
        <v>61500</v>
      </c>
      <c r="D48" s="111">
        <v>51850</v>
      </c>
      <c r="E48" s="111">
        <v>13690</v>
      </c>
      <c r="F48" s="111">
        <v>3519</v>
      </c>
      <c r="G48" s="123">
        <f t="shared" si="2"/>
        <v>2.7422563228189816</v>
      </c>
      <c r="H48" s="123">
        <f t="shared" si="3"/>
        <v>2.6367849257874824E-2</v>
      </c>
    </row>
    <row r="49" spans="1:8" x14ac:dyDescent="0.5">
      <c r="A49" s="68" t="s">
        <v>15</v>
      </c>
      <c r="B49" s="111">
        <v>30</v>
      </c>
      <c r="C49" s="111">
        <v>11500</v>
      </c>
      <c r="D49" s="111">
        <v>10500</v>
      </c>
      <c r="E49" s="111">
        <v>2622</v>
      </c>
      <c r="F49" s="111">
        <v>537</v>
      </c>
      <c r="G49" s="123">
        <f t="shared" si="2"/>
        <v>1.8621973929236511</v>
      </c>
      <c r="H49" s="123">
        <f t="shared" si="3"/>
        <v>6.2073246430788369E-2</v>
      </c>
    </row>
    <row r="50" spans="1:8" x14ac:dyDescent="0.5">
      <c r="A50" s="68" t="s">
        <v>11</v>
      </c>
      <c r="B50" s="111">
        <v>50</v>
      </c>
      <c r="C50" s="111">
        <v>20600</v>
      </c>
      <c r="D50" s="111">
        <v>17100</v>
      </c>
      <c r="E50" s="111">
        <v>4173</v>
      </c>
      <c r="F50" s="111">
        <v>1759</v>
      </c>
      <c r="G50" s="123">
        <f t="shared" si="2"/>
        <v>1.9897669130187612</v>
      </c>
      <c r="H50" s="123">
        <f t="shared" si="3"/>
        <v>3.9795338260375221E-2</v>
      </c>
    </row>
    <row r="51" spans="1:8" x14ac:dyDescent="0.5">
      <c r="A51" s="68" t="s">
        <v>9</v>
      </c>
      <c r="B51" s="111">
        <v>97</v>
      </c>
      <c r="C51" s="111">
        <v>44450</v>
      </c>
      <c r="D51" s="111">
        <v>36740</v>
      </c>
      <c r="E51" s="111">
        <v>10293</v>
      </c>
      <c r="F51" s="111">
        <v>2037</v>
      </c>
      <c r="G51" s="123">
        <f t="shared" si="2"/>
        <v>3.7849779086892479</v>
      </c>
      <c r="H51" s="123">
        <f t="shared" si="3"/>
        <v>3.9020390811229357E-2</v>
      </c>
    </row>
    <row r="52" spans="1:8" x14ac:dyDescent="0.5">
      <c r="A52" s="68" t="s">
        <v>4</v>
      </c>
      <c r="B52" s="111">
        <v>34</v>
      </c>
      <c r="C52" s="111">
        <v>12700</v>
      </c>
      <c r="D52" s="111">
        <v>12340</v>
      </c>
      <c r="E52" s="111">
        <v>2580</v>
      </c>
      <c r="F52" s="111">
        <v>806</v>
      </c>
      <c r="G52" s="123">
        <f t="shared" si="2"/>
        <v>0.44665012406947846</v>
      </c>
      <c r="H52" s="123">
        <f t="shared" si="3"/>
        <v>1.313676835498466E-2</v>
      </c>
    </row>
    <row r="53" spans="1:8" x14ac:dyDescent="0.5">
      <c r="A53" s="68" t="s">
        <v>2</v>
      </c>
      <c r="B53" s="111">
        <v>100</v>
      </c>
      <c r="C53" s="111">
        <v>45880</v>
      </c>
      <c r="D53" s="111">
        <v>40000</v>
      </c>
      <c r="E53" s="111">
        <v>12407</v>
      </c>
      <c r="F53" s="111">
        <v>1445</v>
      </c>
      <c r="G53" s="123">
        <f t="shared" si="2"/>
        <v>4.0692041522491333</v>
      </c>
      <c r="H53" s="123">
        <f t="shared" si="3"/>
        <v>4.0692041522491333E-2</v>
      </c>
    </row>
  </sheetData>
  <autoFilter ref="A1:H53" xr:uid="{B7149268-5F09-9F47-AF4A-92742FF728F1}"/>
  <mergeCells count="8">
    <mergeCell ref="B1:B2"/>
    <mergeCell ref="G1:G2"/>
    <mergeCell ref="H1:H2"/>
    <mergeCell ref="A1:A2"/>
    <mergeCell ref="C1:C2"/>
    <mergeCell ref="D1:D2"/>
    <mergeCell ref="E1:E2"/>
    <mergeCell ref="F1:F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C21FE-3CB9-6B46-BEA4-D974365267C8}">
  <dimension ref="A1:O53"/>
  <sheetViews>
    <sheetView topLeftCell="A20" workbookViewId="0">
      <selection activeCell="C52" sqref="C52"/>
    </sheetView>
  </sheetViews>
  <sheetFormatPr baseColWidth="10" defaultRowHeight="15.75" x14ac:dyDescent="0.5"/>
  <cols>
    <col min="1" max="1" width="20.3125" customWidth="1"/>
    <col min="2" max="6" width="10.8125" customWidth="1"/>
    <col min="7" max="7" width="25.1875" customWidth="1"/>
    <col min="8" max="8" width="32.8125" customWidth="1"/>
    <col min="9" max="9" width="26.1875" customWidth="1"/>
    <col min="10" max="10" width="39.1875" customWidth="1"/>
    <col min="11" max="12" width="25.5" customWidth="1"/>
    <col min="13" max="13" width="40.6875" customWidth="1"/>
  </cols>
  <sheetData>
    <row r="1" spans="1:15" x14ac:dyDescent="0.5">
      <c r="A1" s="148" t="s">
        <v>154</v>
      </c>
      <c r="B1" s="148" t="s">
        <v>151</v>
      </c>
      <c r="C1" s="148" t="s">
        <v>214</v>
      </c>
      <c r="D1" s="148" t="s">
        <v>231</v>
      </c>
      <c r="E1" s="148" t="s">
        <v>232</v>
      </c>
      <c r="F1" s="148" t="s">
        <v>233</v>
      </c>
      <c r="G1" s="148" t="s">
        <v>230</v>
      </c>
      <c r="H1" s="148" t="s">
        <v>304</v>
      </c>
    </row>
    <row r="2" spans="1:15" ht="16.149999999999999" thickBot="1" x14ac:dyDescent="0.55000000000000004">
      <c r="A2" s="153"/>
      <c r="B2" s="149"/>
      <c r="C2" s="149"/>
      <c r="D2" s="149"/>
      <c r="E2" s="149"/>
      <c r="F2" s="149"/>
      <c r="G2" s="149"/>
      <c r="H2" s="149"/>
    </row>
    <row r="3" spans="1:15" ht="15" customHeight="1" x14ac:dyDescent="0.5">
      <c r="A3" s="68" t="s">
        <v>128</v>
      </c>
      <c r="B3" s="111">
        <v>150</v>
      </c>
      <c r="C3" s="111">
        <v>3704</v>
      </c>
      <c r="D3" s="111">
        <v>55691</v>
      </c>
      <c r="E3" s="111">
        <v>6232</v>
      </c>
      <c r="F3" s="111">
        <v>50013</v>
      </c>
      <c r="G3" s="141">
        <v>2.74</v>
      </c>
      <c r="H3" s="123">
        <f t="shared" ref="H3:H35" si="0">G3/B3</f>
        <v>1.8266666666666667E-2</v>
      </c>
      <c r="O3" s="152"/>
    </row>
    <row r="4" spans="1:15" x14ac:dyDescent="0.5">
      <c r="A4" s="68" t="s">
        <v>121</v>
      </c>
      <c r="B4" s="111">
        <v>134</v>
      </c>
      <c r="C4" s="111">
        <v>4630</v>
      </c>
      <c r="D4" s="111">
        <v>17400</v>
      </c>
      <c r="E4" s="111">
        <v>5413</v>
      </c>
      <c r="F4" s="111">
        <v>15600</v>
      </c>
      <c r="G4" s="141">
        <v>3</v>
      </c>
      <c r="H4" s="123">
        <f t="shared" si="0"/>
        <v>2.2388059701492536E-2</v>
      </c>
      <c r="O4" s="152"/>
    </row>
    <row r="5" spans="1:15" x14ac:dyDescent="0.5">
      <c r="A5" s="68" t="s">
        <v>120</v>
      </c>
      <c r="B5" s="111">
        <v>150</v>
      </c>
      <c r="C5" s="111">
        <v>3882</v>
      </c>
      <c r="D5" s="111">
        <v>19750</v>
      </c>
      <c r="E5" s="111">
        <v>5200</v>
      </c>
      <c r="F5" s="111">
        <v>16125</v>
      </c>
      <c r="G5" s="141">
        <v>3.14</v>
      </c>
      <c r="H5" s="123">
        <f t="shared" si="0"/>
        <v>2.0933333333333335E-2</v>
      </c>
    </row>
    <row r="6" spans="1:15" x14ac:dyDescent="0.5">
      <c r="A6" s="68" t="s">
        <v>119</v>
      </c>
      <c r="B6" s="111">
        <v>165</v>
      </c>
      <c r="C6" s="111">
        <v>4528</v>
      </c>
      <c r="D6" s="111">
        <v>19250</v>
      </c>
      <c r="E6" s="111">
        <v>6315</v>
      </c>
      <c r="F6" s="111">
        <v>15150</v>
      </c>
      <c r="G6" s="141">
        <v>2.9</v>
      </c>
      <c r="H6" s="123">
        <f t="shared" si="0"/>
        <v>1.7575757575757574E-2</v>
      </c>
    </row>
    <row r="7" spans="1:15" x14ac:dyDescent="0.5">
      <c r="A7" s="68" t="s">
        <v>118</v>
      </c>
      <c r="B7" s="111">
        <v>185</v>
      </c>
      <c r="C7" s="111">
        <v>4215</v>
      </c>
      <c r="D7" s="111">
        <v>24242</v>
      </c>
      <c r="E7" s="111">
        <v>5460</v>
      </c>
      <c r="F7" s="111">
        <v>20152</v>
      </c>
      <c r="G7" s="141">
        <v>2.98</v>
      </c>
      <c r="H7" s="123">
        <f t="shared" si="0"/>
        <v>1.6108108108108109E-2</v>
      </c>
    </row>
    <row r="8" spans="1:15" x14ac:dyDescent="0.5">
      <c r="A8" s="68" t="s">
        <v>117</v>
      </c>
      <c r="B8" s="111">
        <v>206</v>
      </c>
      <c r="C8" s="111">
        <v>5648.6</v>
      </c>
      <c r="D8" s="111">
        <v>23950</v>
      </c>
      <c r="E8" s="111">
        <v>6482</v>
      </c>
      <c r="F8" s="111">
        <v>21350</v>
      </c>
      <c r="G8" s="141">
        <v>3.54</v>
      </c>
      <c r="H8" s="123">
        <f t="shared" si="0"/>
        <v>1.7184466019417477E-2</v>
      </c>
    </row>
    <row r="9" spans="1:15" x14ac:dyDescent="0.5">
      <c r="A9" s="68" t="s">
        <v>116</v>
      </c>
      <c r="B9" s="111">
        <v>246</v>
      </c>
      <c r="C9" s="111">
        <v>8584</v>
      </c>
      <c r="D9" s="111">
        <v>45813</v>
      </c>
      <c r="E9" s="111">
        <v>16455</v>
      </c>
      <c r="F9" s="111">
        <v>6350</v>
      </c>
      <c r="G9" s="141">
        <v>7.41</v>
      </c>
      <c r="H9" s="123">
        <f t="shared" si="0"/>
        <v>3.0121951219512194E-2</v>
      </c>
    </row>
    <row r="10" spans="1:15" x14ac:dyDescent="0.5">
      <c r="A10" s="68" t="s">
        <v>115</v>
      </c>
      <c r="B10" s="111">
        <v>300</v>
      </c>
      <c r="C10" s="111">
        <v>7723</v>
      </c>
      <c r="D10" s="111">
        <v>45359</v>
      </c>
      <c r="E10" s="111">
        <v>10038</v>
      </c>
      <c r="F10" s="111">
        <v>34927</v>
      </c>
      <c r="G10" s="141">
        <v>7.58</v>
      </c>
      <c r="H10" s="123">
        <f t="shared" si="0"/>
        <v>2.5266666666666666E-2</v>
      </c>
    </row>
    <row r="11" spans="1:15" x14ac:dyDescent="0.5">
      <c r="A11" s="68" t="s">
        <v>1</v>
      </c>
      <c r="B11" s="111">
        <v>300</v>
      </c>
      <c r="C11" s="111">
        <v>7723</v>
      </c>
      <c r="D11" s="111">
        <v>45813</v>
      </c>
      <c r="E11" s="111">
        <v>17372</v>
      </c>
      <c r="F11" s="111">
        <v>0</v>
      </c>
      <c r="G11" s="141">
        <v>6.48</v>
      </c>
      <c r="H11" s="123">
        <f t="shared" si="0"/>
        <v>2.1600000000000001E-2</v>
      </c>
    </row>
    <row r="12" spans="1:15" x14ac:dyDescent="0.5">
      <c r="A12" s="68" t="s">
        <v>109</v>
      </c>
      <c r="B12" s="111">
        <v>315</v>
      </c>
      <c r="C12" s="111">
        <v>10797</v>
      </c>
      <c r="D12" s="111">
        <v>53700</v>
      </c>
      <c r="E12" s="111">
        <v>15890</v>
      </c>
      <c r="F12" s="111">
        <v>24800</v>
      </c>
      <c r="G12" s="141">
        <v>7.02</v>
      </c>
      <c r="H12" s="123">
        <f t="shared" si="0"/>
        <v>2.2285714285714284E-2</v>
      </c>
    </row>
    <row r="13" spans="1:15" x14ac:dyDescent="0.5">
      <c r="A13" s="68" t="s">
        <v>106</v>
      </c>
      <c r="B13" s="111">
        <v>575</v>
      </c>
      <c r="C13" s="111">
        <v>12131</v>
      </c>
      <c r="D13" s="111">
        <v>83571</v>
      </c>
      <c r="E13" s="111">
        <v>16298</v>
      </c>
      <c r="F13" s="111">
        <v>34286</v>
      </c>
      <c r="G13" s="141">
        <v>15.43</v>
      </c>
      <c r="H13" s="123">
        <f t="shared" si="0"/>
        <v>2.6834782608695651E-2</v>
      </c>
    </row>
    <row r="14" spans="1:15" x14ac:dyDescent="0.5">
      <c r="A14" s="68" t="s">
        <v>104</v>
      </c>
      <c r="B14" s="111">
        <v>48</v>
      </c>
      <c r="C14" s="111">
        <v>969</v>
      </c>
      <c r="D14" s="111">
        <v>5045</v>
      </c>
      <c r="E14" s="111">
        <v>3034</v>
      </c>
      <c r="F14" s="111">
        <v>2455</v>
      </c>
      <c r="G14" s="141">
        <v>1.53</v>
      </c>
      <c r="H14" s="123">
        <f t="shared" si="0"/>
        <v>3.1875000000000001E-2</v>
      </c>
    </row>
    <row r="15" spans="1:15" x14ac:dyDescent="0.5">
      <c r="A15" s="68" t="s">
        <v>102</v>
      </c>
      <c r="B15" s="111">
        <v>68</v>
      </c>
      <c r="C15" s="111">
        <v>926</v>
      </c>
      <c r="D15" s="111">
        <v>7000</v>
      </c>
      <c r="E15" s="111">
        <v>3087</v>
      </c>
      <c r="F15" s="111">
        <v>4000</v>
      </c>
      <c r="G15" s="141">
        <v>1.49</v>
      </c>
      <c r="H15" s="123">
        <f t="shared" si="0"/>
        <v>2.1911764705882353E-2</v>
      </c>
    </row>
    <row r="16" spans="1:15" x14ac:dyDescent="0.5">
      <c r="A16" s="68" t="s">
        <v>100</v>
      </c>
      <c r="B16" s="111">
        <v>19</v>
      </c>
      <c r="C16" s="111">
        <v>585</v>
      </c>
      <c r="D16" s="111">
        <v>1984</v>
      </c>
      <c r="E16" s="111">
        <v>975</v>
      </c>
      <c r="F16" s="111">
        <v>1724</v>
      </c>
      <c r="G16" s="141">
        <v>0.4</v>
      </c>
      <c r="H16" s="123">
        <f t="shared" si="0"/>
        <v>2.1052631578947368E-2</v>
      </c>
    </row>
    <row r="17" spans="1:8" x14ac:dyDescent="0.5">
      <c r="A17" s="68" t="s">
        <v>98</v>
      </c>
      <c r="B17" s="111">
        <v>106</v>
      </c>
      <c r="C17" s="111">
        <v>2185</v>
      </c>
      <c r="D17" s="111">
        <v>45589</v>
      </c>
      <c r="E17" s="111">
        <v>3704</v>
      </c>
      <c r="F17" s="111">
        <v>42000</v>
      </c>
      <c r="G17" s="141">
        <v>2.73</v>
      </c>
      <c r="H17" s="123">
        <f t="shared" si="0"/>
        <v>2.5754716981132075E-2</v>
      </c>
    </row>
    <row r="18" spans="1:8" x14ac:dyDescent="0.5">
      <c r="A18" s="68" t="s">
        <v>157</v>
      </c>
      <c r="B18" s="111">
        <v>162</v>
      </c>
      <c r="C18" s="111">
        <v>4842</v>
      </c>
      <c r="D18" s="111">
        <v>65930</v>
      </c>
      <c r="E18" s="111">
        <v>6426</v>
      </c>
      <c r="F18" s="111">
        <v>61983</v>
      </c>
      <c r="G18" s="141">
        <v>2.83</v>
      </c>
      <c r="H18" s="123">
        <f t="shared" si="0"/>
        <v>1.7469135802469136E-2</v>
      </c>
    </row>
    <row r="19" spans="1:8" x14ac:dyDescent="0.5">
      <c r="A19" s="68" t="s">
        <v>95</v>
      </c>
      <c r="B19" s="111">
        <v>180</v>
      </c>
      <c r="C19" s="111">
        <v>4630</v>
      </c>
      <c r="D19" s="111">
        <v>70964.5</v>
      </c>
      <c r="E19" s="111">
        <v>5843</v>
      </c>
      <c r="F19" s="111">
        <v>67653</v>
      </c>
      <c r="G19" s="141">
        <v>3.05</v>
      </c>
      <c r="H19" s="123">
        <f t="shared" si="0"/>
        <v>1.6944444444444443E-2</v>
      </c>
    </row>
    <row r="20" spans="1:8" x14ac:dyDescent="0.5">
      <c r="A20" s="68" t="s">
        <v>91</v>
      </c>
      <c r="B20" s="111">
        <v>126</v>
      </c>
      <c r="C20" s="111">
        <v>3439</v>
      </c>
      <c r="D20" s="111">
        <v>48357</v>
      </c>
      <c r="E20" s="111">
        <v>5159</v>
      </c>
      <c r="F20" s="111">
        <v>43667</v>
      </c>
      <c r="G20" s="141">
        <v>2.87</v>
      </c>
      <c r="H20" s="123">
        <f t="shared" si="0"/>
        <v>2.2777777777777779E-2</v>
      </c>
    </row>
    <row r="21" spans="1:8" x14ac:dyDescent="0.5">
      <c r="A21" s="68" t="s">
        <v>87</v>
      </c>
      <c r="B21" s="111">
        <v>147</v>
      </c>
      <c r="C21" s="111">
        <v>3258</v>
      </c>
      <c r="D21" s="111">
        <v>53167</v>
      </c>
      <c r="E21" s="111">
        <v>4630</v>
      </c>
      <c r="F21" s="111">
        <v>48667</v>
      </c>
      <c r="G21" s="141">
        <v>3.46</v>
      </c>
      <c r="H21" s="123">
        <f t="shared" si="0"/>
        <v>2.3537414965986395E-2</v>
      </c>
    </row>
    <row r="22" spans="1:8" x14ac:dyDescent="0.5">
      <c r="A22" s="68" t="s">
        <v>84</v>
      </c>
      <c r="B22" s="111">
        <v>110</v>
      </c>
      <c r="C22" s="111">
        <v>2910</v>
      </c>
      <c r="D22" s="111">
        <v>46667</v>
      </c>
      <c r="E22" s="111">
        <v>4994</v>
      </c>
      <c r="F22" s="111">
        <v>41333</v>
      </c>
      <c r="G22" s="141">
        <v>3.51</v>
      </c>
      <c r="H22" s="123">
        <f t="shared" si="0"/>
        <v>3.1909090909090908E-2</v>
      </c>
    </row>
    <row r="23" spans="1:8" x14ac:dyDescent="0.5">
      <c r="A23" s="68" t="s">
        <v>81</v>
      </c>
      <c r="B23" s="111">
        <v>128</v>
      </c>
      <c r="C23" s="111">
        <v>3945</v>
      </c>
      <c r="D23" s="111">
        <v>55202</v>
      </c>
      <c r="E23" s="111">
        <v>6186</v>
      </c>
      <c r="F23" s="111">
        <v>49237</v>
      </c>
      <c r="G23" s="141">
        <v>2.98</v>
      </c>
      <c r="H23" s="123">
        <f t="shared" si="0"/>
        <v>2.328125E-2</v>
      </c>
    </row>
    <row r="24" spans="1:8" x14ac:dyDescent="0.5">
      <c r="A24" s="68" t="s">
        <v>79</v>
      </c>
      <c r="B24" s="111">
        <v>160</v>
      </c>
      <c r="C24" s="111">
        <v>3750</v>
      </c>
      <c r="D24" s="111">
        <v>62596</v>
      </c>
      <c r="E24" s="111">
        <v>5223</v>
      </c>
      <c r="F24" s="111">
        <v>58128</v>
      </c>
      <c r="G24" s="141">
        <v>3.39</v>
      </c>
      <c r="H24" s="123">
        <f t="shared" si="0"/>
        <v>2.1187500000000001E-2</v>
      </c>
    </row>
    <row r="25" spans="1:8" x14ac:dyDescent="0.5">
      <c r="A25" s="68" t="s">
        <v>77</v>
      </c>
      <c r="B25" s="111">
        <v>177</v>
      </c>
      <c r="C25" s="111">
        <v>3704</v>
      </c>
      <c r="D25" s="111">
        <v>62732</v>
      </c>
      <c r="E25" s="111">
        <v>5149</v>
      </c>
      <c r="F25" s="111">
        <v>58173</v>
      </c>
      <c r="G25" s="141">
        <v>2.44</v>
      </c>
      <c r="H25" s="123">
        <f t="shared" si="0"/>
        <v>1.3785310734463277E-2</v>
      </c>
    </row>
    <row r="26" spans="1:8" x14ac:dyDescent="0.5">
      <c r="A26" s="68" t="s">
        <v>74</v>
      </c>
      <c r="B26" s="111">
        <v>416</v>
      </c>
      <c r="C26" s="111">
        <v>10570</v>
      </c>
      <c r="D26" s="111">
        <v>246073</v>
      </c>
      <c r="E26" s="111">
        <v>13100</v>
      </c>
      <c r="F26" s="111">
        <v>222273</v>
      </c>
      <c r="G26" s="141">
        <v>12.87</v>
      </c>
      <c r="H26" s="123">
        <f t="shared" si="0"/>
        <v>3.09375E-2</v>
      </c>
    </row>
    <row r="27" spans="1:8" x14ac:dyDescent="0.5">
      <c r="A27" s="68" t="s">
        <v>68</v>
      </c>
      <c r="B27" s="111">
        <v>200</v>
      </c>
      <c r="C27" s="111">
        <v>4321</v>
      </c>
      <c r="D27" s="111">
        <v>83450</v>
      </c>
      <c r="E27" s="111">
        <v>6482</v>
      </c>
      <c r="F27" s="111">
        <v>74000</v>
      </c>
      <c r="G27" s="141">
        <v>4.74</v>
      </c>
      <c r="H27" s="123">
        <f t="shared" si="0"/>
        <v>2.3700000000000002E-2</v>
      </c>
    </row>
    <row r="28" spans="1:8" x14ac:dyDescent="0.5">
      <c r="A28" s="68" t="s">
        <v>0</v>
      </c>
      <c r="B28" s="111">
        <v>261</v>
      </c>
      <c r="C28" s="111">
        <v>4260</v>
      </c>
      <c r="D28" s="111">
        <v>126098</v>
      </c>
      <c r="E28" s="111">
        <v>7778</v>
      </c>
      <c r="F28" s="111">
        <v>108862</v>
      </c>
      <c r="G28" s="141">
        <v>6.11</v>
      </c>
      <c r="H28" s="123">
        <f t="shared" si="0"/>
        <v>2.3409961685823755E-2</v>
      </c>
    </row>
    <row r="29" spans="1:8" x14ac:dyDescent="0.5">
      <c r="A29" s="68" t="s">
        <v>61</v>
      </c>
      <c r="B29" s="111">
        <v>305</v>
      </c>
      <c r="C29" s="111">
        <v>6112</v>
      </c>
      <c r="D29" s="111">
        <v>190500</v>
      </c>
      <c r="E29" s="111">
        <v>11973</v>
      </c>
      <c r="F29" s="111">
        <v>153201</v>
      </c>
      <c r="G29" s="141">
        <v>7.23</v>
      </c>
      <c r="H29" s="123">
        <f t="shared" si="0"/>
        <v>2.3704918032786886E-2</v>
      </c>
    </row>
    <row r="30" spans="1:8" x14ac:dyDescent="0.5">
      <c r="A30" s="68" t="s">
        <v>60</v>
      </c>
      <c r="B30" s="111">
        <v>305</v>
      </c>
      <c r="C30" s="111">
        <v>5848</v>
      </c>
      <c r="D30" s="111">
        <v>190500</v>
      </c>
      <c r="E30" s="111">
        <v>12038</v>
      </c>
      <c r="F30" s="111">
        <v>150952</v>
      </c>
      <c r="G30" s="141">
        <v>6.19</v>
      </c>
      <c r="H30" s="123">
        <f t="shared" si="0"/>
        <v>2.0295081967213115E-2</v>
      </c>
    </row>
    <row r="31" spans="1:8" x14ac:dyDescent="0.5">
      <c r="A31" s="68" t="s">
        <v>56</v>
      </c>
      <c r="B31" s="111">
        <v>365</v>
      </c>
      <c r="C31" s="111">
        <v>10533</v>
      </c>
      <c r="D31" s="111">
        <v>237682</v>
      </c>
      <c r="E31" s="111">
        <v>14585</v>
      </c>
      <c r="F31" s="111">
        <v>206389</v>
      </c>
      <c r="G31" s="141">
        <v>9.7100000000000009</v>
      </c>
      <c r="H31" s="123">
        <f t="shared" si="0"/>
        <v>2.6602739726027398E-2</v>
      </c>
    </row>
    <row r="32" spans="1:8" x14ac:dyDescent="0.5">
      <c r="A32" s="68" t="s">
        <v>54</v>
      </c>
      <c r="B32" s="111">
        <v>242</v>
      </c>
      <c r="C32" s="111">
        <v>10186</v>
      </c>
      <c r="D32" s="111">
        <v>161025</v>
      </c>
      <c r="E32" s="111">
        <v>17536</v>
      </c>
      <c r="F32" s="111">
        <v>127008</v>
      </c>
      <c r="G32" s="141">
        <v>5.88</v>
      </c>
      <c r="H32" s="123">
        <f t="shared" si="0"/>
        <v>2.4297520661157024E-2</v>
      </c>
    </row>
    <row r="33" spans="1:8" x14ac:dyDescent="0.5">
      <c r="A33" s="68" t="s">
        <v>53</v>
      </c>
      <c r="B33" s="111">
        <v>290</v>
      </c>
      <c r="C33" s="111">
        <v>9714</v>
      </c>
      <c r="D33" s="111">
        <v>181437</v>
      </c>
      <c r="E33" s="111">
        <v>15223</v>
      </c>
      <c r="F33" s="111">
        <v>152316</v>
      </c>
      <c r="G33" s="141">
        <v>6.66</v>
      </c>
      <c r="H33" s="123">
        <f t="shared" si="0"/>
        <v>2.296551724137931E-2</v>
      </c>
    </row>
    <row r="34" spans="1:8" x14ac:dyDescent="0.5">
      <c r="A34" s="68" t="s">
        <v>48</v>
      </c>
      <c r="B34" s="111">
        <v>143</v>
      </c>
      <c r="C34" s="111">
        <v>2621</v>
      </c>
      <c r="D34" s="111">
        <v>17600</v>
      </c>
      <c r="E34" s="111">
        <v>4389</v>
      </c>
      <c r="F34" s="111">
        <v>12701</v>
      </c>
      <c r="G34" s="141">
        <v>3.38</v>
      </c>
      <c r="H34" s="123">
        <f t="shared" si="0"/>
        <v>2.3636363636363636E-2</v>
      </c>
    </row>
    <row r="35" spans="1:8" x14ac:dyDescent="0.5">
      <c r="A35" s="68" t="s">
        <v>159</v>
      </c>
      <c r="B35" s="111">
        <v>50</v>
      </c>
      <c r="C35" s="111">
        <v>1019</v>
      </c>
      <c r="D35" s="111">
        <v>5480</v>
      </c>
      <c r="E35" s="111">
        <v>2593</v>
      </c>
      <c r="F35" s="111">
        <v>3800</v>
      </c>
      <c r="G35" s="141">
        <v>0.56999999999999995</v>
      </c>
      <c r="H35" s="123">
        <f t="shared" si="0"/>
        <v>1.1399999999999999E-2</v>
      </c>
    </row>
    <row r="36" spans="1:8" x14ac:dyDescent="0.5">
      <c r="A36" s="68" t="s">
        <v>158</v>
      </c>
      <c r="B36" s="111">
        <v>50</v>
      </c>
      <c r="C36" s="111">
        <v>1061</v>
      </c>
      <c r="D36" s="111">
        <v>5443.2</v>
      </c>
      <c r="E36" s="111">
        <v>2559</v>
      </c>
      <c r="F36" s="111">
        <v>3628.8</v>
      </c>
      <c r="G36" s="141">
        <v>0.62</v>
      </c>
      <c r="H36" s="123">
        <f t="shared" ref="H36:H53" si="1">G36/B36</f>
        <v>1.24E-2</v>
      </c>
    </row>
    <row r="37" spans="1:8" x14ac:dyDescent="0.5">
      <c r="A37" s="68" t="s">
        <v>39</v>
      </c>
      <c r="B37" s="111">
        <v>78</v>
      </c>
      <c r="C37" s="111">
        <v>1759</v>
      </c>
      <c r="D37" s="111">
        <v>8505</v>
      </c>
      <c r="E37" s="111">
        <v>4260</v>
      </c>
      <c r="F37" s="111">
        <v>4536</v>
      </c>
      <c r="G37" s="141">
        <v>1.51</v>
      </c>
      <c r="H37" s="123">
        <f t="shared" si="1"/>
        <v>1.9358974358974358E-2</v>
      </c>
    </row>
    <row r="38" spans="1:8" x14ac:dyDescent="0.5">
      <c r="A38" s="68" t="s">
        <v>37</v>
      </c>
      <c r="B38" s="111">
        <v>90</v>
      </c>
      <c r="C38" s="111">
        <v>1926</v>
      </c>
      <c r="D38" s="111">
        <v>9979</v>
      </c>
      <c r="E38" s="111">
        <v>3630</v>
      </c>
      <c r="F38" s="111">
        <v>6940</v>
      </c>
      <c r="G38" s="141">
        <v>2.0299999999999998</v>
      </c>
      <c r="H38" s="123">
        <f t="shared" si="1"/>
        <v>2.2555555555555554E-2</v>
      </c>
    </row>
    <row r="39" spans="1:8" x14ac:dyDescent="0.5">
      <c r="A39" s="68" t="s">
        <v>35</v>
      </c>
      <c r="B39" s="111">
        <v>104</v>
      </c>
      <c r="C39" s="111">
        <v>2222</v>
      </c>
      <c r="D39" s="111">
        <v>11975</v>
      </c>
      <c r="E39" s="111">
        <v>3510</v>
      </c>
      <c r="F39" s="111">
        <v>9639</v>
      </c>
      <c r="G39" s="141">
        <v>1.89</v>
      </c>
      <c r="H39" s="123">
        <f t="shared" si="1"/>
        <v>1.8173076923076924E-2</v>
      </c>
    </row>
    <row r="40" spans="1:8" x14ac:dyDescent="0.5">
      <c r="A40" s="68" t="s">
        <v>34</v>
      </c>
      <c r="B40" s="111">
        <v>37</v>
      </c>
      <c r="C40" s="111">
        <v>926</v>
      </c>
      <c r="D40" s="111">
        <v>3813</v>
      </c>
      <c r="E40" s="111">
        <v>1991</v>
      </c>
      <c r="F40" s="111">
        <v>2750</v>
      </c>
      <c r="G40" s="141">
        <v>0.28999999999999998</v>
      </c>
      <c r="H40" s="123">
        <f t="shared" si="1"/>
        <v>7.8378378378378376E-3</v>
      </c>
    </row>
    <row r="41" spans="1:8" x14ac:dyDescent="0.5">
      <c r="A41" s="68" t="s">
        <v>44</v>
      </c>
      <c r="B41" s="111">
        <v>50</v>
      </c>
      <c r="C41" s="111">
        <v>715</v>
      </c>
      <c r="D41" s="111">
        <v>6223</v>
      </c>
      <c r="E41" s="111">
        <v>1700</v>
      </c>
      <c r="F41" s="111">
        <v>5289</v>
      </c>
      <c r="G41" s="141">
        <v>0.17</v>
      </c>
      <c r="H41" s="123">
        <f t="shared" si="1"/>
        <v>3.4000000000000002E-3</v>
      </c>
    </row>
    <row r="42" spans="1:8" x14ac:dyDescent="0.5">
      <c r="A42" s="68" t="s">
        <v>32</v>
      </c>
      <c r="B42" s="111">
        <v>82</v>
      </c>
      <c r="C42" s="111">
        <v>1396</v>
      </c>
      <c r="D42" s="111">
        <v>8500</v>
      </c>
      <c r="E42" s="111">
        <v>2847</v>
      </c>
      <c r="F42" s="111">
        <v>6468</v>
      </c>
      <c r="G42" s="141">
        <v>1.1000000000000001</v>
      </c>
      <c r="H42" s="123">
        <f t="shared" si="1"/>
        <v>1.3414634146341465E-2</v>
      </c>
    </row>
    <row r="43" spans="1:8" x14ac:dyDescent="0.5">
      <c r="A43" s="68" t="s">
        <v>30</v>
      </c>
      <c r="B43" s="111">
        <v>19</v>
      </c>
      <c r="C43" s="111">
        <v>92.6</v>
      </c>
      <c r="D43" s="111">
        <v>1649</v>
      </c>
      <c r="E43" s="111">
        <v>370.4</v>
      </c>
      <c r="F43" s="111">
        <v>1378</v>
      </c>
      <c r="G43" s="111"/>
      <c r="H43" s="123">
        <f t="shared" si="1"/>
        <v>0</v>
      </c>
    </row>
    <row r="44" spans="1:8" x14ac:dyDescent="0.5">
      <c r="A44" s="68" t="s">
        <v>26</v>
      </c>
      <c r="B44" s="111">
        <v>74</v>
      </c>
      <c r="C44" s="111">
        <v>1945</v>
      </c>
      <c r="D44" s="111">
        <v>9400</v>
      </c>
      <c r="E44" s="111">
        <v>4074</v>
      </c>
      <c r="F44" s="111">
        <v>5800</v>
      </c>
      <c r="G44" s="141">
        <v>1.97</v>
      </c>
      <c r="H44" s="123">
        <f t="shared" si="1"/>
        <v>2.662162162162162E-2</v>
      </c>
    </row>
    <row r="45" spans="1:8" x14ac:dyDescent="0.5">
      <c r="A45" s="68" t="s">
        <v>25</v>
      </c>
      <c r="B45" s="111">
        <v>78</v>
      </c>
      <c r="C45" s="111">
        <v>1815</v>
      </c>
      <c r="D45" s="111">
        <v>10200</v>
      </c>
      <c r="E45" s="111">
        <v>3852</v>
      </c>
      <c r="F45" s="111">
        <v>6600</v>
      </c>
      <c r="G45" s="141">
        <v>1.83</v>
      </c>
      <c r="H45" s="123">
        <f t="shared" si="1"/>
        <v>2.3461538461538461E-2</v>
      </c>
    </row>
    <row r="46" spans="1:8" x14ac:dyDescent="0.5">
      <c r="A46" s="68" t="s">
        <v>23</v>
      </c>
      <c r="B46" s="111">
        <v>100</v>
      </c>
      <c r="C46" s="111">
        <v>1801</v>
      </c>
      <c r="D46" s="111">
        <v>12900</v>
      </c>
      <c r="E46" s="111">
        <v>4352</v>
      </c>
      <c r="F46" s="111">
        <v>6800</v>
      </c>
      <c r="G46" s="141">
        <v>2.21</v>
      </c>
      <c r="H46" s="123">
        <f t="shared" si="1"/>
        <v>2.2099999999999998E-2</v>
      </c>
    </row>
    <row r="47" spans="1:8" x14ac:dyDescent="0.5">
      <c r="A47" s="68" t="s">
        <v>19</v>
      </c>
      <c r="B47" s="111">
        <v>124</v>
      </c>
      <c r="C47" s="111">
        <v>1482</v>
      </c>
      <c r="D47" s="111">
        <v>13800</v>
      </c>
      <c r="E47" s="111">
        <v>4352</v>
      </c>
      <c r="F47" s="111">
        <v>7000</v>
      </c>
      <c r="G47" s="141">
        <v>2.04</v>
      </c>
      <c r="H47" s="123">
        <f t="shared" si="1"/>
        <v>1.6451612903225808E-2</v>
      </c>
    </row>
    <row r="48" spans="1:8" x14ac:dyDescent="0.5">
      <c r="A48" s="68" t="s">
        <v>17</v>
      </c>
      <c r="B48" s="111">
        <v>104</v>
      </c>
      <c r="C48" s="111">
        <v>3519</v>
      </c>
      <c r="D48" s="111">
        <v>16100</v>
      </c>
      <c r="E48" s="111">
        <v>5649</v>
      </c>
      <c r="F48" s="111">
        <v>12000</v>
      </c>
      <c r="G48" s="141">
        <v>2.1</v>
      </c>
      <c r="H48" s="123">
        <f t="shared" si="1"/>
        <v>2.0192307692307693E-2</v>
      </c>
    </row>
    <row r="49" spans="1:8" x14ac:dyDescent="0.5">
      <c r="A49" s="68" t="s">
        <v>15</v>
      </c>
      <c r="B49" s="111">
        <v>30</v>
      </c>
      <c r="C49" s="111">
        <v>537</v>
      </c>
      <c r="D49" s="111">
        <v>3281</v>
      </c>
      <c r="E49" s="111">
        <v>2926</v>
      </c>
      <c r="F49" s="111">
        <v>1700</v>
      </c>
      <c r="G49" s="141">
        <v>0.43</v>
      </c>
      <c r="H49" s="123">
        <f t="shared" si="1"/>
        <v>1.4333333333333333E-2</v>
      </c>
    </row>
    <row r="50" spans="1:8" x14ac:dyDescent="0.5">
      <c r="A50" s="68" t="s">
        <v>11</v>
      </c>
      <c r="B50" s="111">
        <v>50</v>
      </c>
      <c r="C50" s="111">
        <v>1759</v>
      </c>
      <c r="D50" s="111">
        <v>5250</v>
      </c>
      <c r="E50" s="111">
        <v>2222</v>
      </c>
      <c r="F50" s="111">
        <v>4600</v>
      </c>
      <c r="G50" s="141">
        <v>1.1100000000000001</v>
      </c>
      <c r="H50" s="123">
        <f t="shared" si="1"/>
        <v>2.2200000000000001E-2</v>
      </c>
    </row>
    <row r="51" spans="1:8" x14ac:dyDescent="0.5">
      <c r="A51" s="68" t="s">
        <v>9</v>
      </c>
      <c r="B51" s="111">
        <v>97</v>
      </c>
      <c r="C51" s="111">
        <v>2037</v>
      </c>
      <c r="D51" s="111">
        <v>10700</v>
      </c>
      <c r="E51" s="111">
        <v>3111</v>
      </c>
      <c r="F51" s="111">
        <v>8400</v>
      </c>
      <c r="G51" s="141">
        <v>2.33</v>
      </c>
      <c r="H51" s="123">
        <f t="shared" si="1"/>
        <v>2.4020618556701033E-2</v>
      </c>
    </row>
    <row r="52" spans="1:8" x14ac:dyDescent="0.5">
      <c r="A52" s="68" t="s">
        <v>4</v>
      </c>
      <c r="B52" s="111">
        <v>34</v>
      </c>
      <c r="C52" s="111">
        <v>806</v>
      </c>
      <c r="D52" s="111">
        <v>11454</v>
      </c>
      <c r="E52" s="111">
        <v>2248</v>
      </c>
      <c r="F52" s="111">
        <v>10141</v>
      </c>
      <c r="G52" s="141">
        <v>0.05</v>
      </c>
      <c r="H52" s="123">
        <f t="shared" si="1"/>
        <v>1.4705882352941176E-3</v>
      </c>
    </row>
    <row r="53" spans="1:8" x14ac:dyDescent="0.5">
      <c r="A53" s="68" t="s">
        <v>2</v>
      </c>
      <c r="B53" s="111">
        <v>100</v>
      </c>
      <c r="C53" s="111">
        <v>1445</v>
      </c>
      <c r="D53" s="111">
        <v>12300</v>
      </c>
      <c r="E53" s="111">
        <v>5204</v>
      </c>
      <c r="F53" s="111">
        <v>5640</v>
      </c>
      <c r="G53" s="141">
        <v>1.9</v>
      </c>
      <c r="H53" s="123">
        <f t="shared" si="1"/>
        <v>1.9E-2</v>
      </c>
    </row>
  </sheetData>
  <autoFilter ref="A1:H53" xr:uid="{61EC21FE-3CB9-6B46-BEA4-D974365267C8}"/>
  <mergeCells count="9">
    <mergeCell ref="O3:O4"/>
    <mergeCell ref="H1:H2"/>
    <mergeCell ref="A1:A2"/>
    <mergeCell ref="B1:B2"/>
    <mergeCell ref="G1:G2"/>
    <mergeCell ref="F1:F2"/>
    <mergeCell ref="C1:C2"/>
    <mergeCell ref="D1:D2"/>
    <mergeCell ref="E1:E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88B98-D16A-8943-BCAF-4095D871063E}">
  <dimension ref="A1:E52"/>
  <sheetViews>
    <sheetView workbookViewId="0">
      <selection activeCell="I13" sqref="I13"/>
    </sheetView>
  </sheetViews>
  <sheetFormatPr baseColWidth="10" defaultRowHeight="15.75" x14ac:dyDescent="0.5"/>
  <cols>
    <col min="1" max="1" width="32.3125" customWidth="1"/>
    <col min="4" max="4" width="26.3125" customWidth="1"/>
    <col min="5" max="5" width="29.6875" customWidth="1"/>
  </cols>
  <sheetData>
    <row r="1" spans="1:5" ht="16.05" customHeight="1" x14ac:dyDescent="0.5">
      <c r="A1" s="150" t="s">
        <v>154</v>
      </c>
      <c r="B1" s="148" t="s">
        <v>151</v>
      </c>
      <c r="C1" s="148" t="s">
        <v>145</v>
      </c>
      <c r="D1" s="148" t="s">
        <v>324</v>
      </c>
      <c r="E1" s="148" t="s">
        <v>299</v>
      </c>
    </row>
    <row r="2" spans="1:5" ht="16.149999999999999" thickBot="1" x14ac:dyDescent="0.55000000000000004">
      <c r="A2" s="151"/>
      <c r="B2" s="149"/>
      <c r="C2" s="149"/>
      <c r="D2" s="149"/>
      <c r="E2" s="149"/>
    </row>
    <row r="3" spans="1:5" x14ac:dyDescent="0.5">
      <c r="A3" s="132" t="s">
        <v>128</v>
      </c>
      <c r="B3" s="111">
        <v>150</v>
      </c>
      <c r="C3" s="111">
        <v>3704</v>
      </c>
      <c r="D3" s="111"/>
      <c r="E3" s="123"/>
    </row>
    <row r="4" spans="1:5" x14ac:dyDescent="0.5">
      <c r="A4" s="68" t="s">
        <v>121</v>
      </c>
      <c r="B4" s="111">
        <v>134</v>
      </c>
      <c r="C4" s="111">
        <v>4630</v>
      </c>
      <c r="D4" s="141">
        <v>6699.3</v>
      </c>
      <c r="E4" s="123">
        <f t="shared" ref="E4:E50" si="0">(D4/(C4*0.5))/B4</f>
        <v>2.1596015602333905E-2</v>
      </c>
    </row>
    <row r="5" spans="1:5" x14ac:dyDescent="0.5">
      <c r="A5" s="68" t="s">
        <v>120</v>
      </c>
      <c r="B5" s="111">
        <v>150</v>
      </c>
      <c r="C5" s="111">
        <v>3882</v>
      </c>
      <c r="D5" s="141">
        <v>6329.1</v>
      </c>
      <c r="E5" s="123">
        <f t="shared" si="0"/>
        <v>2.1738279237506441E-2</v>
      </c>
    </row>
    <row r="6" spans="1:5" x14ac:dyDescent="0.5">
      <c r="A6" s="68" t="s">
        <v>119</v>
      </c>
      <c r="B6" s="111">
        <v>165</v>
      </c>
      <c r="C6" s="111">
        <v>4528</v>
      </c>
      <c r="D6" s="111"/>
      <c r="E6" s="123"/>
    </row>
    <row r="7" spans="1:5" x14ac:dyDescent="0.5">
      <c r="A7" s="68" t="s">
        <v>118</v>
      </c>
      <c r="B7" s="111">
        <v>185</v>
      </c>
      <c r="C7" s="111">
        <v>4215</v>
      </c>
      <c r="D7" s="141">
        <v>8487.5</v>
      </c>
      <c r="E7" s="123">
        <f t="shared" si="0"/>
        <v>2.1769100060915009E-2</v>
      </c>
    </row>
    <row r="8" spans="1:5" x14ac:dyDescent="0.5">
      <c r="A8" s="68" t="s">
        <v>117</v>
      </c>
      <c r="B8" s="111">
        <v>206</v>
      </c>
      <c r="C8" s="111">
        <v>5648.6</v>
      </c>
      <c r="D8" s="111"/>
      <c r="E8" s="123"/>
    </row>
    <row r="9" spans="1:5" x14ac:dyDescent="0.5">
      <c r="A9" s="68" t="s">
        <v>116</v>
      </c>
      <c r="B9" s="111">
        <v>246</v>
      </c>
      <c r="C9" s="111">
        <v>8584</v>
      </c>
      <c r="D9" s="141">
        <v>29023.3</v>
      </c>
      <c r="E9" s="123">
        <f t="shared" si="0"/>
        <v>2.7488558785867451E-2</v>
      </c>
    </row>
    <row r="10" spans="1:5" x14ac:dyDescent="0.5">
      <c r="A10" s="68" t="s">
        <v>115</v>
      </c>
      <c r="B10" s="111">
        <v>300</v>
      </c>
      <c r="C10" s="111">
        <v>7723</v>
      </c>
      <c r="D10" s="141">
        <v>25163.4</v>
      </c>
      <c r="E10" s="123">
        <f t="shared" si="0"/>
        <v>2.1721610773015668E-2</v>
      </c>
    </row>
    <row r="11" spans="1:5" x14ac:dyDescent="0.5">
      <c r="A11" s="68" t="s">
        <v>109</v>
      </c>
      <c r="B11" s="111">
        <v>315</v>
      </c>
      <c r="C11" s="111">
        <v>10797</v>
      </c>
      <c r="D11" s="141">
        <v>31964.9</v>
      </c>
      <c r="E11" s="123">
        <f t="shared" si="0"/>
        <v>1.8797049738978052E-2</v>
      </c>
    </row>
    <row r="12" spans="1:5" x14ac:dyDescent="0.5">
      <c r="A12" s="68" t="s">
        <v>106</v>
      </c>
      <c r="B12" s="111">
        <v>575</v>
      </c>
      <c r="C12" s="111">
        <v>12131</v>
      </c>
      <c r="D12" s="141">
        <v>90508.4</v>
      </c>
      <c r="E12" s="123">
        <f t="shared" si="0"/>
        <v>2.5951020203359699E-2</v>
      </c>
    </row>
    <row r="13" spans="1:5" x14ac:dyDescent="0.5">
      <c r="A13" s="68" t="s">
        <v>104</v>
      </c>
      <c r="B13" s="111">
        <v>48</v>
      </c>
      <c r="C13" s="111">
        <v>969</v>
      </c>
      <c r="D13" s="141">
        <v>787.7</v>
      </c>
      <c r="E13" s="123">
        <f t="shared" si="0"/>
        <v>3.3870829033367737E-2</v>
      </c>
    </row>
    <row r="14" spans="1:5" x14ac:dyDescent="0.5">
      <c r="A14" s="68" t="s">
        <v>102</v>
      </c>
      <c r="B14" s="111">
        <v>68</v>
      </c>
      <c r="C14" s="111">
        <v>926</v>
      </c>
      <c r="D14" s="141">
        <v>874.6</v>
      </c>
      <c r="E14" s="123">
        <f t="shared" si="0"/>
        <v>2.7779189429551519E-2</v>
      </c>
    </row>
    <row r="15" spans="1:5" x14ac:dyDescent="0.5">
      <c r="A15" s="68" t="s">
        <v>100</v>
      </c>
      <c r="B15" s="111">
        <v>19</v>
      </c>
      <c r="C15" s="111">
        <v>585</v>
      </c>
      <c r="D15" s="111"/>
      <c r="E15" s="123"/>
    </row>
    <row r="16" spans="1:5" x14ac:dyDescent="0.5">
      <c r="A16" s="68" t="s">
        <v>98</v>
      </c>
      <c r="B16" s="111">
        <v>106</v>
      </c>
      <c r="C16" s="111">
        <v>2185</v>
      </c>
      <c r="D16" s="141">
        <v>3593.4</v>
      </c>
      <c r="E16" s="123">
        <f t="shared" si="0"/>
        <v>3.1029748283752861E-2</v>
      </c>
    </row>
    <row r="17" spans="1:5" x14ac:dyDescent="0.5">
      <c r="A17" s="68" t="s">
        <v>157</v>
      </c>
      <c r="B17" s="111">
        <v>162</v>
      </c>
      <c r="C17" s="111">
        <v>4842</v>
      </c>
      <c r="D17" s="141">
        <v>8032.09</v>
      </c>
      <c r="E17" s="123">
        <f t="shared" si="0"/>
        <v>2.0479472312736804E-2</v>
      </c>
    </row>
    <row r="18" spans="1:5" x14ac:dyDescent="0.5">
      <c r="A18" s="68" t="s">
        <v>95</v>
      </c>
      <c r="B18" s="111">
        <v>180</v>
      </c>
      <c r="C18" s="111">
        <v>4630</v>
      </c>
      <c r="D18" s="141">
        <v>8084.67</v>
      </c>
      <c r="E18" s="123">
        <f t="shared" si="0"/>
        <v>1.94016558675306E-2</v>
      </c>
    </row>
    <row r="19" spans="1:5" x14ac:dyDescent="0.5">
      <c r="A19" s="68" t="s">
        <v>91</v>
      </c>
      <c r="B19" s="111">
        <v>126</v>
      </c>
      <c r="C19" s="111">
        <v>3439</v>
      </c>
      <c r="D19" s="141">
        <v>6045.9</v>
      </c>
      <c r="E19" s="123">
        <f t="shared" si="0"/>
        <v>2.7905398856256664E-2</v>
      </c>
    </row>
    <row r="20" spans="1:5" x14ac:dyDescent="0.5">
      <c r="A20" s="68" t="s">
        <v>87</v>
      </c>
      <c r="B20" s="111">
        <v>147</v>
      </c>
      <c r="C20" s="111">
        <v>3258</v>
      </c>
      <c r="D20" s="141">
        <v>6229.2</v>
      </c>
      <c r="E20" s="123">
        <f t="shared" si="0"/>
        <v>2.6013204545169817E-2</v>
      </c>
    </row>
    <row r="21" spans="1:5" x14ac:dyDescent="0.5">
      <c r="A21" s="68" t="s">
        <v>84</v>
      </c>
      <c r="B21" s="111">
        <v>110</v>
      </c>
      <c r="C21" s="111">
        <v>2910</v>
      </c>
      <c r="D21" s="141">
        <v>4970.3999999999996</v>
      </c>
      <c r="E21" s="123">
        <f t="shared" si="0"/>
        <v>3.1055295220243671E-2</v>
      </c>
    </row>
    <row r="22" spans="1:5" x14ac:dyDescent="0.5">
      <c r="A22" s="68" t="s">
        <v>81</v>
      </c>
      <c r="B22" s="111">
        <v>128</v>
      </c>
      <c r="C22" s="111">
        <v>3945</v>
      </c>
      <c r="D22" s="141">
        <v>6265.9</v>
      </c>
      <c r="E22" s="123">
        <f t="shared" si="0"/>
        <v>2.4817411280101391E-2</v>
      </c>
    </row>
    <row r="23" spans="1:5" x14ac:dyDescent="0.5">
      <c r="A23" s="68" t="s">
        <v>79</v>
      </c>
      <c r="B23" s="111">
        <v>160</v>
      </c>
      <c r="C23" s="111">
        <v>3750</v>
      </c>
      <c r="D23" s="141">
        <v>6489.6</v>
      </c>
      <c r="E23" s="123">
        <f t="shared" si="0"/>
        <v>2.1632000000000002E-2</v>
      </c>
    </row>
    <row r="24" spans="1:5" x14ac:dyDescent="0.5">
      <c r="A24" s="68" t="s">
        <v>77</v>
      </c>
      <c r="B24" s="111">
        <v>177</v>
      </c>
      <c r="C24" s="111">
        <v>3704</v>
      </c>
      <c r="D24" s="141">
        <v>6710.2</v>
      </c>
      <c r="E24" s="123">
        <f t="shared" si="0"/>
        <v>2.0470158997449694E-2</v>
      </c>
    </row>
    <row r="25" spans="1:5" x14ac:dyDescent="0.5">
      <c r="A25" s="68" t="s">
        <v>74</v>
      </c>
      <c r="B25" s="111">
        <v>416</v>
      </c>
      <c r="C25" s="111">
        <v>10570</v>
      </c>
      <c r="D25" s="141">
        <v>58833.1</v>
      </c>
      <c r="E25" s="123">
        <f t="shared" si="0"/>
        <v>2.675983370933702E-2</v>
      </c>
    </row>
    <row r="26" spans="1:5" x14ac:dyDescent="0.5">
      <c r="A26" s="68" t="s">
        <v>68</v>
      </c>
      <c r="B26" s="111">
        <v>200</v>
      </c>
      <c r="C26" s="111">
        <v>4321</v>
      </c>
      <c r="D26" s="141">
        <v>10489.9</v>
      </c>
      <c r="E26" s="123">
        <f t="shared" si="0"/>
        <v>2.4276556352696134E-2</v>
      </c>
    </row>
    <row r="27" spans="1:5" x14ac:dyDescent="0.5">
      <c r="A27" s="68" t="s">
        <v>0</v>
      </c>
      <c r="B27" s="111">
        <v>261</v>
      </c>
      <c r="C27" s="111">
        <v>4260</v>
      </c>
      <c r="D27" s="141">
        <v>13480.77</v>
      </c>
      <c r="E27" s="123">
        <f t="shared" si="0"/>
        <v>2.4249042145593872E-2</v>
      </c>
    </row>
    <row r="28" spans="1:5" x14ac:dyDescent="0.5">
      <c r="A28" s="68" t="s">
        <v>61</v>
      </c>
      <c r="B28" s="111">
        <v>305</v>
      </c>
      <c r="C28" s="111">
        <v>6112</v>
      </c>
      <c r="D28" s="141">
        <v>23214.5</v>
      </c>
      <c r="E28" s="123">
        <f t="shared" si="0"/>
        <v>2.490612393785941E-2</v>
      </c>
    </row>
    <row r="29" spans="1:5" x14ac:dyDescent="0.5">
      <c r="A29" s="68" t="s">
        <v>60</v>
      </c>
      <c r="B29" s="111">
        <v>305</v>
      </c>
      <c r="C29" s="111">
        <v>5848</v>
      </c>
      <c r="D29" s="141">
        <v>22323.5</v>
      </c>
      <c r="E29" s="123">
        <f t="shared" si="0"/>
        <v>2.5031396470139716E-2</v>
      </c>
    </row>
    <row r="30" spans="1:5" x14ac:dyDescent="0.5">
      <c r="A30" s="68" t="s">
        <v>56</v>
      </c>
      <c r="B30" s="111">
        <v>365</v>
      </c>
      <c r="C30" s="111">
        <v>10533</v>
      </c>
      <c r="D30" s="141">
        <v>50679</v>
      </c>
      <c r="E30" s="123">
        <f t="shared" si="0"/>
        <v>2.6364108106420914E-2</v>
      </c>
    </row>
    <row r="31" spans="1:5" x14ac:dyDescent="0.5">
      <c r="A31" s="68" t="s">
        <v>54</v>
      </c>
      <c r="B31" s="111">
        <v>242</v>
      </c>
      <c r="C31" s="111">
        <v>10186</v>
      </c>
      <c r="D31" s="141">
        <v>28234.6</v>
      </c>
      <c r="E31" s="123">
        <f t="shared" si="0"/>
        <v>2.2908286044854953E-2</v>
      </c>
    </row>
    <row r="32" spans="1:5" x14ac:dyDescent="0.5">
      <c r="A32" s="68" t="s">
        <v>53</v>
      </c>
      <c r="B32" s="111">
        <v>290</v>
      </c>
      <c r="C32" s="111">
        <v>9714</v>
      </c>
      <c r="D32" s="141">
        <v>28953</v>
      </c>
      <c r="E32" s="123">
        <f t="shared" si="0"/>
        <v>2.0555472726885477E-2</v>
      </c>
    </row>
    <row r="33" spans="1:5" x14ac:dyDescent="0.5">
      <c r="A33" s="68" t="s">
        <v>48</v>
      </c>
      <c r="B33" s="111">
        <v>143</v>
      </c>
      <c r="C33" s="111">
        <v>2621</v>
      </c>
      <c r="D33" s="141">
        <v>5748.39</v>
      </c>
      <c r="E33" s="123">
        <f t="shared" si="0"/>
        <v>3.0674194176674149E-2</v>
      </c>
    </row>
    <row r="34" spans="1:5" x14ac:dyDescent="0.5">
      <c r="A34" s="68" t="s">
        <v>159</v>
      </c>
      <c r="B34" s="111">
        <v>50</v>
      </c>
      <c r="C34" s="111">
        <v>1019</v>
      </c>
      <c r="D34" s="111"/>
      <c r="E34" s="123"/>
    </row>
    <row r="35" spans="1:5" x14ac:dyDescent="0.5">
      <c r="A35" s="68" t="s">
        <v>158</v>
      </c>
      <c r="B35" s="111">
        <v>50</v>
      </c>
      <c r="C35" s="111">
        <v>1061</v>
      </c>
      <c r="D35" s="111"/>
      <c r="E35" s="123"/>
    </row>
    <row r="36" spans="1:5" x14ac:dyDescent="0.5">
      <c r="A36" s="68" t="s">
        <v>39</v>
      </c>
      <c r="B36" s="111">
        <v>78</v>
      </c>
      <c r="C36" s="111">
        <v>1759</v>
      </c>
      <c r="D36" s="111"/>
      <c r="E36" s="123"/>
    </row>
    <row r="37" spans="1:5" x14ac:dyDescent="0.5">
      <c r="A37" s="68" t="s">
        <v>37</v>
      </c>
      <c r="B37" s="111">
        <v>90</v>
      </c>
      <c r="C37" s="111">
        <v>1926</v>
      </c>
      <c r="D37" s="141">
        <v>2477.9</v>
      </c>
      <c r="E37" s="123">
        <f t="shared" si="0"/>
        <v>2.859005422868351E-2</v>
      </c>
    </row>
    <row r="38" spans="1:5" x14ac:dyDescent="0.5">
      <c r="A38" s="68" t="s">
        <v>35</v>
      </c>
      <c r="B38" s="111">
        <v>104</v>
      </c>
      <c r="C38" s="111">
        <v>2222</v>
      </c>
      <c r="D38" s="111"/>
      <c r="E38" s="123"/>
    </row>
    <row r="39" spans="1:5" x14ac:dyDescent="0.5">
      <c r="A39" s="68" t="s">
        <v>34</v>
      </c>
      <c r="B39" s="111">
        <v>37</v>
      </c>
      <c r="C39" s="111">
        <v>926</v>
      </c>
      <c r="D39" s="111"/>
      <c r="E39" s="123"/>
    </row>
    <row r="40" spans="1:5" x14ac:dyDescent="0.5">
      <c r="A40" s="68" t="s">
        <v>44</v>
      </c>
      <c r="B40" s="111">
        <v>50</v>
      </c>
      <c r="C40" s="111">
        <v>715</v>
      </c>
      <c r="D40" s="111"/>
      <c r="E40" s="123"/>
    </row>
    <row r="41" spans="1:5" x14ac:dyDescent="0.5">
      <c r="A41" s="68" t="s">
        <v>32</v>
      </c>
      <c r="B41" s="111">
        <v>82</v>
      </c>
      <c r="C41" s="111">
        <v>1396</v>
      </c>
      <c r="D41" s="111"/>
      <c r="E41" s="123"/>
    </row>
    <row r="42" spans="1:5" x14ac:dyDescent="0.5">
      <c r="A42" s="68" t="s">
        <v>30</v>
      </c>
      <c r="B42" s="111">
        <v>19</v>
      </c>
      <c r="C42" s="111">
        <v>92.6</v>
      </c>
      <c r="D42" s="111"/>
      <c r="E42" s="123"/>
    </row>
    <row r="43" spans="1:5" x14ac:dyDescent="0.5">
      <c r="A43" s="68" t="s">
        <v>26</v>
      </c>
      <c r="B43" s="111">
        <v>74</v>
      </c>
      <c r="C43" s="111">
        <v>1945</v>
      </c>
      <c r="D43" s="141">
        <v>2349</v>
      </c>
      <c r="E43" s="123">
        <f t="shared" si="0"/>
        <v>3.2640867088167859E-2</v>
      </c>
    </row>
    <row r="44" spans="1:5" x14ac:dyDescent="0.5">
      <c r="A44" s="68" t="s">
        <v>25</v>
      </c>
      <c r="B44" s="111">
        <v>78</v>
      </c>
      <c r="C44" s="111">
        <v>1815</v>
      </c>
      <c r="D44" s="141">
        <v>2241.1</v>
      </c>
      <c r="E44" s="123">
        <f t="shared" si="0"/>
        <v>3.166066256975348E-2</v>
      </c>
    </row>
    <row r="45" spans="1:5" x14ac:dyDescent="0.5">
      <c r="A45" s="68" t="s">
        <v>23</v>
      </c>
      <c r="B45" s="111">
        <v>100</v>
      </c>
      <c r="C45" s="111">
        <v>1801</v>
      </c>
      <c r="D45" s="141">
        <v>2904.3</v>
      </c>
      <c r="E45" s="123">
        <f t="shared" si="0"/>
        <v>3.2252082176568581E-2</v>
      </c>
    </row>
    <row r="46" spans="1:5" x14ac:dyDescent="0.5">
      <c r="A46" s="68" t="s">
        <v>19</v>
      </c>
      <c r="B46" s="111">
        <v>124</v>
      </c>
      <c r="C46" s="111">
        <v>1482</v>
      </c>
      <c r="D46" s="141">
        <v>2563.6</v>
      </c>
      <c r="E46" s="123">
        <f t="shared" si="0"/>
        <v>2.7900396151669497E-2</v>
      </c>
    </row>
    <row r="47" spans="1:5" x14ac:dyDescent="0.5">
      <c r="A47" s="68" t="s">
        <v>17</v>
      </c>
      <c r="B47" s="111">
        <v>104</v>
      </c>
      <c r="C47" s="111">
        <v>3519</v>
      </c>
      <c r="D47" s="141">
        <v>4689.43</v>
      </c>
      <c r="E47" s="123">
        <f t="shared" si="0"/>
        <v>2.5626981004218858E-2</v>
      </c>
    </row>
    <row r="48" spans="1:5" x14ac:dyDescent="0.5">
      <c r="A48" s="68" t="s">
        <v>15</v>
      </c>
      <c r="B48" s="111">
        <v>30</v>
      </c>
      <c r="C48" s="111">
        <v>537</v>
      </c>
      <c r="D48" s="141">
        <v>469.01</v>
      </c>
      <c r="E48" s="123">
        <f t="shared" si="0"/>
        <v>5.822594661700807E-2</v>
      </c>
    </row>
    <row r="49" spans="1:5" x14ac:dyDescent="0.5">
      <c r="A49" s="68" t="s">
        <v>11</v>
      </c>
      <c r="B49" s="111">
        <v>50</v>
      </c>
      <c r="C49" s="111">
        <v>1759</v>
      </c>
      <c r="D49" s="141">
        <v>1609.7</v>
      </c>
      <c r="E49" s="123">
        <f t="shared" si="0"/>
        <v>3.6604889141557705E-2</v>
      </c>
    </row>
    <row r="50" spans="1:5" x14ac:dyDescent="0.5">
      <c r="A50" s="68" t="s">
        <v>9</v>
      </c>
      <c r="B50" s="111">
        <v>97</v>
      </c>
      <c r="C50" s="111">
        <v>2037</v>
      </c>
      <c r="D50" s="141">
        <v>3351.65</v>
      </c>
      <c r="E50" s="123">
        <f t="shared" si="0"/>
        <v>3.3925471559651602E-2</v>
      </c>
    </row>
    <row r="51" spans="1:5" x14ac:dyDescent="0.5">
      <c r="A51" s="68" t="s">
        <v>4</v>
      </c>
      <c r="B51" s="111">
        <v>34</v>
      </c>
      <c r="C51" s="111">
        <v>806</v>
      </c>
      <c r="D51" s="111"/>
      <c r="E51" s="123"/>
    </row>
    <row r="52" spans="1:5" x14ac:dyDescent="0.5">
      <c r="A52" s="68" t="s">
        <v>2</v>
      </c>
      <c r="B52" s="111">
        <v>100</v>
      </c>
      <c r="C52" s="111">
        <v>1445</v>
      </c>
      <c r="D52" s="111"/>
      <c r="E52" s="123"/>
    </row>
  </sheetData>
  <autoFilter ref="A1:E52" xr:uid="{58B88B98-D16A-8943-BCAF-4095D871063E}"/>
  <mergeCells count="5"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D6232-807D-9440-BE26-E14714E1ADF2}">
  <dimension ref="A1:I52"/>
  <sheetViews>
    <sheetView workbookViewId="0">
      <selection activeCell="G5" sqref="G5"/>
    </sheetView>
  </sheetViews>
  <sheetFormatPr baseColWidth="10" defaultRowHeight="15.75" x14ac:dyDescent="0.5"/>
  <cols>
    <col min="1" max="1" width="20.5" customWidth="1"/>
    <col min="2" max="2" width="18.1875" customWidth="1"/>
    <col min="3" max="3" width="14.5" customWidth="1"/>
    <col min="4" max="4" width="12.6875" customWidth="1"/>
    <col min="6" max="6" width="23.6875" customWidth="1"/>
    <col min="7" max="7" width="19.1875" customWidth="1"/>
    <col min="8" max="8" width="26.3125" customWidth="1"/>
  </cols>
  <sheetData>
    <row r="1" spans="1:8" ht="16.05" customHeight="1" x14ac:dyDescent="0.5">
      <c r="A1" s="148" t="s">
        <v>154</v>
      </c>
      <c r="B1" s="148" t="s">
        <v>151</v>
      </c>
      <c r="C1" s="148" t="s">
        <v>185</v>
      </c>
      <c r="D1" s="148" t="s">
        <v>183</v>
      </c>
      <c r="E1" s="148" t="s">
        <v>184</v>
      </c>
      <c r="F1" s="148" t="s">
        <v>227</v>
      </c>
      <c r="G1" s="148" t="s">
        <v>225</v>
      </c>
      <c r="H1" s="148" t="s">
        <v>301</v>
      </c>
    </row>
    <row r="2" spans="1:8" ht="16.149999999999999" thickBot="1" x14ac:dyDescent="0.55000000000000004">
      <c r="A2" s="153"/>
      <c r="B2" s="149"/>
      <c r="C2" s="149"/>
      <c r="D2" s="149"/>
      <c r="E2" s="149"/>
      <c r="F2" s="149"/>
      <c r="G2" s="149"/>
      <c r="H2" s="149"/>
    </row>
    <row r="3" spans="1:8" x14ac:dyDescent="0.5">
      <c r="A3" s="68" t="s">
        <v>128</v>
      </c>
      <c r="B3" s="111">
        <v>150</v>
      </c>
      <c r="C3" s="111">
        <v>295.07</v>
      </c>
      <c r="D3" s="111">
        <v>0.78</v>
      </c>
      <c r="E3" s="111">
        <v>230.15460000000002</v>
      </c>
      <c r="F3" s="111"/>
      <c r="G3" s="123"/>
      <c r="H3" s="123"/>
    </row>
    <row r="4" spans="1:8" x14ac:dyDescent="0.5">
      <c r="A4" s="68" t="s">
        <v>121</v>
      </c>
      <c r="B4" s="111">
        <v>134</v>
      </c>
      <c r="C4" s="111">
        <v>295.07</v>
      </c>
      <c r="D4" s="111">
        <v>0.78</v>
      </c>
      <c r="E4" s="111">
        <v>230.15460000000002</v>
      </c>
      <c r="F4" s="111"/>
      <c r="G4" s="123"/>
      <c r="H4" s="123"/>
    </row>
    <row r="5" spans="1:8" x14ac:dyDescent="0.5">
      <c r="A5" s="68" t="s">
        <v>120</v>
      </c>
      <c r="B5" s="111">
        <v>150</v>
      </c>
      <c r="C5" s="111">
        <v>295.07</v>
      </c>
      <c r="D5" s="111">
        <v>0.78</v>
      </c>
      <c r="E5" s="111">
        <v>230.15460000000002</v>
      </c>
      <c r="F5" s="141">
        <v>40</v>
      </c>
      <c r="G5" s="123">
        <f t="shared" ref="G5:G50" si="0">F5*(1/E5)*(50/3)</f>
        <v>2.8966037031919707</v>
      </c>
      <c r="H5" s="123">
        <f t="shared" ref="H5:H50" si="1">G5/B5</f>
        <v>1.9310691354613139E-2</v>
      </c>
    </row>
    <row r="6" spans="1:8" x14ac:dyDescent="0.5">
      <c r="A6" s="68" t="s">
        <v>119</v>
      </c>
      <c r="B6" s="111">
        <v>165</v>
      </c>
      <c r="C6" s="111">
        <v>295.07</v>
      </c>
      <c r="D6" s="111">
        <v>0.78</v>
      </c>
      <c r="E6" s="111">
        <v>230.15460000000002</v>
      </c>
      <c r="F6" s="111"/>
      <c r="G6" s="123"/>
      <c r="H6" s="123"/>
    </row>
    <row r="7" spans="1:8" x14ac:dyDescent="0.5">
      <c r="A7" s="68" t="s">
        <v>118</v>
      </c>
      <c r="B7" s="111">
        <v>185</v>
      </c>
      <c r="C7" s="111">
        <v>295.07</v>
      </c>
      <c r="D7" s="111">
        <v>0.78</v>
      </c>
      <c r="E7" s="111">
        <v>230.15460000000002</v>
      </c>
      <c r="F7" s="111"/>
      <c r="G7" s="123"/>
      <c r="H7" s="123"/>
    </row>
    <row r="8" spans="1:8" x14ac:dyDescent="0.5">
      <c r="A8" s="68" t="s">
        <v>117</v>
      </c>
      <c r="B8" s="111">
        <v>206</v>
      </c>
      <c r="C8" s="111">
        <v>295.07</v>
      </c>
      <c r="D8" s="111">
        <v>0.78</v>
      </c>
      <c r="E8" s="111">
        <v>230.15460000000002</v>
      </c>
      <c r="F8" s="111"/>
      <c r="G8" s="123"/>
      <c r="H8" s="123"/>
    </row>
    <row r="9" spans="1:8" x14ac:dyDescent="0.5">
      <c r="A9" s="68" t="s">
        <v>116</v>
      </c>
      <c r="B9" s="111">
        <v>246</v>
      </c>
      <c r="C9" s="111">
        <v>295.07</v>
      </c>
      <c r="D9" s="111">
        <v>0.82</v>
      </c>
      <c r="E9" s="111">
        <v>241.95739999999998</v>
      </c>
      <c r="F9" s="141">
        <v>89.3</v>
      </c>
      <c r="G9" s="123">
        <f t="shared" si="0"/>
        <v>6.1512205592113878</v>
      </c>
      <c r="H9" s="123">
        <f t="shared" si="1"/>
        <v>2.5004961622810521E-2</v>
      </c>
    </row>
    <row r="10" spans="1:8" x14ac:dyDescent="0.5">
      <c r="A10" s="68" t="s">
        <v>115</v>
      </c>
      <c r="B10" s="111">
        <v>300</v>
      </c>
      <c r="C10" s="111">
        <v>295.07</v>
      </c>
      <c r="D10" s="111">
        <v>0.82</v>
      </c>
      <c r="E10" s="111">
        <v>241.95739999999998</v>
      </c>
      <c r="F10" s="141">
        <v>89.3</v>
      </c>
      <c r="G10" s="123">
        <f t="shared" si="0"/>
        <v>6.1512205592113878</v>
      </c>
      <c r="H10" s="123">
        <f t="shared" si="1"/>
        <v>2.0504068530704626E-2</v>
      </c>
    </row>
    <row r="11" spans="1:8" x14ac:dyDescent="0.5">
      <c r="A11" s="68" t="s">
        <v>109</v>
      </c>
      <c r="B11" s="111">
        <v>315</v>
      </c>
      <c r="C11" s="111">
        <v>295.07</v>
      </c>
      <c r="D11" s="111">
        <v>0.85</v>
      </c>
      <c r="E11" s="111">
        <v>250.80949999999999</v>
      </c>
      <c r="F11" s="111"/>
      <c r="G11" s="123"/>
      <c r="H11" s="123"/>
    </row>
    <row r="12" spans="1:8" x14ac:dyDescent="0.5">
      <c r="A12" s="68" t="s">
        <v>106</v>
      </c>
      <c r="B12" s="111">
        <v>575</v>
      </c>
      <c r="C12" s="111">
        <v>295.07</v>
      </c>
      <c r="D12" s="111">
        <v>0.85</v>
      </c>
      <c r="E12" s="111">
        <v>250.80949999999999</v>
      </c>
      <c r="F12" s="111"/>
      <c r="G12" s="123"/>
      <c r="H12" s="123"/>
    </row>
    <row r="13" spans="1:8" x14ac:dyDescent="0.5">
      <c r="A13" s="68" t="s">
        <v>104</v>
      </c>
      <c r="B13" s="111">
        <v>48</v>
      </c>
      <c r="C13" s="111">
        <v>295.07</v>
      </c>
      <c r="D13" s="135" t="s">
        <v>226</v>
      </c>
      <c r="E13" s="111">
        <v>133.33333333333334</v>
      </c>
      <c r="F13" s="141">
        <v>6.1</v>
      </c>
      <c r="G13" s="123">
        <f t="shared" si="0"/>
        <v>0.76250000000000007</v>
      </c>
      <c r="H13" s="123">
        <f t="shared" si="1"/>
        <v>1.5885416666666669E-2</v>
      </c>
    </row>
    <row r="14" spans="1:8" x14ac:dyDescent="0.5">
      <c r="A14" s="68" t="s">
        <v>102</v>
      </c>
      <c r="B14" s="111">
        <v>68</v>
      </c>
      <c r="C14" s="111">
        <v>295.07</v>
      </c>
      <c r="D14" s="135" t="s">
        <v>226</v>
      </c>
      <c r="E14" s="111">
        <v>138.88888888888889</v>
      </c>
      <c r="F14" s="141">
        <v>6.1</v>
      </c>
      <c r="G14" s="123">
        <f t="shared" si="0"/>
        <v>0.73199999999999998</v>
      </c>
      <c r="H14" s="123">
        <f t="shared" si="1"/>
        <v>1.076470588235294E-2</v>
      </c>
    </row>
    <row r="15" spans="1:8" x14ac:dyDescent="0.5">
      <c r="A15" s="68" t="s">
        <v>100</v>
      </c>
      <c r="B15" s="111">
        <v>19</v>
      </c>
      <c r="C15" s="111">
        <v>295.07</v>
      </c>
      <c r="D15" s="135" t="s">
        <v>226</v>
      </c>
      <c r="E15" s="111">
        <v>118.61111111111111</v>
      </c>
      <c r="F15" s="111"/>
      <c r="G15" s="123"/>
      <c r="H15" s="123"/>
    </row>
    <row r="16" spans="1:8" x14ac:dyDescent="0.5">
      <c r="A16" s="68" t="s">
        <v>98</v>
      </c>
      <c r="B16" s="111">
        <v>106</v>
      </c>
      <c r="C16" s="111">
        <v>295.07</v>
      </c>
      <c r="D16" s="111">
        <v>0.77</v>
      </c>
      <c r="E16" s="111">
        <v>227.2039</v>
      </c>
      <c r="F16" s="111"/>
      <c r="G16" s="123"/>
      <c r="H16" s="123"/>
    </row>
    <row r="17" spans="1:8" x14ac:dyDescent="0.5">
      <c r="A17" s="68" t="s">
        <v>157</v>
      </c>
      <c r="B17" s="111">
        <v>162</v>
      </c>
      <c r="C17" s="111">
        <v>295.07</v>
      </c>
      <c r="D17" s="111">
        <v>0.79</v>
      </c>
      <c r="E17" s="111">
        <v>233.1053</v>
      </c>
      <c r="F17" s="111"/>
      <c r="G17" s="123"/>
      <c r="H17" s="123"/>
    </row>
    <row r="18" spans="1:8" x14ac:dyDescent="0.5">
      <c r="A18" s="68" t="s">
        <v>95</v>
      </c>
      <c r="B18" s="111">
        <v>180</v>
      </c>
      <c r="C18" s="111">
        <v>295.07</v>
      </c>
      <c r="D18" s="111">
        <v>0.79</v>
      </c>
      <c r="E18" s="111">
        <v>233.1053</v>
      </c>
      <c r="F18" s="111"/>
      <c r="G18" s="123"/>
      <c r="H18" s="123"/>
    </row>
    <row r="19" spans="1:8" x14ac:dyDescent="0.5">
      <c r="A19" s="68" t="s">
        <v>91</v>
      </c>
      <c r="B19" s="111">
        <v>126</v>
      </c>
      <c r="C19" s="111">
        <v>295.07</v>
      </c>
      <c r="D19" s="111">
        <v>0.745</v>
      </c>
      <c r="E19" s="111">
        <v>219.82714999999999</v>
      </c>
      <c r="F19" s="141">
        <v>39.1</v>
      </c>
      <c r="G19" s="123">
        <f t="shared" si="0"/>
        <v>2.9644503268439171</v>
      </c>
      <c r="H19" s="123">
        <f t="shared" si="1"/>
        <v>2.3527383546380294E-2</v>
      </c>
    </row>
    <row r="20" spans="1:8" x14ac:dyDescent="0.5">
      <c r="A20" s="68" t="s">
        <v>87</v>
      </c>
      <c r="B20" s="111">
        <v>147</v>
      </c>
      <c r="C20" s="111">
        <v>295.07</v>
      </c>
      <c r="D20" s="111">
        <v>0.745</v>
      </c>
      <c r="E20" s="111">
        <v>219.82714999999999</v>
      </c>
      <c r="F20" s="141">
        <v>39.1</v>
      </c>
      <c r="G20" s="123">
        <f t="shared" si="0"/>
        <v>2.9644503268439171</v>
      </c>
      <c r="H20" s="123">
        <f t="shared" si="1"/>
        <v>2.0166328754040251E-2</v>
      </c>
    </row>
    <row r="21" spans="1:8" x14ac:dyDescent="0.5">
      <c r="A21" s="68" t="s">
        <v>84</v>
      </c>
      <c r="B21" s="111">
        <v>110</v>
      </c>
      <c r="C21" s="111">
        <v>295.07</v>
      </c>
      <c r="D21" s="111">
        <v>0.745</v>
      </c>
      <c r="E21" s="111">
        <v>219.82714999999999</v>
      </c>
      <c r="F21" s="141">
        <v>39.1</v>
      </c>
      <c r="G21" s="123">
        <f t="shared" si="0"/>
        <v>2.9644503268439171</v>
      </c>
      <c r="H21" s="123">
        <f t="shared" si="1"/>
        <v>2.694954842585379E-2</v>
      </c>
    </row>
    <row r="22" spans="1:8" x14ac:dyDescent="0.5">
      <c r="A22" s="68" t="s">
        <v>81</v>
      </c>
      <c r="B22" s="111">
        <v>128</v>
      </c>
      <c r="C22" s="111">
        <v>295.07</v>
      </c>
      <c r="D22" s="111">
        <v>0.78500000000000003</v>
      </c>
      <c r="E22" s="111">
        <v>231.62995000000001</v>
      </c>
      <c r="F22" s="141">
        <v>54</v>
      </c>
      <c r="G22" s="123">
        <f t="shared" si="0"/>
        <v>3.8855078974027322</v>
      </c>
      <c r="H22" s="123">
        <f t="shared" si="1"/>
        <v>3.0355530448458845E-2</v>
      </c>
    </row>
    <row r="23" spans="1:8" x14ac:dyDescent="0.5">
      <c r="A23" s="68" t="s">
        <v>79</v>
      </c>
      <c r="B23" s="111">
        <v>160</v>
      </c>
      <c r="C23" s="111">
        <v>295.07</v>
      </c>
      <c r="D23" s="111">
        <v>0.78500000000000003</v>
      </c>
      <c r="E23" s="111">
        <v>231.62995000000001</v>
      </c>
      <c r="F23" s="141">
        <v>54</v>
      </c>
      <c r="G23" s="123">
        <f t="shared" si="0"/>
        <v>3.8855078974027322</v>
      </c>
      <c r="H23" s="123">
        <f t="shared" si="1"/>
        <v>2.4284424358767077E-2</v>
      </c>
    </row>
    <row r="24" spans="1:8" x14ac:dyDescent="0.5">
      <c r="A24" s="68" t="s">
        <v>77</v>
      </c>
      <c r="B24" s="111">
        <v>177</v>
      </c>
      <c r="C24" s="111">
        <v>295.07</v>
      </c>
      <c r="D24" s="111">
        <v>0.78500000000000003</v>
      </c>
      <c r="E24" s="111">
        <v>231.62995000000001</v>
      </c>
      <c r="F24" s="111"/>
      <c r="G24" s="123"/>
      <c r="H24" s="123"/>
    </row>
    <row r="25" spans="1:8" x14ac:dyDescent="0.5">
      <c r="A25" s="68" t="s">
        <v>74</v>
      </c>
      <c r="B25" s="111">
        <v>416</v>
      </c>
      <c r="C25" s="111">
        <v>295.07</v>
      </c>
      <c r="D25" s="111">
        <v>0.85</v>
      </c>
      <c r="E25" s="111">
        <v>250.80949999999999</v>
      </c>
      <c r="F25" s="141">
        <v>195.9</v>
      </c>
      <c r="G25" s="123">
        <f t="shared" si="0"/>
        <v>13.017848207504104</v>
      </c>
      <c r="H25" s="123">
        <f t="shared" si="1"/>
        <v>3.1292904344961785E-2</v>
      </c>
    </row>
    <row r="26" spans="1:8" x14ac:dyDescent="0.5">
      <c r="A26" s="68" t="s">
        <v>68</v>
      </c>
      <c r="B26" s="111">
        <v>200</v>
      </c>
      <c r="C26" s="111">
        <v>295.07</v>
      </c>
      <c r="D26" s="111">
        <v>0.8</v>
      </c>
      <c r="E26" s="111">
        <v>236.05600000000001</v>
      </c>
      <c r="F26" s="141">
        <v>58.6</v>
      </c>
      <c r="G26" s="123">
        <f t="shared" si="0"/>
        <v>4.1374363145468305</v>
      </c>
      <c r="H26" s="123">
        <f t="shared" si="1"/>
        <v>2.0687181572734151E-2</v>
      </c>
    </row>
    <row r="27" spans="1:8" x14ac:dyDescent="0.5">
      <c r="A27" s="68" t="s">
        <v>0</v>
      </c>
      <c r="B27" s="111">
        <v>261</v>
      </c>
      <c r="C27" s="111">
        <v>295.07</v>
      </c>
      <c r="D27" s="111">
        <v>0.8</v>
      </c>
      <c r="E27" s="111">
        <v>236.05600000000001</v>
      </c>
      <c r="F27" s="141">
        <v>80.5</v>
      </c>
      <c r="G27" s="123">
        <f t="shared" si="0"/>
        <v>5.683679578856994</v>
      </c>
      <c r="H27" s="123">
        <f t="shared" si="1"/>
        <v>2.1776550110563196E-2</v>
      </c>
    </row>
    <row r="28" spans="1:8" x14ac:dyDescent="0.5">
      <c r="A28" s="68" t="s">
        <v>61</v>
      </c>
      <c r="B28" s="111">
        <v>305</v>
      </c>
      <c r="C28" s="111">
        <v>295.07</v>
      </c>
      <c r="D28" s="111">
        <v>0.84</v>
      </c>
      <c r="E28" s="111">
        <v>247.85879999999997</v>
      </c>
      <c r="F28" s="111"/>
      <c r="G28" s="123"/>
      <c r="H28" s="123"/>
    </row>
    <row r="29" spans="1:8" x14ac:dyDescent="0.5">
      <c r="A29" s="68" t="s">
        <v>60</v>
      </c>
      <c r="B29" s="111">
        <v>305</v>
      </c>
      <c r="C29" s="111">
        <v>295.07</v>
      </c>
      <c r="D29" s="111">
        <v>0.84</v>
      </c>
      <c r="E29" s="111">
        <v>247.85879999999997</v>
      </c>
      <c r="F29" s="111"/>
      <c r="G29" s="123"/>
      <c r="H29" s="123"/>
    </row>
    <row r="30" spans="1:8" x14ac:dyDescent="0.5">
      <c r="A30" s="68" t="s">
        <v>56</v>
      </c>
      <c r="B30" s="111">
        <v>365</v>
      </c>
      <c r="C30" s="111">
        <v>295.07</v>
      </c>
      <c r="D30" s="111">
        <v>0.84</v>
      </c>
      <c r="E30" s="111">
        <v>247.85879999999997</v>
      </c>
      <c r="F30" s="111"/>
      <c r="G30" s="123"/>
      <c r="H30" s="123"/>
    </row>
    <row r="31" spans="1:8" x14ac:dyDescent="0.5">
      <c r="A31" s="68" t="s">
        <v>54</v>
      </c>
      <c r="B31" s="111">
        <v>242</v>
      </c>
      <c r="C31" s="111">
        <v>295.07</v>
      </c>
      <c r="D31" s="111">
        <v>0.85</v>
      </c>
      <c r="E31" s="111">
        <v>250.80949999999999</v>
      </c>
      <c r="F31" s="111"/>
      <c r="G31" s="123"/>
      <c r="H31" s="123"/>
    </row>
    <row r="32" spans="1:8" x14ac:dyDescent="0.5">
      <c r="A32" s="68" t="s">
        <v>53</v>
      </c>
      <c r="B32" s="111">
        <v>290</v>
      </c>
      <c r="C32" s="111">
        <v>295.07</v>
      </c>
      <c r="D32" s="111">
        <v>0.85</v>
      </c>
      <c r="E32" s="111">
        <v>250.80949999999999</v>
      </c>
      <c r="F32" s="111"/>
      <c r="G32" s="123"/>
      <c r="H32" s="123"/>
    </row>
    <row r="33" spans="1:9" x14ac:dyDescent="0.5">
      <c r="A33" s="68" t="s">
        <v>48</v>
      </c>
      <c r="B33" s="111">
        <v>143</v>
      </c>
      <c r="C33" s="111">
        <v>295.07</v>
      </c>
      <c r="D33" s="111">
        <v>0.76</v>
      </c>
      <c r="E33" s="111">
        <v>224.25319999999999</v>
      </c>
      <c r="F33" s="141">
        <v>46.3</v>
      </c>
      <c r="G33" s="123">
        <f t="shared" si="0"/>
        <v>3.441050859772198</v>
      </c>
      <c r="H33" s="123">
        <f t="shared" si="1"/>
        <v>2.4063292725679707E-2</v>
      </c>
    </row>
    <row r="34" spans="1:9" x14ac:dyDescent="0.5">
      <c r="A34" s="68" t="s">
        <v>159</v>
      </c>
      <c r="B34" s="111">
        <v>50</v>
      </c>
      <c r="C34" s="111">
        <v>295.07</v>
      </c>
      <c r="D34" s="111">
        <v>0.74</v>
      </c>
      <c r="E34" s="111">
        <v>218.3518</v>
      </c>
      <c r="F34" s="111"/>
      <c r="G34" s="123"/>
      <c r="H34" s="123"/>
    </row>
    <row r="35" spans="1:9" x14ac:dyDescent="0.5">
      <c r="A35" s="68" t="s">
        <v>158</v>
      </c>
      <c r="B35" s="111">
        <v>50</v>
      </c>
      <c r="C35" s="111">
        <v>295.07</v>
      </c>
      <c r="D35" s="111">
        <v>0.74</v>
      </c>
      <c r="E35" s="111">
        <v>218.3518</v>
      </c>
      <c r="F35" s="111"/>
      <c r="G35" s="123"/>
      <c r="H35" s="123"/>
    </row>
    <row r="36" spans="1:9" x14ac:dyDescent="0.5">
      <c r="A36" s="68" t="s">
        <v>39</v>
      </c>
      <c r="B36" s="111">
        <v>78</v>
      </c>
      <c r="C36" s="111">
        <v>295.07</v>
      </c>
      <c r="D36" s="111">
        <v>0.78</v>
      </c>
      <c r="E36" s="111">
        <v>230.15460000000002</v>
      </c>
      <c r="F36" s="111"/>
      <c r="G36" s="123"/>
      <c r="H36" s="123"/>
    </row>
    <row r="37" spans="1:9" x14ac:dyDescent="0.5">
      <c r="A37" s="68" t="s">
        <v>37</v>
      </c>
      <c r="B37" s="111">
        <v>90</v>
      </c>
      <c r="C37" s="111">
        <v>295.07</v>
      </c>
      <c r="D37" s="111">
        <v>0.78</v>
      </c>
      <c r="E37" s="111">
        <v>230.15460000000002</v>
      </c>
      <c r="F37" s="111"/>
      <c r="G37" s="123"/>
      <c r="H37" s="123"/>
    </row>
    <row r="38" spans="1:9" x14ac:dyDescent="0.5">
      <c r="A38" s="68" t="s">
        <v>35</v>
      </c>
      <c r="B38" s="111">
        <v>104</v>
      </c>
      <c r="C38" s="111">
        <v>295.07</v>
      </c>
      <c r="D38" s="111">
        <v>0.78</v>
      </c>
      <c r="E38" s="111">
        <v>230.15460000000002</v>
      </c>
      <c r="F38" s="111"/>
      <c r="G38" s="123"/>
      <c r="H38" s="123"/>
    </row>
    <row r="39" spans="1:9" x14ac:dyDescent="0.5">
      <c r="A39" s="71" t="s">
        <v>34</v>
      </c>
      <c r="B39" s="136">
        <v>37</v>
      </c>
      <c r="C39" s="136">
        <v>295.07</v>
      </c>
      <c r="D39" s="137" t="s">
        <v>226</v>
      </c>
      <c r="E39" s="136">
        <v>138.88888888888889</v>
      </c>
      <c r="F39" s="136">
        <v>5.2</v>
      </c>
      <c r="G39" s="138">
        <f t="shared" si="0"/>
        <v>0.62400000000000011</v>
      </c>
      <c r="H39" s="138">
        <f t="shared" si="1"/>
        <v>1.6864864864864867E-2</v>
      </c>
      <c r="I39" s="72" t="s">
        <v>228</v>
      </c>
    </row>
    <row r="40" spans="1:9" x14ac:dyDescent="0.5">
      <c r="A40" s="71" t="s">
        <v>44</v>
      </c>
      <c r="B40" s="136">
        <v>50</v>
      </c>
      <c r="C40" s="136">
        <v>295.07</v>
      </c>
      <c r="D40" s="137" t="s">
        <v>226</v>
      </c>
      <c r="E40" s="136">
        <v>146.66666666666666</v>
      </c>
      <c r="F40" s="136">
        <v>5.2</v>
      </c>
      <c r="G40" s="138">
        <f t="shared" si="0"/>
        <v>0.59090909090909105</v>
      </c>
      <c r="H40" s="138">
        <f t="shared" si="1"/>
        <v>1.1818181818181821E-2</v>
      </c>
      <c r="I40" s="72" t="s">
        <v>228</v>
      </c>
    </row>
    <row r="41" spans="1:9" x14ac:dyDescent="0.5">
      <c r="A41" s="71" t="s">
        <v>32</v>
      </c>
      <c r="B41" s="136">
        <v>82</v>
      </c>
      <c r="C41" s="136">
        <v>295.07</v>
      </c>
      <c r="D41" s="137" t="s">
        <v>226</v>
      </c>
      <c r="E41" s="136">
        <v>186.11111111111111</v>
      </c>
      <c r="F41" s="136">
        <v>5.2</v>
      </c>
      <c r="G41" s="138">
        <f t="shared" si="0"/>
        <v>0.46567164179104481</v>
      </c>
      <c r="H41" s="138">
        <f t="shared" si="1"/>
        <v>5.6789224608664E-3</v>
      </c>
      <c r="I41" s="72" t="s">
        <v>228</v>
      </c>
    </row>
    <row r="42" spans="1:9" x14ac:dyDescent="0.5">
      <c r="A42" s="68" t="s">
        <v>30</v>
      </c>
      <c r="B42" s="111">
        <v>19</v>
      </c>
      <c r="C42" s="111">
        <v>295.07</v>
      </c>
      <c r="D42" s="135" t="s">
        <v>226</v>
      </c>
      <c r="E42" s="111">
        <v>96.666666666666657</v>
      </c>
      <c r="F42" s="111"/>
      <c r="G42" s="123"/>
      <c r="H42" s="123"/>
    </row>
    <row r="43" spans="1:9" x14ac:dyDescent="0.5">
      <c r="A43" s="68" t="s">
        <v>26</v>
      </c>
      <c r="B43" s="111">
        <v>74</v>
      </c>
      <c r="C43" s="111">
        <v>295.07</v>
      </c>
      <c r="D43" s="111">
        <v>0.75</v>
      </c>
      <c r="E43" s="111">
        <v>221.30250000000001</v>
      </c>
      <c r="F43" s="111"/>
      <c r="G43" s="123"/>
      <c r="H43" s="123"/>
    </row>
    <row r="44" spans="1:9" x14ac:dyDescent="0.5">
      <c r="A44" s="68" t="s">
        <v>25</v>
      </c>
      <c r="B44" s="111">
        <v>78</v>
      </c>
      <c r="C44" s="111">
        <v>295.07</v>
      </c>
      <c r="D44" s="111">
        <v>0.75</v>
      </c>
      <c r="E44" s="111">
        <v>221.30250000000001</v>
      </c>
      <c r="F44" s="111"/>
      <c r="G44" s="123"/>
      <c r="H44" s="123"/>
    </row>
    <row r="45" spans="1:9" x14ac:dyDescent="0.5">
      <c r="A45" s="68" t="s">
        <v>23</v>
      </c>
      <c r="B45" s="111">
        <v>100</v>
      </c>
      <c r="C45" s="111">
        <v>295.07</v>
      </c>
      <c r="D45" s="111">
        <v>0.78</v>
      </c>
      <c r="E45" s="111">
        <v>230.15460000000002</v>
      </c>
      <c r="F45" s="111"/>
      <c r="G45" s="123"/>
      <c r="H45" s="123"/>
    </row>
    <row r="46" spans="1:9" x14ac:dyDescent="0.5">
      <c r="A46" s="68" t="s">
        <v>19</v>
      </c>
      <c r="B46" s="111">
        <v>124</v>
      </c>
      <c r="C46" s="111">
        <v>295.07</v>
      </c>
      <c r="D46" s="111">
        <v>0.78</v>
      </c>
      <c r="E46" s="111">
        <v>230.15460000000002</v>
      </c>
      <c r="F46" s="111"/>
      <c r="G46" s="123"/>
      <c r="H46" s="123"/>
    </row>
    <row r="47" spans="1:9" x14ac:dyDescent="0.5">
      <c r="A47" s="68" t="s">
        <v>17</v>
      </c>
      <c r="B47" s="111">
        <v>104</v>
      </c>
      <c r="C47" s="111">
        <v>295.07</v>
      </c>
      <c r="D47" s="111">
        <v>0.78</v>
      </c>
      <c r="E47" s="111">
        <v>230.15460000000002</v>
      </c>
      <c r="F47" s="111"/>
      <c r="G47" s="123"/>
      <c r="H47" s="123"/>
    </row>
    <row r="48" spans="1:9" x14ac:dyDescent="0.5">
      <c r="A48" s="71" t="s">
        <v>15</v>
      </c>
      <c r="B48" s="136">
        <v>30</v>
      </c>
      <c r="C48" s="136">
        <v>295.07</v>
      </c>
      <c r="D48" s="137" t="s">
        <v>226</v>
      </c>
      <c r="E48" s="136">
        <v>159.44444444444443</v>
      </c>
      <c r="F48" s="136">
        <v>5.0999999999999996</v>
      </c>
      <c r="G48" s="138">
        <f t="shared" si="0"/>
        <v>0.53310104529616742</v>
      </c>
      <c r="H48" s="138">
        <f t="shared" si="1"/>
        <v>1.7770034843205582E-2</v>
      </c>
      <c r="I48" s="72" t="s">
        <v>228</v>
      </c>
    </row>
    <row r="49" spans="1:8" x14ac:dyDescent="0.5">
      <c r="A49" s="68" t="s">
        <v>11</v>
      </c>
      <c r="B49" s="111">
        <v>50</v>
      </c>
      <c r="C49" s="111">
        <v>295.07</v>
      </c>
      <c r="D49" s="111">
        <v>0.75</v>
      </c>
      <c r="E49" s="111">
        <v>221.30250000000001</v>
      </c>
      <c r="F49" s="111"/>
      <c r="G49" s="123"/>
      <c r="H49" s="123"/>
    </row>
    <row r="50" spans="1:8" x14ac:dyDescent="0.5">
      <c r="A50" s="68" t="s">
        <v>9</v>
      </c>
      <c r="B50" s="111">
        <v>97</v>
      </c>
      <c r="C50" s="111">
        <v>295.07</v>
      </c>
      <c r="D50" s="111">
        <v>0.74</v>
      </c>
      <c r="E50" s="111">
        <v>218.3518</v>
      </c>
      <c r="F50" s="141">
        <v>28.2</v>
      </c>
      <c r="G50" s="123">
        <f t="shared" si="0"/>
        <v>2.1524896978179253</v>
      </c>
      <c r="H50" s="123">
        <f t="shared" si="1"/>
        <v>2.219061544142191E-2</v>
      </c>
    </row>
    <row r="51" spans="1:8" x14ac:dyDescent="0.5">
      <c r="A51" s="68" t="s">
        <v>4</v>
      </c>
      <c r="B51" s="111">
        <v>34</v>
      </c>
      <c r="C51" s="111">
        <v>295.07</v>
      </c>
      <c r="D51" s="135" t="s">
        <v>226</v>
      </c>
      <c r="E51" s="111">
        <v>128.61111111111111</v>
      </c>
      <c r="F51" s="111"/>
      <c r="G51" s="123"/>
      <c r="H51" s="123"/>
    </row>
    <row r="52" spans="1:8" x14ac:dyDescent="0.5">
      <c r="A52" s="68" t="s">
        <v>2</v>
      </c>
      <c r="B52" s="111">
        <v>100</v>
      </c>
      <c r="C52" s="111">
        <v>295.07</v>
      </c>
      <c r="D52" s="111">
        <v>0.78</v>
      </c>
      <c r="E52" s="111">
        <v>230.15460000000002</v>
      </c>
      <c r="F52" s="111"/>
      <c r="G52" s="123"/>
      <c r="H52" s="123"/>
    </row>
  </sheetData>
  <autoFilter ref="A1:I52" xr:uid="{B47D6232-807D-9440-BE26-E14714E1ADF2}"/>
  <mergeCells count="8">
    <mergeCell ref="A1:A2"/>
    <mergeCell ref="B1:B2"/>
    <mergeCell ref="H1:H2"/>
    <mergeCell ref="C1:C2"/>
    <mergeCell ref="D1:D2"/>
    <mergeCell ref="E1:E2"/>
    <mergeCell ref="F1:F2"/>
    <mergeCell ref="G1:G2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05F96-C4A9-5941-98A1-CE48DDC93E4A}">
  <dimension ref="A1:V53"/>
  <sheetViews>
    <sheetView workbookViewId="0">
      <pane xSplit="1" ySplit="2" topLeftCell="H3" activePane="bottomRight" state="frozen"/>
      <selection pane="topRight" activeCell="B1" sqref="B1"/>
      <selection pane="bottomLeft" activeCell="A3" sqref="A3"/>
      <selection pane="bottomRight" activeCell="F14" sqref="F14"/>
    </sheetView>
  </sheetViews>
  <sheetFormatPr baseColWidth="10" defaultRowHeight="15.75" x14ac:dyDescent="0.5"/>
  <cols>
    <col min="1" max="1" width="20.8125" customWidth="1"/>
    <col min="2" max="2" width="17.5" customWidth="1"/>
    <col min="3" max="3" width="14.5" customWidth="1"/>
    <col min="12" max="12" width="13.3125" customWidth="1"/>
    <col min="13" max="13" width="14.1875" customWidth="1"/>
    <col min="14" max="14" width="16" customWidth="1"/>
    <col min="19" max="19" width="17.5" customWidth="1"/>
    <col min="20" max="20" width="13" customWidth="1"/>
    <col min="21" max="21" width="16.8125" customWidth="1"/>
    <col min="22" max="22" width="27" customWidth="1"/>
    <col min="25" max="26" width="12.1875" bestFit="1" customWidth="1"/>
  </cols>
  <sheetData>
    <row r="1" spans="1:22" ht="16.05" customHeight="1" x14ac:dyDescent="0.5">
      <c r="A1" s="148" t="s">
        <v>154</v>
      </c>
      <c r="B1" s="148" t="s">
        <v>153</v>
      </c>
      <c r="C1" s="148" t="s">
        <v>151</v>
      </c>
      <c r="D1" s="148" t="s">
        <v>148</v>
      </c>
      <c r="E1" s="148" t="s">
        <v>147</v>
      </c>
      <c r="F1" s="148" t="s">
        <v>214</v>
      </c>
      <c r="G1" s="148" t="s">
        <v>215</v>
      </c>
      <c r="H1" s="148" t="s">
        <v>185</v>
      </c>
      <c r="I1" s="148" t="s">
        <v>183</v>
      </c>
      <c r="J1" s="148" t="s">
        <v>184</v>
      </c>
      <c r="K1" s="148" t="s">
        <v>176</v>
      </c>
      <c r="L1" s="148" t="s">
        <v>177</v>
      </c>
      <c r="M1" s="148" t="s">
        <v>182</v>
      </c>
      <c r="N1" s="148" t="s">
        <v>213</v>
      </c>
      <c r="O1" s="148" t="s">
        <v>85</v>
      </c>
      <c r="P1" s="148" t="s">
        <v>179</v>
      </c>
      <c r="Q1" s="148" t="s">
        <v>181</v>
      </c>
      <c r="R1" s="148" t="s">
        <v>178</v>
      </c>
      <c r="S1" s="148" t="s">
        <v>180</v>
      </c>
      <c r="T1" s="148" t="s">
        <v>216</v>
      </c>
      <c r="U1" s="148" t="s">
        <v>217</v>
      </c>
      <c r="V1" s="148" t="s">
        <v>302</v>
      </c>
    </row>
    <row r="2" spans="1:22" ht="16.149999999999999" thickBot="1" x14ac:dyDescent="0.55000000000000004">
      <c r="A2" s="153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</row>
    <row r="3" spans="1:22" x14ac:dyDescent="0.5">
      <c r="A3" s="68" t="s">
        <v>128</v>
      </c>
      <c r="B3" s="111" t="s">
        <v>186</v>
      </c>
      <c r="C3" s="111">
        <v>150</v>
      </c>
      <c r="D3" s="111">
        <v>67585</v>
      </c>
      <c r="E3" s="111">
        <v>55792</v>
      </c>
      <c r="F3" s="111">
        <v>3704</v>
      </c>
      <c r="G3" s="111">
        <f>F3/1.852</f>
        <v>2000</v>
      </c>
      <c r="H3" s="111">
        <v>295.07</v>
      </c>
      <c r="I3" s="111">
        <v>0.78</v>
      </c>
      <c r="J3" s="111">
        <f>H3*I3</f>
        <v>230.15460000000002</v>
      </c>
      <c r="K3" s="139">
        <f>((3.229*10^-4)*F3)+12.18</f>
        <v>13.3760216</v>
      </c>
      <c r="L3" s="111">
        <v>6.1</v>
      </c>
      <c r="M3" s="111">
        <v>35.1</v>
      </c>
      <c r="N3" s="111">
        <v>112.3</v>
      </c>
      <c r="O3" s="111">
        <f>(M3^2)/N3</f>
        <v>10.970703472840606</v>
      </c>
      <c r="P3" s="111">
        <f>K3*SQRT(O3/L3)</f>
        <v>17.938217364812306</v>
      </c>
      <c r="Q3" s="111">
        <f>(D3+E3)/2</f>
        <v>61688.5</v>
      </c>
      <c r="R3" s="111">
        <v>11.37</v>
      </c>
      <c r="S3" s="111">
        <f>((3.735*10^-8)*(R3^(-2.12*10^-3))*J3)+((1.65*10^-5)*(R3^-0.4))</f>
        <v>1.4792016461682986E-5</v>
      </c>
      <c r="T3" s="111">
        <f>((P3*J3)/(9.81*S3))*1/Q3</f>
        <v>461.20960434026455</v>
      </c>
      <c r="U3" s="123">
        <f>(1/T3)*(1/(10^-3))</f>
        <v>2.1682115692938488</v>
      </c>
      <c r="V3" s="123">
        <f>U3/C3</f>
        <v>1.4454743795292326E-2</v>
      </c>
    </row>
    <row r="4" spans="1:22" x14ac:dyDescent="0.5">
      <c r="A4" s="68" t="s">
        <v>121</v>
      </c>
      <c r="B4" s="111" t="s">
        <v>194</v>
      </c>
      <c r="C4" s="111">
        <v>134</v>
      </c>
      <c r="D4" s="111">
        <v>75500</v>
      </c>
      <c r="E4" s="111">
        <v>58500</v>
      </c>
      <c r="F4" s="111">
        <v>4630</v>
      </c>
      <c r="G4" s="111">
        <f t="shared" ref="G4:G53" si="0">F4/1.852</f>
        <v>2500</v>
      </c>
      <c r="H4" s="111">
        <v>295.07</v>
      </c>
      <c r="I4" s="111">
        <v>0.78</v>
      </c>
      <c r="J4" s="111">
        <f t="shared" ref="J4:J53" si="1">H4*I4</f>
        <v>230.15460000000002</v>
      </c>
      <c r="K4" s="139">
        <f t="shared" ref="K4:K53" si="2">((3.229*10^-4)*F4)+12.18</f>
        <v>13.675027</v>
      </c>
      <c r="L4" s="111">
        <v>6.1</v>
      </c>
      <c r="M4" s="111">
        <v>34.1</v>
      </c>
      <c r="N4" s="111">
        <v>122.6</v>
      </c>
      <c r="O4" s="111">
        <f t="shared" ref="O4:O53" si="3">(M4^2)/N4</f>
        <v>9.4845840130505721</v>
      </c>
      <c r="P4" s="111">
        <f t="shared" ref="P4:P53" si="4">K4*SQRT(O4/L4)</f>
        <v>17.051885935422909</v>
      </c>
      <c r="Q4" s="111">
        <f t="shared" ref="Q4:Q53" si="5">(D4+E4)/2</f>
        <v>67000</v>
      </c>
      <c r="R4" s="111">
        <v>5.9</v>
      </c>
      <c r="S4" s="111">
        <f t="shared" ref="S4:S53" si="6">((3.735*10^-8)*(R4^(-2.12*10^-3))*J4)+((1.65*10^-5)*(R4^-0.4))</f>
        <v>1.6676272054755217E-5</v>
      </c>
      <c r="T4" s="111">
        <f t="shared" ref="T4:T53" si="7">((P4*J4)/(9.81*S4))*1/Q4</f>
        <v>358.05463219991998</v>
      </c>
      <c r="U4" s="123">
        <f t="shared" ref="U4:U53" si="8">(1/T4)*(1/(10^-3))</f>
        <v>2.7928698865195787</v>
      </c>
      <c r="V4" s="123">
        <f t="shared" ref="V4:V9" si="9">U4/C4</f>
        <v>2.0842312585967006E-2</v>
      </c>
    </row>
    <row r="5" spans="1:22" x14ac:dyDescent="0.5">
      <c r="A5" s="68" t="s">
        <v>120</v>
      </c>
      <c r="B5" s="111" t="s">
        <v>195</v>
      </c>
      <c r="C5" s="111">
        <v>150</v>
      </c>
      <c r="D5" s="111">
        <v>78000</v>
      </c>
      <c r="E5" s="111">
        <v>62500</v>
      </c>
      <c r="F5" s="111">
        <v>3882</v>
      </c>
      <c r="G5" s="111">
        <f t="shared" si="0"/>
        <v>2096.1123110151188</v>
      </c>
      <c r="H5" s="111">
        <v>295.07</v>
      </c>
      <c r="I5" s="111">
        <v>0.78</v>
      </c>
      <c r="J5" s="111">
        <f t="shared" si="1"/>
        <v>230.15460000000002</v>
      </c>
      <c r="K5" s="139">
        <f t="shared" si="2"/>
        <v>13.4334978</v>
      </c>
      <c r="L5" s="111">
        <v>6.1</v>
      </c>
      <c r="M5" s="111">
        <v>34.1</v>
      </c>
      <c r="N5" s="111">
        <v>122.6</v>
      </c>
      <c r="O5" s="111">
        <f t="shared" si="3"/>
        <v>9.4845840130505721</v>
      </c>
      <c r="P5" s="111">
        <f t="shared" si="4"/>
        <v>16.75071443729907</v>
      </c>
      <c r="Q5" s="111">
        <f t="shared" si="5"/>
        <v>70250</v>
      </c>
      <c r="R5" s="111">
        <v>6</v>
      </c>
      <c r="S5" s="111">
        <f t="shared" si="6"/>
        <v>1.6621612184000608E-5</v>
      </c>
      <c r="T5" s="111">
        <f t="shared" si="7"/>
        <v>336.5615609357568</v>
      </c>
      <c r="U5" s="123">
        <f t="shared" si="8"/>
        <v>2.9712246318909874</v>
      </c>
      <c r="V5" s="123">
        <f t="shared" si="9"/>
        <v>1.9808164212606581E-2</v>
      </c>
    </row>
    <row r="6" spans="1:22" x14ac:dyDescent="0.5">
      <c r="A6" s="68" t="s">
        <v>119</v>
      </c>
      <c r="B6" s="111" t="s">
        <v>187</v>
      </c>
      <c r="C6" s="111">
        <v>165</v>
      </c>
      <c r="D6" s="111">
        <v>79000</v>
      </c>
      <c r="E6" s="111">
        <v>62800</v>
      </c>
      <c r="F6" s="111">
        <v>4528</v>
      </c>
      <c r="G6" s="111">
        <f t="shared" si="0"/>
        <v>2444.9244060475162</v>
      </c>
      <c r="H6" s="111">
        <v>295.07</v>
      </c>
      <c r="I6" s="111">
        <v>0.78</v>
      </c>
      <c r="J6" s="111">
        <f t="shared" si="1"/>
        <v>230.15460000000002</v>
      </c>
      <c r="K6" s="139">
        <f t="shared" si="2"/>
        <v>13.642091199999999</v>
      </c>
      <c r="L6" s="111">
        <v>6.1</v>
      </c>
      <c r="M6" s="111">
        <v>35.799999999999997</v>
      </c>
      <c r="N6" s="111">
        <v>122.4</v>
      </c>
      <c r="O6" s="111">
        <f t="shared" si="3"/>
        <v>10.470915032679738</v>
      </c>
      <c r="P6" s="111">
        <f t="shared" si="4"/>
        <v>17.873448314378525</v>
      </c>
      <c r="Q6" s="111">
        <f t="shared" si="5"/>
        <v>70900</v>
      </c>
      <c r="R6" s="111">
        <v>11.3</v>
      </c>
      <c r="S6" s="111">
        <f t="shared" si="6"/>
        <v>1.4807561563501625E-5</v>
      </c>
      <c r="T6" s="111">
        <f t="shared" si="7"/>
        <v>399.41945859854053</v>
      </c>
      <c r="U6" s="123">
        <f t="shared" si="8"/>
        <v>2.5036336574806373</v>
      </c>
      <c r="V6" s="123">
        <f t="shared" si="9"/>
        <v>1.5173537318064468E-2</v>
      </c>
    </row>
    <row r="7" spans="1:22" x14ac:dyDescent="0.5">
      <c r="A7" s="68" t="s">
        <v>118</v>
      </c>
      <c r="B7" s="111" t="s">
        <v>196</v>
      </c>
      <c r="C7" s="111">
        <v>185</v>
      </c>
      <c r="D7" s="111">
        <v>93500</v>
      </c>
      <c r="E7" s="111">
        <v>77800</v>
      </c>
      <c r="F7" s="111">
        <v>4215</v>
      </c>
      <c r="G7" s="111">
        <f t="shared" si="0"/>
        <v>2275.9179265658745</v>
      </c>
      <c r="H7" s="111">
        <v>295.07</v>
      </c>
      <c r="I7" s="111">
        <v>0.78</v>
      </c>
      <c r="J7" s="111">
        <f t="shared" si="1"/>
        <v>230.15460000000002</v>
      </c>
      <c r="K7" s="139">
        <f t="shared" si="2"/>
        <v>13.5410235</v>
      </c>
      <c r="L7" s="111">
        <v>6.1</v>
      </c>
      <c r="M7" s="111">
        <v>34.1</v>
      </c>
      <c r="N7" s="111">
        <v>122.6</v>
      </c>
      <c r="O7" s="111">
        <f t="shared" si="3"/>
        <v>9.4845840130505721</v>
      </c>
      <c r="P7" s="111">
        <f t="shared" si="4"/>
        <v>16.884792122961155</v>
      </c>
      <c r="Q7" s="111">
        <f t="shared" si="5"/>
        <v>85650</v>
      </c>
      <c r="R7" s="111">
        <v>5.7</v>
      </c>
      <c r="S7" s="111">
        <f t="shared" si="6"/>
        <v>1.678957825080409E-5</v>
      </c>
      <c r="T7" s="111">
        <f t="shared" si="7"/>
        <v>275.47311245290223</v>
      </c>
      <c r="U7" s="123">
        <f t="shared" si="8"/>
        <v>3.6301183483777222</v>
      </c>
      <c r="V7" s="123">
        <f t="shared" si="9"/>
        <v>1.962226134258228E-2</v>
      </c>
    </row>
    <row r="8" spans="1:22" x14ac:dyDescent="0.5">
      <c r="A8" s="68" t="s">
        <v>117</v>
      </c>
      <c r="B8" s="111" t="s">
        <v>188</v>
      </c>
      <c r="C8" s="111">
        <v>206</v>
      </c>
      <c r="D8" s="111">
        <v>97000</v>
      </c>
      <c r="E8" s="111">
        <v>73300</v>
      </c>
      <c r="F8" s="111">
        <v>5648.6</v>
      </c>
      <c r="G8" s="111">
        <f t="shared" si="0"/>
        <v>3050</v>
      </c>
      <c r="H8" s="111">
        <v>295.07</v>
      </c>
      <c r="I8" s="111">
        <v>0.78</v>
      </c>
      <c r="J8" s="111">
        <f t="shared" si="1"/>
        <v>230.15460000000002</v>
      </c>
      <c r="K8" s="139">
        <f t="shared" si="2"/>
        <v>14.00393294</v>
      </c>
      <c r="L8" s="111">
        <v>6.1</v>
      </c>
      <c r="M8" s="111">
        <v>35.799999999999997</v>
      </c>
      <c r="N8" s="111">
        <v>122.4</v>
      </c>
      <c r="O8" s="111">
        <f t="shared" si="3"/>
        <v>10.470915032679738</v>
      </c>
      <c r="P8" s="111">
        <f t="shared" si="4"/>
        <v>18.347522233329805</v>
      </c>
      <c r="Q8" s="111">
        <f t="shared" si="5"/>
        <v>85150</v>
      </c>
      <c r="R8" s="111">
        <v>10.5</v>
      </c>
      <c r="S8" s="111">
        <f t="shared" si="6"/>
        <v>1.4995343885217402E-5</v>
      </c>
      <c r="T8" s="111">
        <f t="shared" si="7"/>
        <v>337.12192065641045</v>
      </c>
      <c r="U8" s="123">
        <f t="shared" si="8"/>
        <v>2.9662859005219802</v>
      </c>
      <c r="V8" s="123">
        <f t="shared" si="9"/>
        <v>1.4399446119038739E-2</v>
      </c>
    </row>
    <row r="9" spans="1:22" x14ac:dyDescent="0.5">
      <c r="A9" s="68" t="s">
        <v>116</v>
      </c>
      <c r="B9" s="111" t="s">
        <v>197</v>
      </c>
      <c r="C9" s="111">
        <v>246</v>
      </c>
      <c r="D9" s="111">
        <v>242000</v>
      </c>
      <c r="E9" s="111">
        <v>170000</v>
      </c>
      <c r="F9" s="111">
        <v>8584</v>
      </c>
      <c r="G9" s="111">
        <f t="shared" si="0"/>
        <v>4634.9892008639308</v>
      </c>
      <c r="H9" s="111">
        <v>295.07</v>
      </c>
      <c r="I9" s="111">
        <v>0.82</v>
      </c>
      <c r="J9" s="111">
        <f t="shared" si="1"/>
        <v>241.95739999999998</v>
      </c>
      <c r="K9" s="139">
        <f t="shared" si="2"/>
        <v>14.951773599999999</v>
      </c>
      <c r="L9" s="111">
        <v>6.1</v>
      </c>
      <c r="M9" s="111">
        <v>60.3</v>
      </c>
      <c r="N9" s="111">
        <v>361.6</v>
      </c>
      <c r="O9" s="111">
        <f t="shared" si="3"/>
        <v>10.055558628318582</v>
      </c>
      <c r="P9" s="111">
        <f t="shared" si="4"/>
        <v>19.196890871328442</v>
      </c>
      <c r="Q9" s="111">
        <f t="shared" si="5"/>
        <v>206000</v>
      </c>
      <c r="R9" s="111">
        <v>5.0999999999999996</v>
      </c>
      <c r="S9" s="111">
        <f t="shared" si="6"/>
        <v>1.7605105563743909E-5</v>
      </c>
      <c r="T9" s="111">
        <f t="shared" si="7"/>
        <v>130.55543130418909</v>
      </c>
      <c r="U9" s="123">
        <f t="shared" si="8"/>
        <v>7.6595817578055323</v>
      </c>
      <c r="V9" s="123">
        <f t="shared" si="9"/>
        <v>3.1136511210591595E-2</v>
      </c>
    </row>
    <row r="10" spans="1:22" x14ac:dyDescent="0.5">
      <c r="A10" s="68" t="s">
        <v>115</v>
      </c>
      <c r="B10" s="111" t="s">
        <v>197</v>
      </c>
      <c r="C10" s="111">
        <v>300</v>
      </c>
      <c r="D10" s="111">
        <v>242000</v>
      </c>
      <c r="E10" s="111">
        <v>175000</v>
      </c>
      <c r="F10" s="111">
        <v>7723</v>
      </c>
      <c r="G10" s="111">
        <f t="shared" si="0"/>
        <v>4170.0863930885525</v>
      </c>
      <c r="H10" s="111">
        <v>295.07</v>
      </c>
      <c r="I10" s="111">
        <v>0.82</v>
      </c>
      <c r="J10" s="111">
        <f t="shared" si="1"/>
        <v>241.95739999999998</v>
      </c>
      <c r="K10" s="139">
        <f t="shared" si="2"/>
        <v>14.6737567</v>
      </c>
      <c r="L10" s="111">
        <v>6.1</v>
      </c>
      <c r="M10" s="111">
        <v>60.3</v>
      </c>
      <c r="N10" s="111">
        <v>361.6</v>
      </c>
      <c r="O10" s="111">
        <f t="shared" si="3"/>
        <v>10.055558628318582</v>
      </c>
      <c r="P10" s="111">
        <f t="shared" si="4"/>
        <v>18.839939232515171</v>
      </c>
      <c r="Q10" s="111">
        <f t="shared" si="5"/>
        <v>208500</v>
      </c>
      <c r="R10" s="111">
        <v>5.0999999999999996</v>
      </c>
      <c r="S10" s="111">
        <f t="shared" si="6"/>
        <v>1.7605105563743909E-5</v>
      </c>
      <c r="T10" s="111">
        <f t="shared" si="7"/>
        <v>126.59154681108616</v>
      </c>
      <c r="U10" s="123">
        <f t="shared" si="8"/>
        <v>7.8994216058700193</v>
      </c>
      <c r="V10" s="123">
        <f t="shared" ref="V10:V53" si="10">U10/C10</f>
        <v>2.6331405352900066E-2</v>
      </c>
    </row>
    <row r="11" spans="1:22" x14ac:dyDescent="0.5">
      <c r="A11" s="68" t="s">
        <v>1</v>
      </c>
      <c r="B11" s="111" t="s">
        <v>334</v>
      </c>
      <c r="C11" s="111">
        <v>287</v>
      </c>
      <c r="D11" s="111">
        <v>251000</v>
      </c>
      <c r="E11" s="111">
        <v>181000</v>
      </c>
      <c r="F11" s="111">
        <v>7723</v>
      </c>
      <c r="G11" s="111">
        <f t="shared" si="0"/>
        <v>4170.0863930885525</v>
      </c>
      <c r="H11" s="111">
        <v>295.07</v>
      </c>
      <c r="I11" s="111">
        <v>0.86</v>
      </c>
      <c r="J11" s="111">
        <f t="shared" si="1"/>
        <v>253.7602</v>
      </c>
      <c r="K11" s="139">
        <f t="shared" si="2"/>
        <v>14.6737567</v>
      </c>
      <c r="L11" s="111">
        <v>6.1</v>
      </c>
      <c r="M11" s="111">
        <v>64</v>
      </c>
      <c r="N11" s="111">
        <v>372</v>
      </c>
      <c r="O11" s="111">
        <f t="shared" si="3"/>
        <v>11.010752688172044</v>
      </c>
      <c r="P11" s="111">
        <f t="shared" si="4"/>
        <v>19.714460666330986</v>
      </c>
      <c r="Q11" s="111">
        <f t="shared" si="5"/>
        <v>216000</v>
      </c>
      <c r="R11" s="111">
        <v>10</v>
      </c>
      <c r="S11" s="111">
        <f t="shared" si="6"/>
        <v>1.6000558129607549E-5</v>
      </c>
      <c r="T11" s="111">
        <f t="shared" si="7"/>
        <v>147.5538405749252</v>
      </c>
      <c r="U11" s="123">
        <f t="shared" si="8"/>
        <v>6.7771872023366129</v>
      </c>
      <c r="V11" s="123">
        <f t="shared" si="10"/>
        <v>2.3613892691068339E-2</v>
      </c>
    </row>
    <row r="12" spans="1:22" x14ac:dyDescent="0.5">
      <c r="A12" s="68" t="s">
        <v>109</v>
      </c>
      <c r="B12" s="111" t="s">
        <v>189</v>
      </c>
      <c r="C12" s="111">
        <v>315</v>
      </c>
      <c r="D12" s="111">
        <v>280000</v>
      </c>
      <c r="E12" s="111">
        <v>195700</v>
      </c>
      <c r="F12" s="111">
        <v>10797</v>
      </c>
      <c r="G12" s="111">
        <f t="shared" si="0"/>
        <v>5829.9136069114465</v>
      </c>
      <c r="H12" s="111">
        <v>295.07</v>
      </c>
      <c r="I12" s="111">
        <v>0.85</v>
      </c>
      <c r="J12" s="111">
        <f t="shared" si="1"/>
        <v>250.80949999999999</v>
      </c>
      <c r="K12" s="139">
        <f t="shared" si="2"/>
        <v>15.666351300000001</v>
      </c>
      <c r="L12" s="111">
        <v>6.1</v>
      </c>
      <c r="M12" s="111">
        <v>64.75</v>
      </c>
      <c r="N12" s="111">
        <v>442</v>
      </c>
      <c r="O12" s="111">
        <f t="shared" si="3"/>
        <v>9.4854355203619907</v>
      </c>
      <c r="P12" s="111">
        <f t="shared" si="4"/>
        <v>19.535817136763718</v>
      </c>
      <c r="Q12" s="111">
        <f t="shared" si="5"/>
        <v>237850</v>
      </c>
      <c r="R12" s="111">
        <v>9.2799999999999994</v>
      </c>
      <c r="S12" s="111">
        <f t="shared" si="6"/>
        <v>1.609166333814081E-5</v>
      </c>
      <c r="T12" s="111">
        <f t="shared" si="7"/>
        <v>130.49758143951365</v>
      </c>
      <c r="U12" s="123">
        <f t="shared" si="8"/>
        <v>7.6629772672339174</v>
      </c>
      <c r="V12" s="123">
        <f t="shared" si="10"/>
        <v>2.4326911959472754E-2</v>
      </c>
    </row>
    <row r="13" spans="1:22" x14ac:dyDescent="0.5">
      <c r="A13" s="68" t="s">
        <v>106</v>
      </c>
      <c r="B13" s="111" t="s">
        <v>198</v>
      </c>
      <c r="C13" s="111">
        <v>575</v>
      </c>
      <c r="D13" s="111">
        <v>575000</v>
      </c>
      <c r="E13" s="111">
        <v>369000</v>
      </c>
      <c r="F13" s="111">
        <v>12131</v>
      </c>
      <c r="G13" s="111">
        <f t="shared" si="0"/>
        <v>6550.2159827213818</v>
      </c>
      <c r="H13" s="111">
        <v>295.07</v>
      </c>
      <c r="I13" s="111">
        <v>0.85</v>
      </c>
      <c r="J13" s="111">
        <f t="shared" si="1"/>
        <v>250.80949999999999</v>
      </c>
      <c r="K13" s="139">
        <f t="shared" si="2"/>
        <v>16.0970999</v>
      </c>
      <c r="L13" s="111">
        <v>6.1</v>
      </c>
      <c r="M13" s="111">
        <v>79.8</v>
      </c>
      <c r="N13" s="111">
        <v>846</v>
      </c>
      <c r="O13" s="111">
        <f t="shared" si="3"/>
        <v>7.5272340425531912</v>
      </c>
      <c r="P13" s="111">
        <f t="shared" si="4"/>
        <v>17.881355259663625</v>
      </c>
      <c r="Q13" s="111">
        <f t="shared" si="5"/>
        <v>472000</v>
      </c>
      <c r="R13" s="111">
        <v>8.7100000000000009</v>
      </c>
      <c r="S13" s="111">
        <f t="shared" si="6"/>
        <v>1.6266721048161659E-5</v>
      </c>
      <c r="T13" s="111">
        <f t="shared" si="7"/>
        <v>59.543366971694617</v>
      </c>
      <c r="U13" s="123">
        <f t="shared" si="8"/>
        <v>16.794481918957896</v>
      </c>
      <c r="V13" s="123">
        <f t="shared" si="10"/>
        <v>2.9207794641665907E-2</v>
      </c>
    </row>
    <row r="14" spans="1:22" x14ac:dyDescent="0.5">
      <c r="A14" s="68" t="s">
        <v>104</v>
      </c>
      <c r="B14" s="111" t="s">
        <v>220</v>
      </c>
      <c r="C14" s="111">
        <v>48</v>
      </c>
      <c r="D14" s="111">
        <v>18600</v>
      </c>
      <c r="E14" s="111">
        <v>16700</v>
      </c>
      <c r="F14" s="111">
        <v>969</v>
      </c>
      <c r="G14" s="111">
        <f t="shared" si="0"/>
        <v>523.21814254859612</v>
      </c>
      <c r="H14" s="111">
        <v>295.07</v>
      </c>
      <c r="I14" s="135" t="s">
        <v>226</v>
      </c>
      <c r="J14" s="111">
        <f>480/3.6</f>
        <v>133.33333333333334</v>
      </c>
      <c r="K14" s="139">
        <f t="shared" si="2"/>
        <v>12.4928901</v>
      </c>
      <c r="L14" s="111">
        <v>6.1</v>
      </c>
      <c r="M14" s="111">
        <v>24.57</v>
      </c>
      <c r="N14" s="111">
        <v>54.5</v>
      </c>
      <c r="O14" s="111">
        <f t="shared" si="3"/>
        <v>11.076787155963302</v>
      </c>
      <c r="P14" s="111">
        <f t="shared" si="4"/>
        <v>16.834681619162986</v>
      </c>
      <c r="Q14" s="111">
        <f t="shared" si="5"/>
        <v>17650</v>
      </c>
      <c r="R14" s="135" t="s">
        <v>226</v>
      </c>
      <c r="S14" s="111" t="e">
        <f t="shared" si="6"/>
        <v>#VALUE!</v>
      </c>
      <c r="T14" s="111" t="e">
        <f t="shared" si="7"/>
        <v>#VALUE!</v>
      </c>
      <c r="U14" s="123" t="e">
        <f t="shared" si="8"/>
        <v>#VALUE!</v>
      </c>
      <c r="V14" s="123" t="e">
        <f t="shared" si="10"/>
        <v>#VALUE!</v>
      </c>
    </row>
    <row r="15" spans="1:22" x14ac:dyDescent="0.5">
      <c r="A15" s="68" t="s">
        <v>102</v>
      </c>
      <c r="B15" s="111" t="s">
        <v>221</v>
      </c>
      <c r="C15" s="111">
        <v>68</v>
      </c>
      <c r="D15" s="111">
        <v>22500</v>
      </c>
      <c r="E15" s="111">
        <v>20500</v>
      </c>
      <c r="F15" s="111">
        <v>926</v>
      </c>
      <c r="G15" s="111">
        <f t="shared" si="0"/>
        <v>500</v>
      </c>
      <c r="H15" s="111">
        <v>295.07</v>
      </c>
      <c r="I15" s="135" t="s">
        <v>226</v>
      </c>
      <c r="J15" s="111">
        <f>500/3.6</f>
        <v>138.88888888888889</v>
      </c>
      <c r="K15" s="139">
        <f t="shared" si="2"/>
        <v>12.4790054</v>
      </c>
      <c r="L15" s="111">
        <v>6.1</v>
      </c>
      <c r="M15" s="111">
        <v>27.06</v>
      </c>
      <c r="N15" s="111">
        <v>61</v>
      </c>
      <c r="O15" s="111">
        <f t="shared" si="3"/>
        <v>12.003993442622949</v>
      </c>
      <c r="P15" s="111">
        <f t="shared" si="4"/>
        <v>17.505637454646688</v>
      </c>
      <c r="Q15" s="111">
        <f t="shared" si="5"/>
        <v>21500</v>
      </c>
      <c r="R15" s="135" t="s">
        <v>226</v>
      </c>
      <c r="S15" s="111" t="e">
        <f t="shared" si="6"/>
        <v>#VALUE!</v>
      </c>
      <c r="T15" s="111" t="e">
        <f t="shared" si="7"/>
        <v>#VALUE!</v>
      </c>
      <c r="U15" s="123" t="e">
        <f t="shared" si="8"/>
        <v>#VALUE!</v>
      </c>
      <c r="V15" s="123" t="e">
        <f t="shared" si="10"/>
        <v>#VALUE!</v>
      </c>
    </row>
    <row r="16" spans="1:22" x14ac:dyDescent="0.5">
      <c r="A16" s="68" t="s">
        <v>100</v>
      </c>
      <c r="B16" s="111" t="s">
        <v>222</v>
      </c>
      <c r="C16" s="111">
        <v>19</v>
      </c>
      <c r="D16" s="111">
        <v>7766</v>
      </c>
      <c r="E16" s="111">
        <v>6879</v>
      </c>
      <c r="F16" s="111">
        <v>585</v>
      </c>
      <c r="G16" s="111">
        <f t="shared" si="0"/>
        <v>315.87473002159828</v>
      </c>
      <c r="H16" s="111">
        <v>295.07</v>
      </c>
      <c r="I16" s="135" t="s">
        <v>226</v>
      </c>
      <c r="J16" s="111">
        <f>427/3.6</f>
        <v>118.61111111111111</v>
      </c>
      <c r="K16" s="139">
        <f t="shared" si="2"/>
        <v>12.3688965</v>
      </c>
      <c r="L16" s="111">
        <v>6.1</v>
      </c>
      <c r="M16" s="111">
        <v>17.61</v>
      </c>
      <c r="N16" s="111">
        <v>28.8</v>
      </c>
      <c r="O16" s="111">
        <f t="shared" si="3"/>
        <v>10.767781250000001</v>
      </c>
      <c r="P16" s="111">
        <f t="shared" si="4"/>
        <v>16.43346522173913</v>
      </c>
      <c r="Q16" s="111">
        <f t="shared" si="5"/>
        <v>7322.5</v>
      </c>
      <c r="R16" s="135" t="s">
        <v>226</v>
      </c>
      <c r="S16" s="111" t="e">
        <f t="shared" si="6"/>
        <v>#VALUE!</v>
      </c>
      <c r="T16" s="111" t="e">
        <f t="shared" si="7"/>
        <v>#VALUE!</v>
      </c>
      <c r="U16" s="123" t="e">
        <f t="shared" si="8"/>
        <v>#VALUE!</v>
      </c>
      <c r="V16" s="123" t="e">
        <f t="shared" si="10"/>
        <v>#VALUE!</v>
      </c>
    </row>
    <row r="17" spans="1:22" x14ac:dyDescent="0.5">
      <c r="A17" s="68" t="s">
        <v>98</v>
      </c>
      <c r="B17" s="111" t="s">
        <v>199</v>
      </c>
      <c r="C17" s="111">
        <v>106</v>
      </c>
      <c r="D17" s="111">
        <v>54884</v>
      </c>
      <c r="E17" s="111">
        <v>45586</v>
      </c>
      <c r="F17" s="111">
        <v>2185</v>
      </c>
      <c r="G17" s="111">
        <f t="shared" si="0"/>
        <v>1179.8056155507559</v>
      </c>
      <c r="H17" s="111">
        <v>295.07</v>
      </c>
      <c r="I17" s="111">
        <v>0.77</v>
      </c>
      <c r="J17" s="111">
        <f t="shared" si="1"/>
        <v>227.2039</v>
      </c>
      <c r="K17" s="139">
        <f t="shared" si="2"/>
        <v>12.885536500000001</v>
      </c>
      <c r="L17" s="111">
        <v>6.1</v>
      </c>
      <c r="M17" s="111">
        <v>28.45</v>
      </c>
      <c r="N17" s="111">
        <v>28.45</v>
      </c>
      <c r="O17" s="111">
        <f t="shared" si="3"/>
        <v>28.45</v>
      </c>
      <c r="P17" s="111">
        <f t="shared" si="4"/>
        <v>27.827790384590386</v>
      </c>
      <c r="Q17" s="111">
        <f t="shared" si="5"/>
        <v>50235</v>
      </c>
      <c r="R17" s="111">
        <v>4.66</v>
      </c>
      <c r="S17" s="111">
        <f t="shared" si="6"/>
        <v>1.737359213345719E-5</v>
      </c>
      <c r="T17" s="111">
        <f t="shared" si="7"/>
        <v>738.46423998643809</v>
      </c>
      <c r="U17" s="123">
        <f t="shared" si="8"/>
        <v>1.3541617127166037</v>
      </c>
      <c r="V17" s="123">
        <f t="shared" si="10"/>
        <v>1.277511049732645E-2</v>
      </c>
    </row>
    <row r="18" spans="1:22" x14ac:dyDescent="0.5">
      <c r="A18" s="68" t="s">
        <v>157</v>
      </c>
      <c r="B18" s="111" t="s">
        <v>190</v>
      </c>
      <c r="C18" s="111">
        <v>162</v>
      </c>
      <c r="D18" s="111">
        <v>82644</v>
      </c>
      <c r="E18" s="111">
        <v>65952</v>
      </c>
      <c r="F18" s="111">
        <v>4842</v>
      </c>
      <c r="G18" s="111">
        <f t="shared" si="0"/>
        <v>2614.4708423326133</v>
      </c>
      <c r="H18" s="111">
        <v>295.07</v>
      </c>
      <c r="I18" s="111">
        <v>0.79</v>
      </c>
      <c r="J18" s="111">
        <f t="shared" si="1"/>
        <v>233.1053</v>
      </c>
      <c r="K18" s="139">
        <f t="shared" si="2"/>
        <v>13.7434818</v>
      </c>
      <c r="L18" s="111">
        <v>6.1</v>
      </c>
      <c r="M18" s="111">
        <v>35.92</v>
      </c>
      <c r="N18" s="111">
        <v>127</v>
      </c>
      <c r="O18" s="111">
        <f t="shared" si="3"/>
        <v>10.159420472440946</v>
      </c>
      <c r="P18" s="111">
        <f t="shared" si="4"/>
        <v>17.736434592428292</v>
      </c>
      <c r="Q18" s="111">
        <f t="shared" si="5"/>
        <v>74298</v>
      </c>
      <c r="R18" s="111">
        <v>8.4</v>
      </c>
      <c r="S18" s="111">
        <f t="shared" si="6"/>
        <v>1.571052490756755E-5</v>
      </c>
      <c r="T18" s="111">
        <f t="shared" si="7"/>
        <v>361.06188352190458</v>
      </c>
      <c r="U18" s="123">
        <f t="shared" si="8"/>
        <v>2.7696083293138112</v>
      </c>
      <c r="V18" s="123">
        <f t="shared" si="10"/>
        <v>1.7096347711813648E-2</v>
      </c>
    </row>
    <row r="19" spans="1:22" x14ac:dyDescent="0.5">
      <c r="A19" s="68" t="s">
        <v>95</v>
      </c>
      <c r="B19" s="111" t="s">
        <v>191</v>
      </c>
      <c r="C19" s="111">
        <v>180</v>
      </c>
      <c r="D19" s="111">
        <v>88314</v>
      </c>
      <c r="E19" s="111">
        <v>70987</v>
      </c>
      <c r="F19" s="111">
        <v>4630</v>
      </c>
      <c r="G19" s="111">
        <f t="shared" si="0"/>
        <v>2500</v>
      </c>
      <c r="H19" s="111">
        <v>295.07</v>
      </c>
      <c r="I19" s="111">
        <v>0.79</v>
      </c>
      <c r="J19" s="111">
        <f t="shared" si="1"/>
        <v>233.1053</v>
      </c>
      <c r="K19" s="139">
        <f t="shared" si="2"/>
        <v>13.675027</v>
      </c>
      <c r="L19" s="111">
        <v>6.1</v>
      </c>
      <c r="M19" s="111">
        <v>35.92</v>
      </c>
      <c r="N19" s="111">
        <v>127</v>
      </c>
      <c r="O19" s="111">
        <f t="shared" si="3"/>
        <v>10.159420472440946</v>
      </c>
      <c r="P19" s="111">
        <f t="shared" si="4"/>
        <v>17.648091325386766</v>
      </c>
      <c r="Q19" s="111">
        <f t="shared" si="5"/>
        <v>79650.5</v>
      </c>
      <c r="R19" s="111">
        <v>8.5</v>
      </c>
      <c r="S19" s="111">
        <f t="shared" si="6"/>
        <v>1.5677045096336464E-5</v>
      </c>
      <c r="T19" s="111">
        <f t="shared" si="7"/>
        <v>335.83671180355924</v>
      </c>
      <c r="U19" s="123">
        <f t="shared" si="8"/>
        <v>2.9776375388791005</v>
      </c>
      <c r="V19" s="123">
        <f t="shared" si="10"/>
        <v>1.654243077155056E-2</v>
      </c>
    </row>
    <row r="20" spans="1:22" x14ac:dyDescent="0.5">
      <c r="A20" s="68" t="s">
        <v>91</v>
      </c>
      <c r="B20" s="111" t="s">
        <v>200</v>
      </c>
      <c r="C20" s="111">
        <v>126</v>
      </c>
      <c r="D20" s="111">
        <v>61235</v>
      </c>
      <c r="E20" s="111">
        <v>48308</v>
      </c>
      <c r="F20" s="111">
        <v>3439</v>
      </c>
      <c r="G20" s="111">
        <f t="shared" si="0"/>
        <v>1856.9114470842333</v>
      </c>
      <c r="H20" s="111">
        <v>295.07</v>
      </c>
      <c r="I20" s="111">
        <v>0.745</v>
      </c>
      <c r="J20" s="111">
        <f t="shared" si="1"/>
        <v>219.82714999999999</v>
      </c>
      <c r="K20" s="139">
        <f t="shared" si="2"/>
        <v>13.290453100000001</v>
      </c>
      <c r="L20" s="111">
        <v>6.1</v>
      </c>
      <c r="M20" s="111">
        <v>28.88</v>
      </c>
      <c r="N20" s="111">
        <v>105.4</v>
      </c>
      <c r="O20" s="111">
        <f t="shared" si="3"/>
        <v>7.9132296015180259</v>
      </c>
      <c r="P20" s="111">
        <f t="shared" si="4"/>
        <v>15.137416243677912</v>
      </c>
      <c r="Q20" s="111">
        <f t="shared" si="5"/>
        <v>54771.5</v>
      </c>
      <c r="R20" s="111">
        <v>5.0999999999999996</v>
      </c>
      <c r="S20" s="111">
        <f t="shared" si="6"/>
        <v>1.6781390748074109E-5</v>
      </c>
      <c r="T20" s="111">
        <f t="shared" si="7"/>
        <v>369.04683953177204</v>
      </c>
      <c r="U20" s="123">
        <f t="shared" si="8"/>
        <v>2.7096831428464458</v>
      </c>
      <c r="V20" s="123">
        <f t="shared" si="10"/>
        <v>2.1505421768622586E-2</v>
      </c>
    </row>
    <row r="21" spans="1:22" x14ac:dyDescent="0.5">
      <c r="A21" s="68" t="s">
        <v>87</v>
      </c>
      <c r="B21" s="111" t="s">
        <v>200</v>
      </c>
      <c r="C21" s="111">
        <v>147</v>
      </c>
      <c r="D21" s="111">
        <v>68039</v>
      </c>
      <c r="E21" s="111">
        <v>53070</v>
      </c>
      <c r="F21" s="111">
        <v>3258</v>
      </c>
      <c r="G21" s="111">
        <f t="shared" si="0"/>
        <v>1759.1792656587472</v>
      </c>
      <c r="H21" s="111">
        <v>295.07</v>
      </c>
      <c r="I21" s="111">
        <v>0.745</v>
      </c>
      <c r="J21" s="111">
        <f t="shared" si="1"/>
        <v>219.82714999999999</v>
      </c>
      <c r="K21" s="139">
        <f t="shared" si="2"/>
        <v>13.232008199999999</v>
      </c>
      <c r="L21" s="111">
        <v>6.1</v>
      </c>
      <c r="M21" s="111">
        <v>28.88</v>
      </c>
      <c r="N21" s="111">
        <v>105.4</v>
      </c>
      <c r="O21" s="111">
        <f t="shared" si="3"/>
        <v>7.9132296015180259</v>
      </c>
      <c r="P21" s="111">
        <f t="shared" si="4"/>
        <v>15.070849304841179</v>
      </c>
      <c r="Q21" s="111">
        <f t="shared" si="5"/>
        <v>60554.5</v>
      </c>
      <c r="R21" s="111">
        <v>5.0999999999999996</v>
      </c>
      <c r="S21" s="111">
        <f t="shared" si="6"/>
        <v>1.6781390748074109E-5</v>
      </c>
      <c r="T21" s="111">
        <f t="shared" si="7"/>
        <v>332.33469036250699</v>
      </c>
      <c r="U21" s="123">
        <f t="shared" si="8"/>
        <v>3.0090147944206818</v>
      </c>
      <c r="V21" s="123">
        <f t="shared" si="10"/>
        <v>2.0469488397419605E-2</v>
      </c>
    </row>
    <row r="22" spans="1:22" x14ac:dyDescent="0.5">
      <c r="A22" s="68" t="s">
        <v>84</v>
      </c>
      <c r="B22" s="111" t="s">
        <v>200</v>
      </c>
      <c r="C22" s="111">
        <v>110</v>
      </c>
      <c r="D22" s="111">
        <v>60555</v>
      </c>
      <c r="E22" s="111">
        <v>46493</v>
      </c>
      <c r="F22" s="111">
        <v>2910</v>
      </c>
      <c r="G22" s="111">
        <f t="shared" si="0"/>
        <v>1571.2742980561554</v>
      </c>
      <c r="H22" s="111">
        <v>295.07</v>
      </c>
      <c r="I22" s="111">
        <v>0.745</v>
      </c>
      <c r="J22" s="111">
        <f t="shared" si="1"/>
        <v>219.82714999999999</v>
      </c>
      <c r="K22" s="139">
        <f t="shared" si="2"/>
        <v>13.119638999999999</v>
      </c>
      <c r="L22" s="111">
        <v>6.1</v>
      </c>
      <c r="M22" s="111">
        <v>28.88</v>
      </c>
      <c r="N22" s="111">
        <v>105.4</v>
      </c>
      <c r="O22" s="111">
        <f t="shared" si="3"/>
        <v>7.9132296015180259</v>
      </c>
      <c r="P22" s="111">
        <f t="shared" si="4"/>
        <v>14.94286425116614</v>
      </c>
      <c r="Q22" s="111">
        <f t="shared" si="5"/>
        <v>53524</v>
      </c>
      <c r="R22" s="111">
        <v>5.0999999999999996</v>
      </c>
      <c r="S22" s="111">
        <f t="shared" si="6"/>
        <v>1.6781390748074109E-5</v>
      </c>
      <c r="T22" s="111">
        <f t="shared" si="7"/>
        <v>372.79464150590422</v>
      </c>
      <c r="U22" s="123">
        <f t="shared" si="8"/>
        <v>2.6824419899398215</v>
      </c>
      <c r="V22" s="123">
        <f t="shared" si="10"/>
        <v>2.4385836272180196E-2</v>
      </c>
    </row>
    <row r="23" spans="1:22" x14ac:dyDescent="0.5">
      <c r="A23" s="68" t="s">
        <v>81</v>
      </c>
      <c r="B23" s="111" t="s">
        <v>201</v>
      </c>
      <c r="C23" s="111">
        <v>128</v>
      </c>
      <c r="D23" s="111">
        <v>70080</v>
      </c>
      <c r="E23" s="111">
        <v>55202</v>
      </c>
      <c r="F23" s="111">
        <v>3945</v>
      </c>
      <c r="G23" s="111">
        <f t="shared" si="0"/>
        <v>2130.1295896328293</v>
      </c>
      <c r="H23" s="111">
        <v>295.07</v>
      </c>
      <c r="I23" s="111">
        <v>0.78500000000000003</v>
      </c>
      <c r="J23" s="111">
        <f t="shared" si="1"/>
        <v>231.62995000000001</v>
      </c>
      <c r="K23" s="139">
        <f t="shared" si="2"/>
        <v>13.4538405</v>
      </c>
      <c r="L23" s="111">
        <v>6.1</v>
      </c>
      <c r="M23" s="111">
        <v>34.32</v>
      </c>
      <c r="N23" s="111">
        <v>125</v>
      </c>
      <c r="O23" s="111">
        <f t="shared" si="3"/>
        <v>9.4228991999999998</v>
      </c>
      <c r="P23" s="111">
        <f t="shared" si="4"/>
        <v>16.721438266852871</v>
      </c>
      <c r="Q23" s="111">
        <f t="shared" si="5"/>
        <v>62641</v>
      </c>
      <c r="R23" s="111">
        <v>5.4</v>
      </c>
      <c r="S23" s="111">
        <f t="shared" si="6"/>
        <v>1.70252854909455E-5</v>
      </c>
      <c r="T23" s="111">
        <f t="shared" si="7"/>
        <v>370.20838456205951</v>
      </c>
      <c r="U23" s="123">
        <f t="shared" si="8"/>
        <v>2.7011813932387208</v>
      </c>
      <c r="V23" s="123">
        <f t="shared" si="10"/>
        <v>2.1102979634677506E-2</v>
      </c>
    </row>
    <row r="24" spans="1:22" x14ac:dyDescent="0.5">
      <c r="A24" s="68" t="s">
        <v>79</v>
      </c>
      <c r="B24" s="111" t="s">
        <v>202</v>
      </c>
      <c r="C24" s="111">
        <v>160</v>
      </c>
      <c r="D24" s="111">
        <v>79016</v>
      </c>
      <c r="E24" s="111">
        <v>62732</v>
      </c>
      <c r="F24" s="111">
        <v>3750</v>
      </c>
      <c r="G24" s="111">
        <f t="shared" si="0"/>
        <v>2024.8380129589632</v>
      </c>
      <c r="H24" s="111">
        <v>295.07</v>
      </c>
      <c r="I24" s="111">
        <v>0.78500000000000003</v>
      </c>
      <c r="J24" s="111">
        <f t="shared" si="1"/>
        <v>231.62995000000001</v>
      </c>
      <c r="K24" s="139">
        <f t="shared" si="2"/>
        <v>13.390874999999999</v>
      </c>
      <c r="L24" s="111">
        <v>6.1</v>
      </c>
      <c r="M24" s="111">
        <v>34.32</v>
      </c>
      <c r="N24" s="111">
        <v>125</v>
      </c>
      <c r="O24" s="111">
        <f t="shared" si="3"/>
        <v>9.4228991999999998</v>
      </c>
      <c r="P24" s="111">
        <f t="shared" si="4"/>
        <v>16.64318003856545</v>
      </c>
      <c r="Q24" s="111">
        <f t="shared" si="5"/>
        <v>70874</v>
      </c>
      <c r="R24" s="111">
        <v>5.2</v>
      </c>
      <c r="S24" s="111">
        <f t="shared" si="6"/>
        <v>1.7153817462213707E-5</v>
      </c>
      <c r="T24" s="111">
        <f t="shared" si="7"/>
        <v>323.23195478461741</v>
      </c>
      <c r="U24" s="123">
        <f t="shared" si="8"/>
        <v>3.0937535265235163</v>
      </c>
      <c r="V24" s="123">
        <f t="shared" si="10"/>
        <v>1.9335959540771976E-2</v>
      </c>
    </row>
    <row r="25" spans="1:22" x14ac:dyDescent="0.5">
      <c r="A25" s="68" t="s">
        <v>77</v>
      </c>
      <c r="B25" s="111" t="s">
        <v>202</v>
      </c>
      <c r="C25" s="111">
        <v>177</v>
      </c>
      <c r="D25" s="111">
        <v>74389</v>
      </c>
      <c r="E25" s="111">
        <v>62732</v>
      </c>
      <c r="F25" s="111">
        <v>3704</v>
      </c>
      <c r="G25" s="111">
        <f t="shared" si="0"/>
        <v>2000</v>
      </c>
      <c r="H25" s="111">
        <v>295.07</v>
      </c>
      <c r="I25" s="111">
        <v>0.78500000000000003</v>
      </c>
      <c r="J25" s="111">
        <f t="shared" si="1"/>
        <v>231.62995000000001</v>
      </c>
      <c r="K25" s="139">
        <f t="shared" si="2"/>
        <v>13.3760216</v>
      </c>
      <c r="L25" s="111">
        <v>6.1</v>
      </c>
      <c r="M25" s="111">
        <v>34.32</v>
      </c>
      <c r="N25" s="111">
        <v>125</v>
      </c>
      <c r="O25" s="111">
        <f t="shared" si="3"/>
        <v>9.4228991999999998</v>
      </c>
      <c r="P25" s="111">
        <f t="shared" si="4"/>
        <v>16.624719123174572</v>
      </c>
      <c r="Q25" s="111">
        <f t="shared" si="5"/>
        <v>68560.5</v>
      </c>
      <c r="R25" s="111">
        <v>5.2</v>
      </c>
      <c r="S25" s="111">
        <f t="shared" si="6"/>
        <v>1.7153817462213707E-5</v>
      </c>
      <c r="T25" s="111">
        <f t="shared" si="7"/>
        <v>333.76843480133323</v>
      </c>
      <c r="U25" s="123">
        <f t="shared" si="8"/>
        <v>2.9960891915834504</v>
      </c>
      <c r="V25" s="123">
        <f t="shared" si="10"/>
        <v>1.6927057579567518E-2</v>
      </c>
    </row>
    <row r="26" spans="1:22" x14ac:dyDescent="0.5">
      <c r="A26" s="68" t="s">
        <v>74</v>
      </c>
      <c r="B26" s="111" t="s">
        <v>73</v>
      </c>
      <c r="C26" s="111">
        <v>416</v>
      </c>
      <c r="D26" s="111">
        <v>396894</v>
      </c>
      <c r="E26" s="111">
        <v>246074</v>
      </c>
      <c r="F26" s="111">
        <v>10570</v>
      </c>
      <c r="G26" s="111">
        <f t="shared" si="0"/>
        <v>5707.3434125269978</v>
      </c>
      <c r="H26" s="111">
        <v>295.07</v>
      </c>
      <c r="I26" s="111">
        <v>0.85</v>
      </c>
      <c r="J26" s="111">
        <f t="shared" si="1"/>
        <v>250.80949999999999</v>
      </c>
      <c r="K26" s="139">
        <f t="shared" si="2"/>
        <v>15.593053000000001</v>
      </c>
      <c r="L26" s="111">
        <v>6.1</v>
      </c>
      <c r="M26" s="111">
        <v>64.44</v>
      </c>
      <c r="N26" s="111">
        <v>541.20000000000005</v>
      </c>
      <c r="O26" s="111">
        <f t="shared" si="3"/>
        <v>7.6727893569844774</v>
      </c>
      <c r="P26" s="111">
        <f t="shared" si="4"/>
        <v>17.488109959550361</v>
      </c>
      <c r="Q26" s="111">
        <f t="shared" si="5"/>
        <v>321484</v>
      </c>
      <c r="R26" s="111">
        <v>5.0999999999999996</v>
      </c>
      <c r="S26" s="111">
        <f t="shared" si="6"/>
        <v>1.7934591490011828E-5</v>
      </c>
      <c r="T26" s="111">
        <f t="shared" si="7"/>
        <v>77.547356562947655</v>
      </c>
      <c r="U26" s="123">
        <f t="shared" si="8"/>
        <v>12.895346073960216</v>
      </c>
      <c r="V26" s="123">
        <f t="shared" si="10"/>
        <v>3.0998428062404364E-2</v>
      </c>
    </row>
    <row r="27" spans="1:22" x14ac:dyDescent="0.5">
      <c r="A27" s="68" t="s">
        <v>68</v>
      </c>
      <c r="B27" s="111" t="s">
        <v>203</v>
      </c>
      <c r="C27" s="111">
        <v>200</v>
      </c>
      <c r="D27" s="111">
        <v>108850</v>
      </c>
      <c r="E27" s="111">
        <v>83450</v>
      </c>
      <c r="F27" s="111">
        <v>4321</v>
      </c>
      <c r="G27" s="111">
        <f t="shared" si="0"/>
        <v>2333.1533477321814</v>
      </c>
      <c r="H27" s="111">
        <v>295.07</v>
      </c>
      <c r="I27" s="111">
        <v>0.8</v>
      </c>
      <c r="J27" s="111">
        <f t="shared" si="1"/>
        <v>236.05600000000001</v>
      </c>
      <c r="K27" s="139">
        <f t="shared" si="2"/>
        <v>13.5752509</v>
      </c>
      <c r="L27" s="111">
        <v>6.1</v>
      </c>
      <c r="M27" s="111">
        <v>38.049999999999997</v>
      </c>
      <c r="N27" s="111">
        <v>185.25</v>
      </c>
      <c r="O27" s="111">
        <f t="shared" si="3"/>
        <v>7.8153981106612678</v>
      </c>
      <c r="P27" s="111">
        <f t="shared" si="4"/>
        <v>15.365917612927561</v>
      </c>
      <c r="Q27" s="111">
        <f t="shared" si="5"/>
        <v>96150</v>
      </c>
      <c r="R27" s="111">
        <v>6.04</v>
      </c>
      <c r="S27" s="111">
        <f t="shared" si="6"/>
        <v>1.6819682010101327E-5</v>
      </c>
      <c r="T27" s="111">
        <f t="shared" si="7"/>
        <v>228.63223782266655</v>
      </c>
      <c r="U27" s="123">
        <f t="shared" si="8"/>
        <v>4.3738363824948756</v>
      </c>
      <c r="V27" s="123">
        <f t="shared" si="10"/>
        <v>2.1869181912474379E-2</v>
      </c>
    </row>
    <row r="28" spans="1:22" x14ac:dyDescent="0.5">
      <c r="A28" s="68" t="s">
        <v>0</v>
      </c>
      <c r="B28" s="111" t="s">
        <v>204</v>
      </c>
      <c r="C28" s="111">
        <v>261</v>
      </c>
      <c r="D28" s="111">
        <v>158758</v>
      </c>
      <c r="E28" s="111">
        <v>126099</v>
      </c>
      <c r="F28" s="111">
        <v>4260</v>
      </c>
      <c r="G28" s="111">
        <f t="shared" si="0"/>
        <v>2300.2159827213823</v>
      </c>
      <c r="H28" s="111">
        <v>295.07</v>
      </c>
      <c r="I28" s="111">
        <v>0.8</v>
      </c>
      <c r="J28" s="111">
        <f t="shared" si="1"/>
        <v>236.05600000000001</v>
      </c>
      <c r="K28" s="139">
        <f t="shared" si="2"/>
        <v>13.555554000000001</v>
      </c>
      <c r="L28" s="111">
        <v>6.1</v>
      </c>
      <c r="M28" s="111">
        <v>47.6</v>
      </c>
      <c r="N28" s="111">
        <v>283.35000000000002</v>
      </c>
      <c r="O28" s="111">
        <f t="shared" si="3"/>
        <v>7.9963296276689606</v>
      </c>
      <c r="P28" s="111">
        <f t="shared" si="4"/>
        <v>15.520213746447133</v>
      </c>
      <c r="Q28" s="111">
        <f t="shared" si="5"/>
        <v>142428.5</v>
      </c>
      <c r="R28" s="111">
        <v>5</v>
      </c>
      <c r="S28" s="111">
        <f t="shared" si="6"/>
        <v>1.74542019917247E-5</v>
      </c>
      <c r="T28" s="111">
        <f t="shared" si="7"/>
        <v>150.22659934897729</v>
      </c>
      <c r="U28" s="123">
        <f t="shared" si="8"/>
        <v>6.6566107755457748</v>
      </c>
      <c r="V28" s="123">
        <f t="shared" si="10"/>
        <v>2.550425584500297E-2</v>
      </c>
    </row>
    <row r="29" spans="1:22" x14ac:dyDescent="0.5">
      <c r="A29" s="68" t="s">
        <v>61</v>
      </c>
      <c r="B29" s="111" t="s">
        <v>205</v>
      </c>
      <c r="C29" s="111">
        <v>305</v>
      </c>
      <c r="D29" s="111">
        <v>242630</v>
      </c>
      <c r="E29" s="111">
        <v>190470</v>
      </c>
      <c r="F29" s="111">
        <v>6112</v>
      </c>
      <c r="G29" s="111">
        <f t="shared" si="0"/>
        <v>3300.2159827213823</v>
      </c>
      <c r="H29" s="111">
        <v>295.07</v>
      </c>
      <c r="I29" s="111">
        <v>0.84</v>
      </c>
      <c r="J29" s="111">
        <f t="shared" si="1"/>
        <v>247.85879999999997</v>
      </c>
      <c r="K29" s="139">
        <f t="shared" si="2"/>
        <v>14.1535648</v>
      </c>
      <c r="L29" s="111">
        <v>6.1</v>
      </c>
      <c r="M29" s="111">
        <v>60.9</v>
      </c>
      <c r="N29" s="111">
        <v>427.8</v>
      </c>
      <c r="O29" s="111">
        <f t="shared" si="3"/>
        <v>8.6694950911640944</v>
      </c>
      <c r="P29" s="111">
        <f t="shared" si="4"/>
        <v>16.873214309971878</v>
      </c>
      <c r="Q29" s="111">
        <f t="shared" si="5"/>
        <v>216550</v>
      </c>
      <c r="R29" s="111">
        <v>8.5</v>
      </c>
      <c r="S29" s="111">
        <f t="shared" si="6"/>
        <v>1.6225593933862471E-5</v>
      </c>
      <c r="T29" s="111">
        <f t="shared" si="7"/>
        <v>121.33172354619137</v>
      </c>
      <c r="U29" s="123">
        <f t="shared" si="8"/>
        <v>8.2418675905423591</v>
      </c>
      <c r="V29" s="123">
        <f t="shared" si="10"/>
        <v>2.7022516690302818E-2</v>
      </c>
    </row>
    <row r="30" spans="1:22" x14ac:dyDescent="0.5">
      <c r="A30" s="68" t="s">
        <v>60</v>
      </c>
      <c r="B30" s="111" t="s">
        <v>205</v>
      </c>
      <c r="C30" s="111">
        <v>305</v>
      </c>
      <c r="D30" s="111">
        <v>233600</v>
      </c>
      <c r="E30" s="111">
        <v>190500</v>
      </c>
      <c r="F30" s="111">
        <v>5848</v>
      </c>
      <c r="G30" s="111">
        <f t="shared" si="0"/>
        <v>3157.6673866090709</v>
      </c>
      <c r="H30" s="111">
        <v>295.07</v>
      </c>
      <c r="I30" s="111">
        <v>0.84</v>
      </c>
      <c r="J30" s="111">
        <f t="shared" si="1"/>
        <v>247.85879999999997</v>
      </c>
      <c r="K30" s="139">
        <f t="shared" si="2"/>
        <v>14.068319199999999</v>
      </c>
      <c r="L30" s="111">
        <v>6.1</v>
      </c>
      <c r="M30" s="111">
        <v>60.9</v>
      </c>
      <c r="N30" s="111">
        <v>427.8</v>
      </c>
      <c r="O30" s="111">
        <f t="shared" si="3"/>
        <v>8.6694950911640944</v>
      </c>
      <c r="P30" s="111">
        <f t="shared" si="4"/>
        <v>16.771588514767114</v>
      </c>
      <c r="Q30" s="111">
        <f t="shared" si="5"/>
        <v>212050</v>
      </c>
      <c r="R30" s="111">
        <v>8.5</v>
      </c>
      <c r="S30" s="111">
        <f t="shared" si="6"/>
        <v>1.6225593933862471E-5</v>
      </c>
      <c r="T30" s="111">
        <f t="shared" si="7"/>
        <v>123.16027619223414</v>
      </c>
      <c r="U30" s="123">
        <f t="shared" si="8"/>
        <v>8.1195011160835229</v>
      </c>
      <c r="V30" s="123">
        <f t="shared" si="10"/>
        <v>2.6621315134700074E-2</v>
      </c>
    </row>
    <row r="31" spans="1:22" x14ac:dyDescent="0.5">
      <c r="A31" s="68" t="s">
        <v>56</v>
      </c>
      <c r="B31" s="111" t="s">
        <v>193</v>
      </c>
      <c r="C31" s="111">
        <v>365</v>
      </c>
      <c r="D31" s="111">
        <v>351535</v>
      </c>
      <c r="E31" s="111">
        <v>237682</v>
      </c>
      <c r="F31" s="111">
        <v>10533</v>
      </c>
      <c r="G31" s="111">
        <f t="shared" si="0"/>
        <v>5687.3650107991361</v>
      </c>
      <c r="H31" s="111">
        <v>295.07</v>
      </c>
      <c r="I31" s="111">
        <v>0.84</v>
      </c>
      <c r="J31" s="111">
        <f t="shared" si="1"/>
        <v>247.85879999999997</v>
      </c>
      <c r="K31" s="139">
        <f t="shared" si="2"/>
        <v>15.5811057</v>
      </c>
      <c r="L31" s="111">
        <v>6.1</v>
      </c>
      <c r="M31" s="111">
        <v>64.8</v>
      </c>
      <c r="N31" s="111">
        <v>427.8</v>
      </c>
      <c r="O31" s="111">
        <f t="shared" si="3"/>
        <v>9.8154277699859751</v>
      </c>
      <c r="P31" s="111">
        <f t="shared" si="4"/>
        <v>19.764597387324443</v>
      </c>
      <c r="Q31" s="111">
        <f t="shared" si="5"/>
        <v>294608.5</v>
      </c>
      <c r="R31" s="111">
        <v>7.08</v>
      </c>
      <c r="S31" s="111">
        <f t="shared" si="6"/>
        <v>1.6760916506937446E-5</v>
      </c>
      <c r="T31" s="111">
        <f t="shared" si="7"/>
        <v>101.13006160797408</v>
      </c>
      <c r="U31" s="123">
        <f t="shared" si="8"/>
        <v>9.8882566083708419</v>
      </c>
      <c r="V31" s="123">
        <f t="shared" si="10"/>
        <v>2.7091113995536553E-2</v>
      </c>
    </row>
    <row r="32" spans="1:22" x14ac:dyDescent="0.5">
      <c r="A32" s="68" t="s">
        <v>54</v>
      </c>
      <c r="B32" s="111" t="s">
        <v>206</v>
      </c>
      <c r="C32" s="111">
        <v>242</v>
      </c>
      <c r="D32" s="111">
        <v>227930</v>
      </c>
      <c r="E32" s="111">
        <v>161025</v>
      </c>
      <c r="F32" s="111">
        <v>10186</v>
      </c>
      <c r="G32" s="111">
        <f t="shared" si="0"/>
        <v>5500</v>
      </c>
      <c r="H32" s="111">
        <v>295.07</v>
      </c>
      <c r="I32" s="111">
        <v>0.85</v>
      </c>
      <c r="J32" s="111">
        <f t="shared" si="1"/>
        <v>250.80949999999999</v>
      </c>
      <c r="K32" s="139">
        <f t="shared" si="2"/>
        <v>15.469059400000001</v>
      </c>
      <c r="L32" s="111">
        <v>6.1</v>
      </c>
      <c r="M32" s="111">
        <v>60.1</v>
      </c>
      <c r="N32" s="111">
        <v>325</v>
      </c>
      <c r="O32" s="111">
        <f t="shared" si="3"/>
        <v>11.113876923076925</v>
      </c>
      <c r="P32" s="111">
        <f t="shared" si="4"/>
        <v>20.88006186664046</v>
      </c>
      <c r="Q32" s="111">
        <f t="shared" si="5"/>
        <v>194477.5</v>
      </c>
      <c r="R32" s="111">
        <v>9</v>
      </c>
      <c r="S32" s="111">
        <f t="shared" si="6"/>
        <v>1.6175720469589285E-5</v>
      </c>
      <c r="T32" s="111">
        <f t="shared" si="7"/>
        <v>169.69684178823249</v>
      </c>
      <c r="U32" s="123">
        <f t="shared" si="8"/>
        <v>5.89286158458928</v>
      </c>
      <c r="V32" s="123">
        <f t="shared" si="10"/>
        <v>2.435066770491438E-2</v>
      </c>
    </row>
    <row r="33" spans="1:22" x14ac:dyDescent="0.5">
      <c r="A33" s="68" t="s">
        <v>53</v>
      </c>
      <c r="B33" s="111" t="s">
        <v>207</v>
      </c>
      <c r="C33" s="111">
        <v>290</v>
      </c>
      <c r="D33" s="111">
        <v>254011</v>
      </c>
      <c r="E33" s="111">
        <v>181437</v>
      </c>
      <c r="F33" s="111">
        <v>9714</v>
      </c>
      <c r="G33" s="111">
        <f t="shared" si="0"/>
        <v>5245.1403887688984</v>
      </c>
      <c r="H33" s="111">
        <v>295.07</v>
      </c>
      <c r="I33" s="111">
        <v>0.85</v>
      </c>
      <c r="J33" s="111">
        <f t="shared" si="1"/>
        <v>250.80949999999999</v>
      </c>
      <c r="K33" s="139">
        <f t="shared" si="2"/>
        <v>15.316650599999999</v>
      </c>
      <c r="L33" s="111">
        <v>6.1</v>
      </c>
      <c r="M33" s="111">
        <v>60.1</v>
      </c>
      <c r="N33" s="111">
        <v>325</v>
      </c>
      <c r="O33" s="111">
        <f t="shared" si="3"/>
        <v>11.113876923076925</v>
      </c>
      <c r="P33" s="111">
        <f t="shared" si="4"/>
        <v>20.674341202524293</v>
      </c>
      <c r="Q33" s="111">
        <f t="shared" si="5"/>
        <v>217724</v>
      </c>
      <c r="R33" s="111">
        <v>8.92</v>
      </c>
      <c r="S33" s="111">
        <f t="shared" si="6"/>
        <v>1.6200410592236603E-5</v>
      </c>
      <c r="T33" s="111">
        <f t="shared" si="7"/>
        <v>149.85606630395861</v>
      </c>
      <c r="U33" s="123">
        <f t="shared" si="8"/>
        <v>6.67306986406318</v>
      </c>
      <c r="V33" s="123">
        <f t="shared" si="10"/>
        <v>2.3010585738148896E-2</v>
      </c>
    </row>
    <row r="34" spans="1:22" x14ac:dyDescent="0.5">
      <c r="A34" s="68" t="s">
        <v>48</v>
      </c>
      <c r="B34" s="111" t="s">
        <v>47</v>
      </c>
      <c r="C34" s="111">
        <v>143</v>
      </c>
      <c r="D34" s="111">
        <v>63504</v>
      </c>
      <c r="E34" s="111">
        <v>50802</v>
      </c>
      <c r="F34" s="111">
        <v>2621</v>
      </c>
      <c r="G34" s="111">
        <f t="shared" si="0"/>
        <v>1415.2267818574514</v>
      </c>
      <c r="H34" s="111">
        <v>295.07</v>
      </c>
      <c r="I34" s="111">
        <v>0.76</v>
      </c>
      <c r="J34" s="111">
        <f t="shared" si="1"/>
        <v>224.25319999999999</v>
      </c>
      <c r="K34" s="139">
        <f t="shared" si="2"/>
        <v>13.0263209</v>
      </c>
      <c r="L34" s="111">
        <v>6.1</v>
      </c>
      <c r="M34" s="111">
        <v>32.799999999999997</v>
      </c>
      <c r="N34" s="111">
        <v>112.3</v>
      </c>
      <c r="O34" s="111">
        <f t="shared" si="3"/>
        <v>9.580053428317008</v>
      </c>
      <c r="P34" s="111">
        <f t="shared" si="4"/>
        <v>16.324535053173477</v>
      </c>
      <c r="Q34" s="111">
        <f t="shared" si="5"/>
        <v>57153</v>
      </c>
      <c r="R34" s="111">
        <v>1.8</v>
      </c>
      <c r="S34" s="111">
        <f t="shared" si="6"/>
        <v>2.1408349653861717E-5</v>
      </c>
      <c r="T34" s="111">
        <f t="shared" si="7"/>
        <v>304.99185494432879</v>
      </c>
      <c r="U34" s="123">
        <f t="shared" si="8"/>
        <v>3.2787760846352221</v>
      </c>
      <c r="V34" s="123">
        <f t="shared" si="10"/>
        <v>2.2928504088358195E-2</v>
      </c>
    </row>
    <row r="35" spans="1:22" x14ac:dyDescent="0.5">
      <c r="A35" s="68" t="s">
        <v>159</v>
      </c>
      <c r="B35" s="111" t="s">
        <v>208</v>
      </c>
      <c r="C35" s="111">
        <v>50</v>
      </c>
      <c r="D35" s="111">
        <v>21523</v>
      </c>
      <c r="E35" s="111">
        <v>19142</v>
      </c>
      <c r="F35" s="111">
        <v>1019</v>
      </c>
      <c r="G35" s="111">
        <f t="shared" si="0"/>
        <v>550.21598272138226</v>
      </c>
      <c r="H35" s="111">
        <v>295.07</v>
      </c>
      <c r="I35" s="111">
        <v>0.74</v>
      </c>
      <c r="J35" s="111">
        <f t="shared" si="1"/>
        <v>218.3518</v>
      </c>
      <c r="K35" s="139">
        <f t="shared" si="2"/>
        <v>12.5090351</v>
      </c>
      <c r="L35" s="111">
        <v>6.1</v>
      </c>
      <c r="M35" s="111">
        <v>21.23</v>
      </c>
      <c r="N35" s="111">
        <v>48.35</v>
      </c>
      <c r="O35" s="111">
        <f t="shared" si="3"/>
        <v>9.3218800413650467</v>
      </c>
      <c r="P35" s="111">
        <f t="shared" si="4"/>
        <v>15.463601474322411</v>
      </c>
      <c r="Q35" s="111">
        <f t="shared" si="5"/>
        <v>20332.5</v>
      </c>
      <c r="R35" s="111">
        <v>6.25</v>
      </c>
      <c r="S35" s="111">
        <f t="shared" si="6"/>
        <v>1.6051237986618103E-5</v>
      </c>
      <c r="T35" s="111">
        <f t="shared" si="7"/>
        <v>1054.6275269515979</v>
      </c>
      <c r="U35" s="123">
        <f t="shared" si="8"/>
        <v>0.94820206607967183</v>
      </c>
      <c r="V35" s="123">
        <f t="shared" si="10"/>
        <v>1.8964041321593437E-2</v>
      </c>
    </row>
    <row r="36" spans="1:22" x14ac:dyDescent="0.5">
      <c r="A36" s="68" t="s">
        <v>158</v>
      </c>
      <c r="B36" s="111" t="s">
        <v>208</v>
      </c>
      <c r="C36" s="111">
        <v>50</v>
      </c>
      <c r="D36" s="111">
        <v>21523</v>
      </c>
      <c r="E36" s="111">
        <v>19142</v>
      </c>
      <c r="F36" s="111">
        <v>1061</v>
      </c>
      <c r="G36" s="111">
        <f t="shared" si="0"/>
        <v>572.89416846652261</v>
      </c>
      <c r="H36" s="111">
        <v>295.07</v>
      </c>
      <c r="I36" s="111">
        <v>0.74</v>
      </c>
      <c r="J36" s="111">
        <f t="shared" si="1"/>
        <v>218.3518</v>
      </c>
      <c r="K36" s="139">
        <f t="shared" si="2"/>
        <v>12.5225969</v>
      </c>
      <c r="L36" s="111">
        <v>6.1</v>
      </c>
      <c r="M36" s="111">
        <v>21.23</v>
      </c>
      <c r="N36" s="111">
        <v>48.35</v>
      </c>
      <c r="O36" s="111">
        <f t="shared" si="3"/>
        <v>9.3218800413650467</v>
      </c>
      <c r="P36" s="111">
        <f t="shared" si="4"/>
        <v>15.480366498067085</v>
      </c>
      <c r="Q36" s="111">
        <f t="shared" si="5"/>
        <v>20332.5</v>
      </c>
      <c r="R36" s="111">
        <v>6.25</v>
      </c>
      <c r="S36" s="111">
        <f t="shared" si="6"/>
        <v>1.6051237986618103E-5</v>
      </c>
      <c r="T36" s="111">
        <f t="shared" si="7"/>
        <v>1055.770912311114</v>
      </c>
      <c r="U36" s="123">
        <f t="shared" si="8"/>
        <v>0.94717517629934533</v>
      </c>
      <c r="V36" s="123">
        <f t="shared" si="10"/>
        <v>1.8943503525986907E-2</v>
      </c>
    </row>
    <row r="37" spans="1:22" x14ac:dyDescent="0.5">
      <c r="A37" s="68" t="s">
        <v>39</v>
      </c>
      <c r="B37" s="111" t="s">
        <v>38</v>
      </c>
      <c r="C37" s="111">
        <v>78</v>
      </c>
      <c r="D37" s="111">
        <v>32995</v>
      </c>
      <c r="E37" s="111">
        <v>28259</v>
      </c>
      <c r="F37" s="111">
        <v>1759</v>
      </c>
      <c r="G37" s="111">
        <f t="shared" si="0"/>
        <v>949.78401727861763</v>
      </c>
      <c r="H37" s="111">
        <v>295.07</v>
      </c>
      <c r="I37" s="111">
        <v>0.78</v>
      </c>
      <c r="J37" s="111">
        <f t="shared" si="1"/>
        <v>230.15460000000002</v>
      </c>
      <c r="K37" s="139">
        <f t="shared" si="2"/>
        <v>12.747981100000001</v>
      </c>
      <c r="L37" s="111">
        <v>6.1</v>
      </c>
      <c r="M37" s="111">
        <v>24.85</v>
      </c>
      <c r="N37" s="111">
        <v>70.599999999999994</v>
      </c>
      <c r="O37" s="111">
        <f t="shared" si="3"/>
        <v>8.7467776203966014</v>
      </c>
      <c r="P37" s="111">
        <f t="shared" si="4"/>
        <v>15.265131012196539</v>
      </c>
      <c r="Q37" s="111">
        <f t="shared" si="5"/>
        <v>30627</v>
      </c>
      <c r="R37" s="111">
        <v>5.13</v>
      </c>
      <c r="S37" s="111">
        <f t="shared" si="6"/>
        <v>1.7145534091199536E-5</v>
      </c>
      <c r="T37" s="111">
        <f t="shared" si="7"/>
        <v>682.01780285421705</v>
      </c>
      <c r="U37" s="123">
        <f t="shared" si="8"/>
        <v>1.466237385321967</v>
      </c>
      <c r="V37" s="123">
        <f t="shared" si="10"/>
        <v>1.8797915196435474E-2</v>
      </c>
    </row>
    <row r="38" spans="1:22" x14ac:dyDescent="0.5">
      <c r="A38" s="68" t="s">
        <v>37</v>
      </c>
      <c r="B38" s="111" t="s">
        <v>36</v>
      </c>
      <c r="C38" s="111">
        <v>90</v>
      </c>
      <c r="D38" s="111">
        <v>38329</v>
      </c>
      <c r="E38" s="111">
        <v>31752</v>
      </c>
      <c r="F38" s="111">
        <v>1926</v>
      </c>
      <c r="G38" s="111">
        <f t="shared" si="0"/>
        <v>1039.9568034557235</v>
      </c>
      <c r="H38" s="111">
        <v>295.07</v>
      </c>
      <c r="I38" s="111">
        <v>0.78</v>
      </c>
      <c r="J38" s="111">
        <f t="shared" si="1"/>
        <v>230.15460000000002</v>
      </c>
      <c r="K38" s="139">
        <f t="shared" si="2"/>
        <v>12.801905399999999</v>
      </c>
      <c r="L38" s="111">
        <v>6.1</v>
      </c>
      <c r="M38" s="111">
        <v>24.85</v>
      </c>
      <c r="N38" s="111">
        <v>71.099999999999994</v>
      </c>
      <c r="O38" s="111">
        <f t="shared" si="3"/>
        <v>8.6852672292545723</v>
      </c>
      <c r="P38" s="111">
        <f t="shared" si="4"/>
        <v>15.275705915499984</v>
      </c>
      <c r="Q38" s="111">
        <f t="shared" si="5"/>
        <v>35040.5</v>
      </c>
      <c r="R38" s="111">
        <v>5.13</v>
      </c>
      <c r="S38" s="111">
        <f t="shared" si="6"/>
        <v>1.7145534091199536E-5</v>
      </c>
      <c r="T38" s="111">
        <f t="shared" si="7"/>
        <v>596.52771787390554</v>
      </c>
      <c r="U38" s="123">
        <f t="shared" si="8"/>
        <v>1.6763680379582642</v>
      </c>
      <c r="V38" s="123">
        <f t="shared" si="10"/>
        <v>1.8626311532869602E-2</v>
      </c>
    </row>
    <row r="39" spans="1:22" x14ac:dyDescent="0.5">
      <c r="A39" s="68" t="s">
        <v>35</v>
      </c>
      <c r="B39" s="111" t="s">
        <v>36</v>
      </c>
      <c r="C39" s="111">
        <v>104</v>
      </c>
      <c r="D39" s="111">
        <v>41640</v>
      </c>
      <c r="E39" s="111">
        <v>35153</v>
      </c>
      <c r="F39" s="111">
        <v>2222</v>
      </c>
      <c r="G39" s="111">
        <f t="shared" si="0"/>
        <v>1199.7840172786177</v>
      </c>
      <c r="H39" s="111">
        <v>295.07</v>
      </c>
      <c r="I39" s="111">
        <v>0.78</v>
      </c>
      <c r="J39" s="111">
        <f t="shared" si="1"/>
        <v>230.15460000000002</v>
      </c>
      <c r="K39" s="139">
        <f t="shared" si="2"/>
        <v>12.8974838</v>
      </c>
      <c r="L39" s="111">
        <v>6.1</v>
      </c>
      <c r="M39" s="111">
        <v>26.18</v>
      </c>
      <c r="N39" s="111">
        <v>77.400000000000006</v>
      </c>
      <c r="O39" s="111">
        <f t="shared" si="3"/>
        <v>8.8551989664082669</v>
      </c>
      <c r="P39" s="111">
        <f t="shared" si="4"/>
        <v>15.539578525690906</v>
      </c>
      <c r="Q39" s="111">
        <f t="shared" si="5"/>
        <v>38396.5</v>
      </c>
      <c r="R39" s="111">
        <v>5.13</v>
      </c>
      <c r="S39" s="111">
        <f t="shared" si="6"/>
        <v>1.7145534091199536E-5</v>
      </c>
      <c r="T39" s="111">
        <f t="shared" si="7"/>
        <v>553.79270534309342</v>
      </c>
      <c r="U39" s="123">
        <f t="shared" si="8"/>
        <v>1.8057298161420634</v>
      </c>
      <c r="V39" s="123">
        <f t="shared" si="10"/>
        <v>1.7362786693673686E-2</v>
      </c>
    </row>
    <row r="40" spans="1:22" x14ac:dyDescent="0.5">
      <c r="A40" s="68" t="s">
        <v>34</v>
      </c>
      <c r="B40" s="111" t="s">
        <v>223</v>
      </c>
      <c r="C40" s="111">
        <v>37</v>
      </c>
      <c r="D40" s="111">
        <v>15650</v>
      </c>
      <c r="E40" s="111">
        <v>14061</v>
      </c>
      <c r="F40" s="111">
        <v>926</v>
      </c>
      <c r="G40" s="111">
        <f t="shared" si="0"/>
        <v>500</v>
      </c>
      <c r="H40" s="111">
        <v>295.07</v>
      </c>
      <c r="I40" s="135" t="s">
        <v>226</v>
      </c>
      <c r="J40" s="111">
        <f>500/3.6</f>
        <v>138.88888888888889</v>
      </c>
      <c r="K40" s="139">
        <f t="shared" si="2"/>
        <v>12.4790054</v>
      </c>
      <c r="L40" s="111">
        <v>6.1</v>
      </c>
      <c r="M40" s="111">
        <v>25.91</v>
      </c>
      <c r="N40" s="111">
        <v>54.4</v>
      </c>
      <c r="O40" s="111">
        <f t="shared" si="3"/>
        <v>12.340590073529413</v>
      </c>
      <c r="P40" s="111">
        <f t="shared" si="4"/>
        <v>17.749373087898174</v>
      </c>
      <c r="Q40" s="111">
        <f t="shared" si="5"/>
        <v>14855.5</v>
      </c>
      <c r="R40" s="135" t="s">
        <v>226</v>
      </c>
      <c r="S40" s="111" t="e">
        <f t="shared" si="6"/>
        <v>#VALUE!</v>
      </c>
      <c r="T40" s="111" t="e">
        <f t="shared" si="7"/>
        <v>#VALUE!</v>
      </c>
      <c r="U40" s="123" t="e">
        <f t="shared" si="8"/>
        <v>#VALUE!</v>
      </c>
      <c r="V40" s="123" t="e">
        <f t="shared" si="10"/>
        <v>#VALUE!</v>
      </c>
    </row>
    <row r="41" spans="1:22" x14ac:dyDescent="0.5">
      <c r="A41" s="68" t="s">
        <v>44</v>
      </c>
      <c r="B41" s="111" t="s">
        <v>224</v>
      </c>
      <c r="C41" s="111">
        <v>50</v>
      </c>
      <c r="D41" s="111">
        <v>19500</v>
      </c>
      <c r="E41" s="111">
        <v>17920</v>
      </c>
      <c r="F41" s="111">
        <v>715</v>
      </c>
      <c r="G41" s="111">
        <f t="shared" si="0"/>
        <v>386.06911447084229</v>
      </c>
      <c r="H41" s="111">
        <v>295.07</v>
      </c>
      <c r="I41" s="135" t="s">
        <v>226</v>
      </c>
      <c r="J41" s="111">
        <f>528/3.6</f>
        <v>146.66666666666666</v>
      </c>
      <c r="K41" s="139">
        <f t="shared" si="2"/>
        <v>12.410873499999999</v>
      </c>
      <c r="L41" s="111">
        <v>6.1</v>
      </c>
      <c r="M41" s="111">
        <v>27.43</v>
      </c>
      <c r="N41" s="111">
        <v>56.2</v>
      </c>
      <c r="O41" s="111">
        <f t="shared" si="3"/>
        <v>13.387987544483986</v>
      </c>
      <c r="P41" s="111">
        <f t="shared" si="4"/>
        <v>18.386331300186953</v>
      </c>
      <c r="Q41" s="111">
        <f t="shared" si="5"/>
        <v>18710</v>
      </c>
      <c r="R41" s="135" t="s">
        <v>226</v>
      </c>
      <c r="S41" s="111" t="e">
        <f t="shared" si="6"/>
        <v>#VALUE!</v>
      </c>
      <c r="T41" s="111" t="e">
        <f t="shared" si="7"/>
        <v>#VALUE!</v>
      </c>
      <c r="U41" s="123" t="e">
        <f t="shared" si="8"/>
        <v>#VALUE!</v>
      </c>
      <c r="V41" s="123" t="e">
        <f t="shared" si="10"/>
        <v>#VALUE!</v>
      </c>
    </row>
    <row r="42" spans="1:22" x14ac:dyDescent="0.5">
      <c r="A42" s="68" t="s">
        <v>32</v>
      </c>
      <c r="B42" s="111" t="s">
        <v>31</v>
      </c>
      <c r="C42" s="111">
        <v>82</v>
      </c>
      <c r="D42" s="111">
        <v>29257</v>
      </c>
      <c r="E42" s="111">
        <v>25855</v>
      </c>
      <c r="F42" s="111">
        <v>1396</v>
      </c>
      <c r="G42" s="111">
        <f t="shared" si="0"/>
        <v>753.77969762419002</v>
      </c>
      <c r="H42" s="111">
        <v>295.07</v>
      </c>
      <c r="I42" s="135" t="s">
        <v>226</v>
      </c>
      <c r="J42" s="111">
        <f>670/3.6</f>
        <v>186.11111111111111</v>
      </c>
      <c r="K42" s="139">
        <f t="shared" si="2"/>
        <v>12.630768399999999</v>
      </c>
      <c r="L42" s="111">
        <v>6.1</v>
      </c>
      <c r="M42" s="111">
        <v>28.42</v>
      </c>
      <c r="N42" s="111">
        <v>63.1</v>
      </c>
      <c r="O42" s="111">
        <f t="shared" si="3"/>
        <v>12.800259904912838</v>
      </c>
      <c r="P42" s="111">
        <f t="shared" si="4"/>
        <v>18.296762398652131</v>
      </c>
      <c r="Q42" s="111">
        <f t="shared" si="5"/>
        <v>27556</v>
      </c>
      <c r="R42" s="135" t="s">
        <v>226</v>
      </c>
      <c r="S42" s="111" t="e">
        <f t="shared" si="6"/>
        <v>#VALUE!</v>
      </c>
      <c r="T42" s="111" t="e">
        <f t="shared" si="7"/>
        <v>#VALUE!</v>
      </c>
      <c r="U42" s="123" t="e">
        <f t="shared" si="8"/>
        <v>#VALUE!</v>
      </c>
      <c r="V42" s="123" t="e">
        <f t="shared" si="10"/>
        <v>#VALUE!</v>
      </c>
    </row>
    <row r="43" spans="1:22" x14ac:dyDescent="0.5">
      <c r="A43" s="68" t="s">
        <v>30</v>
      </c>
      <c r="B43" s="111" t="s">
        <v>29</v>
      </c>
      <c r="C43" s="111">
        <v>19</v>
      </c>
      <c r="D43" s="111">
        <v>5670</v>
      </c>
      <c r="E43" s="111">
        <v>4581</v>
      </c>
      <c r="F43" s="111">
        <v>92.6</v>
      </c>
      <c r="G43" s="111">
        <f t="shared" si="0"/>
        <v>49.999999999999993</v>
      </c>
      <c r="H43" s="111">
        <v>295.07</v>
      </c>
      <c r="I43" s="135" t="s">
        <v>226</v>
      </c>
      <c r="J43" s="111">
        <f>348/3.6</f>
        <v>96.666666666666657</v>
      </c>
      <c r="K43" s="139">
        <f t="shared" si="2"/>
        <v>12.20990054</v>
      </c>
      <c r="L43" s="111">
        <v>6.1</v>
      </c>
      <c r="M43" s="111">
        <v>19.809999999999999</v>
      </c>
      <c r="N43" s="111">
        <v>39.020000000000003</v>
      </c>
      <c r="O43" s="111">
        <f t="shared" si="3"/>
        <v>10.057306509482315</v>
      </c>
      <c r="P43" s="111">
        <f t="shared" si="4"/>
        <v>15.677905839219788</v>
      </c>
      <c r="Q43" s="111">
        <f t="shared" si="5"/>
        <v>5125.5</v>
      </c>
      <c r="R43" s="135" t="s">
        <v>226</v>
      </c>
      <c r="S43" s="111" t="e">
        <f t="shared" si="6"/>
        <v>#VALUE!</v>
      </c>
      <c r="T43" s="111" t="e">
        <f t="shared" si="7"/>
        <v>#VALUE!</v>
      </c>
      <c r="U43" s="123" t="e">
        <f t="shared" si="8"/>
        <v>#VALUE!</v>
      </c>
      <c r="V43" s="123" t="e">
        <f t="shared" si="10"/>
        <v>#VALUE!</v>
      </c>
    </row>
    <row r="44" spans="1:22" x14ac:dyDescent="0.5">
      <c r="A44" s="68" t="s">
        <v>26</v>
      </c>
      <c r="B44" s="111" t="s">
        <v>209</v>
      </c>
      <c r="C44" s="111">
        <v>74</v>
      </c>
      <c r="D44" s="111">
        <v>35990</v>
      </c>
      <c r="E44" s="111">
        <v>29600</v>
      </c>
      <c r="F44" s="111">
        <v>1945</v>
      </c>
      <c r="G44" s="111">
        <f t="shared" si="0"/>
        <v>1050.2159827213823</v>
      </c>
      <c r="H44" s="111">
        <v>295.07</v>
      </c>
      <c r="I44" s="111">
        <v>0.75</v>
      </c>
      <c r="J44" s="111">
        <f t="shared" si="1"/>
        <v>221.30250000000001</v>
      </c>
      <c r="K44" s="139">
        <f t="shared" si="2"/>
        <v>12.808040500000001</v>
      </c>
      <c r="L44" s="111">
        <v>6.1</v>
      </c>
      <c r="M44" s="111">
        <v>26</v>
      </c>
      <c r="N44" s="111">
        <v>72.72</v>
      </c>
      <c r="O44" s="111">
        <f t="shared" si="3"/>
        <v>9.2959295929592969</v>
      </c>
      <c r="P44" s="111">
        <f t="shared" si="4"/>
        <v>15.811176529928334</v>
      </c>
      <c r="Q44" s="111">
        <f t="shared" si="5"/>
        <v>32795</v>
      </c>
      <c r="R44" s="111">
        <v>5.13</v>
      </c>
      <c r="S44" s="111">
        <f t="shared" si="6"/>
        <v>1.6816052261751692E-5</v>
      </c>
      <c r="T44" s="111">
        <f t="shared" si="7"/>
        <v>646.7699245741984</v>
      </c>
      <c r="U44" s="123">
        <f t="shared" si="8"/>
        <v>1.5461448685301051</v>
      </c>
      <c r="V44" s="123">
        <f t="shared" si="10"/>
        <v>2.0893849574731151E-2</v>
      </c>
    </row>
    <row r="45" spans="1:22" x14ac:dyDescent="0.5">
      <c r="A45" s="68" t="s">
        <v>25</v>
      </c>
      <c r="B45" s="111" t="s">
        <v>209</v>
      </c>
      <c r="C45" s="111">
        <v>78</v>
      </c>
      <c r="D45" s="111">
        <v>37500</v>
      </c>
      <c r="E45" s="111">
        <v>31700</v>
      </c>
      <c r="F45" s="111">
        <v>1815</v>
      </c>
      <c r="G45" s="111">
        <f t="shared" si="0"/>
        <v>980.02159827213814</v>
      </c>
      <c r="H45" s="111">
        <v>295.07</v>
      </c>
      <c r="I45" s="111">
        <v>0.75</v>
      </c>
      <c r="J45" s="111">
        <f t="shared" si="1"/>
        <v>221.30250000000001</v>
      </c>
      <c r="K45" s="139">
        <f t="shared" si="2"/>
        <v>12.7660635</v>
      </c>
      <c r="L45" s="111">
        <v>6.1</v>
      </c>
      <c r="M45" s="111">
        <v>26</v>
      </c>
      <c r="N45" s="111">
        <v>72.72</v>
      </c>
      <c r="O45" s="111">
        <f t="shared" si="3"/>
        <v>9.2959295929592969</v>
      </c>
      <c r="P45" s="111">
        <f t="shared" si="4"/>
        <v>15.759357068770571</v>
      </c>
      <c r="Q45" s="111">
        <f t="shared" si="5"/>
        <v>34600</v>
      </c>
      <c r="R45" s="111">
        <v>5.13</v>
      </c>
      <c r="S45" s="111">
        <f t="shared" si="6"/>
        <v>1.6816052261751692E-5</v>
      </c>
      <c r="T45" s="111">
        <f t="shared" si="7"/>
        <v>611.02033107315572</v>
      </c>
      <c r="U45" s="123">
        <f t="shared" si="8"/>
        <v>1.6366067529106045</v>
      </c>
      <c r="V45" s="123">
        <f t="shared" si="10"/>
        <v>2.0982137857828265E-2</v>
      </c>
    </row>
    <row r="46" spans="1:22" x14ac:dyDescent="0.5">
      <c r="A46" s="68" t="s">
        <v>23</v>
      </c>
      <c r="B46" s="111" t="s">
        <v>210</v>
      </c>
      <c r="C46" s="111">
        <v>100</v>
      </c>
      <c r="D46" s="111">
        <v>47790</v>
      </c>
      <c r="E46" s="111">
        <v>40800</v>
      </c>
      <c r="F46" s="111">
        <v>1801</v>
      </c>
      <c r="G46" s="111">
        <f t="shared" si="0"/>
        <v>972.46220302375809</v>
      </c>
      <c r="H46" s="111">
        <v>295.07</v>
      </c>
      <c r="I46" s="111">
        <v>0.78</v>
      </c>
      <c r="J46" s="111">
        <f t="shared" si="1"/>
        <v>230.15460000000002</v>
      </c>
      <c r="K46" s="139">
        <f t="shared" si="2"/>
        <v>12.7615429</v>
      </c>
      <c r="L46" s="111">
        <v>6.1</v>
      </c>
      <c r="M46" s="111">
        <v>36.24</v>
      </c>
      <c r="N46" s="111">
        <v>92.53</v>
      </c>
      <c r="O46" s="111">
        <f t="shared" si="3"/>
        <v>14.193640981303362</v>
      </c>
      <c r="P46" s="111">
        <f t="shared" si="4"/>
        <v>19.466379025885086</v>
      </c>
      <c r="Q46" s="111">
        <f t="shared" si="5"/>
        <v>44295</v>
      </c>
      <c r="R46" s="111">
        <v>5.09</v>
      </c>
      <c r="S46" s="111">
        <f t="shared" si="6"/>
        <v>1.7172580349149997E-5</v>
      </c>
      <c r="T46" s="111">
        <f t="shared" si="7"/>
        <v>600.40674718987168</v>
      </c>
      <c r="U46" s="123">
        <f t="shared" si="8"/>
        <v>1.6655375787836735</v>
      </c>
      <c r="V46" s="123">
        <f t="shared" si="10"/>
        <v>1.6655375787836733E-2</v>
      </c>
    </row>
    <row r="47" spans="1:22" x14ac:dyDescent="0.5">
      <c r="A47" s="68" t="s">
        <v>19</v>
      </c>
      <c r="B47" s="111" t="s">
        <v>210</v>
      </c>
      <c r="C47" s="111">
        <v>124</v>
      </c>
      <c r="D47" s="111">
        <v>48790</v>
      </c>
      <c r="E47" s="111">
        <v>42500</v>
      </c>
      <c r="F47" s="111">
        <v>1482</v>
      </c>
      <c r="G47" s="111">
        <f t="shared" si="0"/>
        <v>800.21598272138226</v>
      </c>
      <c r="H47" s="111">
        <v>295.07</v>
      </c>
      <c r="I47" s="111">
        <v>0.78</v>
      </c>
      <c r="J47" s="111">
        <f t="shared" si="1"/>
        <v>230.15460000000002</v>
      </c>
      <c r="K47" s="139">
        <f t="shared" si="2"/>
        <v>12.6585378</v>
      </c>
      <c r="L47" s="111">
        <v>6.1</v>
      </c>
      <c r="M47" s="111">
        <v>38.65</v>
      </c>
      <c r="N47" s="111">
        <v>92.52</v>
      </c>
      <c r="O47" s="111">
        <f t="shared" si="3"/>
        <v>16.145941418071768</v>
      </c>
      <c r="P47" s="111">
        <f t="shared" si="4"/>
        <v>20.594455378387813</v>
      </c>
      <c r="Q47" s="111">
        <f t="shared" si="5"/>
        <v>45645</v>
      </c>
      <c r="R47" s="111">
        <v>5.09</v>
      </c>
      <c r="S47" s="111">
        <f t="shared" si="6"/>
        <v>1.7172580349149997E-5</v>
      </c>
      <c r="T47" s="111">
        <f t="shared" si="7"/>
        <v>616.41357581082627</v>
      </c>
      <c r="U47" s="123">
        <f t="shared" si="8"/>
        <v>1.6222874369445979</v>
      </c>
      <c r="V47" s="123">
        <f t="shared" si="10"/>
        <v>1.3082963201166111E-2</v>
      </c>
    </row>
    <row r="48" spans="1:22" x14ac:dyDescent="0.5">
      <c r="A48" s="68" t="s">
        <v>17</v>
      </c>
      <c r="B48" s="111" t="s">
        <v>16</v>
      </c>
      <c r="C48" s="111">
        <v>104</v>
      </c>
      <c r="D48" s="111">
        <v>61500</v>
      </c>
      <c r="E48" s="111">
        <v>51850</v>
      </c>
      <c r="F48" s="111">
        <v>3519</v>
      </c>
      <c r="G48" s="111">
        <f t="shared" si="0"/>
        <v>1900.1079913606911</v>
      </c>
      <c r="H48" s="111">
        <v>295.07</v>
      </c>
      <c r="I48" s="111">
        <v>0.78</v>
      </c>
      <c r="J48" s="111">
        <f t="shared" si="1"/>
        <v>230.15460000000002</v>
      </c>
      <c r="K48" s="139">
        <f t="shared" si="2"/>
        <v>13.3162851</v>
      </c>
      <c r="L48" s="111">
        <v>6.1</v>
      </c>
      <c r="M48" s="111">
        <v>35.1</v>
      </c>
      <c r="N48" s="111">
        <v>103</v>
      </c>
      <c r="O48" s="111">
        <f t="shared" si="3"/>
        <v>11.961262135922331</v>
      </c>
      <c r="P48" s="111">
        <f t="shared" si="4"/>
        <v>18.646901270781608</v>
      </c>
      <c r="Q48" s="111">
        <f t="shared" si="5"/>
        <v>56675</v>
      </c>
      <c r="R48" s="111">
        <v>11.36</v>
      </c>
      <c r="S48" s="111">
        <f t="shared" si="6"/>
        <v>1.4794228993248648E-5</v>
      </c>
      <c r="T48" s="111">
        <f t="shared" si="7"/>
        <v>521.76321548390433</v>
      </c>
      <c r="U48" s="123">
        <f t="shared" si="8"/>
        <v>1.9165781916468747</v>
      </c>
      <c r="V48" s="123">
        <f t="shared" si="10"/>
        <v>1.8428636458143025E-2</v>
      </c>
    </row>
    <row r="49" spans="1:22" x14ac:dyDescent="0.5">
      <c r="A49" s="68" t="s">
        <v>15</v>
      </c>
      <c r="B49" s="111" t="s">
        <v>219</v>
      </c>
      <c r="C49" s="111">
        <v>30</v>
      </c>
      <c r="D49" s="111">
        <v>11500</v>
      </c>
      <c r="E49" s="111">
        <v>10500</v>
      </c>
      <c r="F49" s="111">
        <v>537</v>
      </c>
      <c r="G49" s="111">
        <f t="shared" si="0"/>
        <v>289.9568034557235</v>
      </c>
      <c r="H49" s="111">
        <v>295.07</v>
      </c>
      <c r="I49" s="135" t="s">
        <v>226</v>
      </c>
      <c r="J49" s="111">
        <f>574/3.6</f>
        <v>159.44444444444443</v>
      </c>
      <c r="K49" s="139">
        <f t="shared" si="2"/>
        <v>12.353397299999999</v>
      </c>
      <c r="L49" s="111">
        <v>6.1</v>
      </c>
      <c r="M49" s="111">
        <v>19.78</v>
      </c>
      <c r="N49" s="111">
        <v>39.4</v>
      </c>
      <c r="O49" s="111">
        <f t="shared" si="3"/>
        <v>9.9301624365482244</v>
      </c>
      <c r="P49" s="111">
        <f t="shared" si="4"/>
        <v>15.761576997521885</v>
      </c>
      <c r="Q49" s="111">
        <f t="shared" si="5"/>
        <v>11000</v>
      </c>
      <c r="R49" s="135" t="s">
        <v>226</v>
      </c>
      <c r="S49" s="111" t="e">
        <f t="shared" si="6"/>
        <v>#VALUE!</v>
      </c>
      <c r="T49" s="111" t="e">
        <f t="shared" si="7"/>
        <v>#VALUE!</v>
      </c>
      <c r="U49" s="123" t="e">
        <f t="shared" si="8"/>
        <v>#VALUE!</v>
      </c>
      <c r="V49" s="123" t="e">
        <f t="shared" si="10"/>
        <v>#VALUE!</v>
      </c>
    </row>
    <row r="50" spans="1:22" x14ac:dyDescent="0.5">
      <c r="A50" s="68" t="s">
        <v>11</v>
      </c>
      <c r="B50" s="111" t="s">
        <v>211</v>
      </c>
      <c r="C50" s="111">
        <v>50</v>
      </c>
      <c r="D50" s="111">
        <v>20600</v>
      </c>
      <c r="E50" s="111">
        <v>17100</v>
      </c>
      <c r="F50" s="111">
        <v>1759</v>
      </c>
      <c r="G50" s="111">
        <f t="shared" si="0"/>
        <v>949.78401727861763</v>
      </c>
      <c r="H50" s="111">
        <v>295.07</v>
      </c>
      <c r="I50" s="111">
        <v>0.75</v>
      </c>
      <c r="J50" s="111">
        <f t="shared" si="1"/>
        <v>221.30250000000001</v>
      </c>
      <c r="K50" s="139">
        <f t="shared" si="2"/>
        <v>12.747981100000001</v>
      </c>
      <c r="L50" s="111">
        <v>6.1</v>
      </c>
      <c r="M50" s="111">
        <v>20.2</v>
      </c>
      <c r="N50" s="111">
        <v>51.18</v>
      </c>
      <c r="O50" s="111">
        <f t="shared" si="3"/>
        <v>7.9726455646736998</v>
      </c>
      <c r="P50" s="111">
        <f t="shared" si="4"/>
        <v>14.573964995802248</v>
      </c>
      <c r="Q50" s="111">
        <f t="shared" si="5"/>
        <v>18850</v>
      </c>
      <c r="R50" s="111">
        <v>5.23</v>
      </c>
      <c r="S50" s="111">
        <f t="shared" si="6"/>
        <v>1.6749721070614539E-5</v>
      </c>
      <c r="T50" s="111">
        <f t="shared" si="7"/>
        <v>1041.3005577606716</v>
      </c>
      <c r="U50" s="123">
        <f t="shared" si="8"/>
        <v>0.9603375245956951</v>
      </c>
      <c r="V50" s="123">
        <f t="shared" si="10"/>
        <v>1.9206750491913904E-2</v>
      </c>
    </row>
    <row r="51" spans="1:22" x14ac:dyDescent="0.5">
      <c r="A51" s="68" t="s">
        <v>9</v>
      </c>
      <c r="B51" s="111" t="s">
        <v>212</v>
      </c>
      <c r="C51" s="111">
        <v>97</v>
      </c>
      <c r="D51" s="111">
        <v>44450</v>
      </c>
      <c r="E51" s="111">
        <v>36740</v>
      </c>
      <c r="F51" s="111">
        <v>2037</v>
      </c>
      <c r="G51" s="111">
        <f t="shared" si="0"/>
        <v>1099.8920086393089</v>
      </c>
      <c r="H51" s="111">
        <v>295.07</v>
      </c>
      <c r="I51" s="111">
        <v>0.74</v>
      </c>
      <c r="J51" s="111">
        <f t="shared" si="1"/>
        <v>218.3518</v>
      </c>
      <c r="K51" s="139">
        <f t="shared" si="2"/>
        <v>12.8377473</v>
      </c>
      <c r="L51" s="111">
        <v>6.1</v>
      </c>
      <c r="M51" s="111">
        <v>28.08</v>
      </c>
      <c r="N51" s="111">
        <v>93.5</v>
      </c>
      <c r="O51" s="111">
        <f t="shared" si="3"/>
        <v>8.4330096256684488</v>
      </c>
      <c r="P51" s="111">
        <f t="shared" si="4"/>
        <v>15.094377362301476</v>
      </c>
      <c r="Q51" s="111">
        <f t="shared" si="5"/>
        <v>40595</v>
      </c>
      <c r="R51" s="111">
        <v>3</v>
      </c>
      <c r="S51" s="111">
        <f t="shared" si="6"/>
        <v>1.8768968587029416E-5</v>
      </c>
      <c r="T51" s="111">
        <f t="shared" si="7"/>
        <v>440.95068243868013</v>
      </c>
      <c r="U51" s="123">
        <f t="shared" si="8"/>
        <v>2.2678273100054964</v>
      </c>
      <c r="V51" s="123">
        <f t="shared" si="10"/>
        <v>2.3379662989747387E-2</v>
      </c>
    </row>
    <row r="52" spans="1:22" x14ac:dyDescent="0.5">
      <c r="A52" s="68" t="s">
        <v>4</v>
      </c>
      <c r="B52" s="111" t="s">
        <v>218</v>
      </c>
      <c r="C52" s="111">
        <v>34</v>
      </c>
      <c r="D52" s="111">
        <v>12700</v>
      </c>
      <c r="E52" s="111">
        <v>12340</v>
      </c>
      <c r="F52" s="111">
        <v>806</v>
      </c>
      <c r="G52" s="111">
        <f t="shared" si="0"/>
        <v>435.20518358531314</v>
      </c>
      <c r="H52" s="111">
        <v>295.07</v>
      </c>
      <c r="I52" s="135" t="s">
        <v>226</v>
      </c>
      <c r="J52" s="111">
        <f>463/3.6</f>
        <v>128.61111111111111</v>
      </c>
      <c r="K52" s="139">
        <f t="shared" si="2"/>
        <v>12.4402574</v>
      </c>
      <c r="L52" s="111">
        <v>6.1</v>
      </c>
      <c r="M52" s="111">
        <v>21.44</v>
      </c>
      <c r="N52" s="111">
        <v>41.8</v>
      </c>
      <c r="O52" s="111">
        <f t="shared" si="3"/>
        <v>10.996976076555027</v>
      </c>
      <c r="P52" s="111">
        <f t="shared" si="4"/>
        <v>16.703254142339379</v>
      </c>
      <c r="Q52" s="111">
        <f t="shared" si="5"/>
        <v>12520</v>
      </c>
      <c r="R52" s="135" t="s">
        <v>226</v>
      </c>
      <c r="S52" s="111" t="e">
        <f t="shared" si="6"/>
        <v>#VALUE!</v>
      </c>
      <c r="T52" s="111" t="e">
        <f t="shared" si="7"/>
        <v>#VALUE!</v>
      </c>
      <c r="U52" s="123" t="e">
        <f t="shared" si="8"/>
        <v>#VALUE!</v>
      </c>
      <c r="V52" s="123" t="e">
        <f t="shared" si="10"/>
        <v>#VALUE!</v>
      </c>
    </row>
    <row r="53" spans="1:22" x14ac:dyDescent="0.5">
      <c r="A53" s="68" t="s">
        <v>2</v>
      </c>
      <c r="B53" s="111" t="s">
        <v>192</v>
      </c>
      <c r="C53" s="111">
        <v>100</v>
      </c>
      <c r="D53" s="111">
        <v>45880</v>
      </c>
      <c r="E53" s="111">
        <v>40000</v>
      </c>
      <c r="F53" s="111">
        <v>1445</v>
      </c>
      <c r="G53" s="111">
        <f t="shared" si="0"/>
        <v>780.23758099352051</v>
      </c>
      <c r="H53" s="111">
        <v>295.07</v>
      </c>
      <c r="I53" s="111">
        <v>0.78</v>
      </c>
      <c r="J53" s="111">
        <f t="shared" si="1"/>
        <v>230.15460000000002</v>
      </c>
      <c r="K53" s="139">
        <f t="shared" si="2"/>
        <v>12.6465905</v>
      </c>
      <c r="L53" s="111">
        <v>6.1</v>
      </c>
      <c r="M53" s="111">
        <v>27.8</v>
      </c>
      <c r="N53" s="111">
        <v>77</v>
      </c>
      <c r="O53" s="111">
        <f t="shared" si="3"/>
        <v>10.036883116883118</v>
      </c>
      <c r="P53" s="111">
        <f t="shared" si="4"/>
        <v>16.22213353494719</v>
      </c>
      <c r="Q53" s="111">
        <f t="shared" si="5"/>
        <v>42940</v>
      </c>
      <c r="R53" s="111">
        <v>4.4400000000000004</v>
      </c>
      <c r="S53" s="111">
        <f t="shared" si="6"/>
        <v>1.7658458013363306E-5</v>
      </c>
      <c r="T53" s="111">
        <f t="shared" si="7"/>
        <v>501.93075461539354</v>
      </c>
      <c r="U53" s="123">
        <f t="shared" si="8"/>
        <v>1.9923066893285986</v>
      </c>
      <c r="V53" s="123">
        <f t="shared" si="10"/>
        <v>1.9923066893285987E-2</v>
      </c>
    </row>
  </sheetData>
  <autoFilter ref="A1:V53" xr:uid="{9E805F96-C4A9-5941-98A1-CE48DDC93E4A}"/>
  <mergeCells count="22">
    <mergeCell ref="F1:F2"/>
    <mergeCell ref="G1:G2"/>
    <mergeCell ref="H1:H2"/>
    <mergeCell ref="A1:A2"/>
    <mergeCell ref="B1:B2"/>
    <mergeCell ref="C1:C2"/>
    <mergeCell ref="D1:D2"/>
    <mergeCell ref="E1:E2"/>
    <mergeCell ref="V1:V2"/>
    <mergeCell ref="S1:S2"/>
    <mergeCell ref="R1:R2"/>
    <mergeCell ref="T1:T2"/>
    <mergeCell ref="I1:I2"/>
    <mergeCell ref="J1:J2"/>
    <mergeCell ref="U1:U2"/>
    <mergeCell ref="N1:N2"/>
    <mergeCell ref="O1:O2"/>
    <mergeCell ref="P1:P2"/>
    <mergeCell ref="Q1:Q2"/>
    <mergeCell ref="K1:K2"/>
    <mergeCell ref="L1:L2"/>
    <mergeCell ref="M1:M2"/>
  </mergeCells>
  <phoneticPr fontId="12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B34EC-5EA6-3046-98CC-E5EEEAF5B774}">
  <dimension ref="A1:J52"/>
  <sheetViews>
    <sheetView workbookViewId="0">
      <pane xSplit="1" ySplit="2" topLeftCell="B7" activePane="bottomRight" state="frozen"/>
      <selection pane="topRight" activeCell="B1" sqref="B1"/>
      <selection pane="bottomLeft" activeCell="A3" sqref="A3"/>
      <selection pane="bottomRight" activeCell="B3" sqref="B3:J52"/>
    </sheetView>
  </sheetViews>
  <sheetFormatPr baseColWidth="10" defaultRowHeight="15.75" x14ac:dyDescent="0.5"/>
  <cols>
    <col min="1" max="1" width="35" customWidth="1"/>
    <col min="2" max="2" width="30.3125" customWidth="1"/>
    <col min="3" max="3" width="24" customWidth="1"/>
    <col min="4" max="4" width="27.8125" customWidth="1"/>
    <col min="5" max="5" width="28" customWidth="1"/>
    <col min="6" max="6" width="27" customWidth="1"/>
    <col min="7" max="7" width="26.6875" customWidth="1"/>
    <col min="8" max="9" width="27.3125" customWidth="1"/>
    <col min="10" max="10" width="28.5" customWidth="1"/>
  </cols>
  <sheetData>
    <row r="1" spans="1:10" ht="16.05" customHeight="1" x14ac:dyDescent="0.5">
      <c r="A1" s="148" t="s">
        <v>154</v>
      </c>
      <c r="B1" s="148" t="s">
        <v>244</v>
      </c>
      <c r="C1" s="148" t="s">
        <v>273</v>
      </c>
      <c r="D1" s="148" t="s">
        <v>277</v>
      </c>
      <c r="E1" s="148" t="s">
        <v>274</v>
      </c>
      <c r="F1" s="148" t="s">
        <v>275</v>
      </c>
      <c r="G1" s="148" t="s">
        <v>276</v>
      </c>
      <c r="H1" s="148" t="s">
        <v>278</v>
      </c>
      <c r="I1" s="148" t="s">
        <v>141</v>
      </c>
      <c r="J1" s="148" t="s">
        <v>303</v>
      </c>
    </row>
    <row r="2" spans="1:10" ht="16.149999999999999" thickBot="1" x14ac:dyDescent="0.55000000000000004">
      <c r="A2" s="153"/>
      <c r="B2" s="149"/>
      <c r="C2" s="149"/>
      <c r="D2" s="149"/>
      <c r="E2" s="149"/>
      <c r="F2" s="149"/>
      <c r="G2" s="149"/>
      <c r="H2" s="149"/>
      <c r="I2" s="149"/>
      <c r="J2" s="149"/>
    </row>
    <row r="3" spans="1:10" x14ac:dyDescent="0.5">
      <c r="A3" s="108" t="s">
        <v>128</v>
      </c>
      <c r="B3" s="140" t="s">
        <v>245</v>
      </c>
      <c r="C3" s="111">
        <v>150</v>
      </c>
      <c r="D3" s="111">
        <v>500</v>
      </c>
      <c r="E3" s="111">
        <f>D3*1.852</f>
        <v>926</v>
      </c>
      <c r="F3" s="111" t="e">
        <v>#N/A</v>
      </c>
      <c r="G3" s="111" t="e">
        <f>F3*3.785411784</f>
        <v>#N/A</v>
      </c>
      <c r="H3" s="111" t="e">
        <v>#N/A</v>
      </c>
      <c r="I3" s="111">
        <v>2.85</v>
      </c>
      <c r="J3" s="123">
        <f>I3/C3</f>
        <v>1.9E-2</v>
      </c>
    </row>
    <row r="4" spans="1:10" x14ac:dyDescent="0.5">
      <c r="A4" s="109" t="s">
        <v>121</v>
      </c>
      <c r="B4" s="140" t="s">
        <v>254</v>
      </c>
      <c r="C4" s="111">
        <v>124</v>
      </c>
      <c r="D4" s="111">
        <v>1000</v>
      </c>
      <c r="E4" s="111">
        <f t="shared" ref="E4:E52" si="0">D4*1.852</f>
        <v>1852</v>
      </c>
      <c r="F4" s="111">
        <v>1791</v>
      </c>
      <c r="G4" s="111">
        <f t="shared" ref="G4:G52" si="1">F4*3.785411784</f>
        <v>6779.6725051439998</v>
      </c>
      <c r="H4" s="111">
        <v>0</v>
      </c>
      <c r="I4" s="111"/>
      <c r="J4" s="123">
        <f>((((G4/1000)*810)/E4)/C4)</f>
        <v>2.3912834987313801E-2</v>
      </c>
    </row>
    <row r="5" spans="1:10" x14ac:dyDescent="0.5">
      <c r="A5" s="109" t="s">
        <v>120</v>
      </c>
      <c r="B5" s="140" t="s">
        <v>254</v>
      </c>
      <c r="C5" s="111">
        <v>150</v>
      </c>
      <c r="D5" s="111">
        <v>1000</v>
      </c>
      <c r="E5" s="111">
        <f t="shared" si="0"/>
        <v>1852</v>
      </c>
      <c r="F5" s="111">
        <v>1915</v>
      </c>
      <c r="G5" s="111">
        <f t="shared" si="1"/>
        <v>7249.0635663599996</v>
      </c>
      <c r="H5" s="111">
        <v>0</v>
      </c>
      <c r="I5" s="111"/>
      <c r="J5" s="123">
        <f t="shared" ref="J5:J8" si="2">((((G5/1000)*810)/E5)/C5)</f>
        <v>2.11365784332311E-2</v>
      </c>
    </row>
    <row r="6" spans="1:10" x14ac:dyDescent="0.5">
      <c r="A6" s="109" t="s">
        <v>119</v>
      </c>
      <c r="B6" s="140" t="s">
        <v>255</v>
      </c>
      <c r="C6" s="111">
        <v>154</v>
      </c>
      <c r="D6" s="111">
        <v>660</v>
      </c>
      <c r="E6" s="111">
        <f t="shared" si="0"/>
        <v>1222.3200000000002</v>
      </c>
      <c r="F6" s="111">
        <v>1117</v>
      </c>
      <c r="G6" s="111">
        <f t="shared" si="1"/>
        <v>4228.3049627279997</v>
      </c>
      <c r="H6" s="111">
        <v>0</v>
      </c>
      <c r="I6" s="111"/>
      <c r="J6" s="123">
        <f t="shared" si="2"/>
        <v>1.8194732838307477E-2</v>
      </c>
    </row>
    <row r="7" spans="1:10" x14ac:dyDescent="0.5">
      <c r="A7" s="109" t="s">
        <v>118</v>
      </c>
      <c r="B7" s="140" t="s">
        <v>254</v>
      </c>
      <c r="C7" s="111">
        <v>180</v>
      </c>
      <c r="D7" s="111">
        <v>1000</v>
      </c>
      <c r="E7" s="111">
        <f t="shared" si="0"/>
        <v>1852</v>
      </c>
      <c r="F7" s="111">
        <v>2200</v>
      </c>
      <c r="G7" s="111">
        <f t="shared" si="1"/>
        <v>8327.9059247999994</v>
      </c>
      <c r="H7" s="111">
        <v>0</v>
      </c>
      <c r="I7" s="111"/>
      <c r="J7" s="123">
        <f t="shared" si="2"/>
        <v>2.023519258185745E-2</v>
      </c>
    </row>
    <row r="8" spans="1:10" x14ac:dyDescent="0.5">
      <c r="A8" s="109" t="s">
        <v>117</v>
      </c>
      <c r="B8" s="140" t="s">
        <v>255</v>
      </c>
      <c r="C8" s="111">
        <v>192</v>
      </c>
      <c r="D8" s="111">
        <v>660</v>
      </c>
      <c r="E8" s="111">
        <f t="shared" si="0"/>
        <v>1222.3200000000002</v>
      </c>
      <c r="F8" s="111">
        <v>1358</v>
      </c>
      <c r="G8" s="111">
        <f t="shared" si="1"/>
        <v>5140.5892026720003</v>
      </c>
      <c r="H8" s="111">
        <v>0</v>
      </c>
      <c r="I8" s="111"/>
      <c r="J8" s="123">
        <f t="shared" si="2"/>
        <v>1.7742375727119331E-2</v>
      </c>
    </row>
    <row r="9" spans="1:10" x14ac:dyDescent="0.5">
      <c r="A9" s="109" t="s">
        <v>116</v>
      </c>
      <c r="B9" s="111" t="s">
        <v>256</v>
      </c>
      <c r="C9" s="111">
        <v>241</v>
      </c>
      <c r="D9" s="111">
        <v>3000</v>
      </c>
      <c r="E9" s="111">
        <f t="shared" si="0"/>
        <v>5556</v>
      </c>
      <c r="F9" s="111">
        <v>0</v>
      </c>
      <c r="G9" s="111">
        <f t="shared" si="1"/>
        <v>0</v>
      </c>
      <c r="H9" s="111">
        <v>0</v>
      </c>
      <c r="I9" s="111"/>
      <c r="J9" s="123">
        <v>3.1099999999999999E-2</v>
      </c>
    </row>
    <row r="10" spans="1:10" x14ac:dyDescent="0.5">
      <c r="A10" s="109" t="s">
        <v>115</v>
      </c>
      <c r="B10" s="140" t="s">
        <v>257</v>
      </c>
      <c r="C10" s="111">
        <v>262</v>
      </c>
      <c r="D10" s="111">
        <v>3000</v>
      </c>
      <c r="E10" s="111">
        <f t="shared" si="0"/>
        <v>5556</v>
      </c>
      <c r="F10" s="111">
        <v>0</v>
      </c>
      <c r="G10" s="111">
        <f t="shared" si="1"/>
        <v>0</v>
      </c>
      <c r="H10" s="111">
        <v>0</v>
      </c>
      <c r="I10" s="111"/>
      <c r="J10" s="123">
        <v>2.98E-2</v>
      </c>
    </row>
    <row r="11" spans="1:10" x14ac:dyDescent="0.5">
      <c r="A11" s="109" t="s">
        <v>109</v>
      </c>
      <c r="B11" s="140" t="s">
        <v>258</v>
      </c>
      <c r="C11" s="111">
        <v>315</v>
      </c>
      <c r="D11" s="111">
        <v>6542</v>
      </c>
      <c r="E11" s="111">
        <f t="shared" si="0"/>
        <v>12115.784000000001</v>
      </c>
      <c r="F11" s="111">
        <v>0</v>
      </c>
      <c r="G11" s="111">
        <f t="shared" si="1"/>
        <v>0</v>
      </c>
      <c r="H11" s="111">
        <v>272.10000000000002</v>
      </c>
      <c r="I11" s="111"/>
      <c r="J11" s="123">
        <f>H11/E12</f>
        <v>2.4487041036717064E-2</v>
      </c>
    </row>
    <row r="12" spans="1:10" x14ac:dyDescent="0.5">
      <c r="A12" s="109" t="s">
        <v>106</v>
      </c>
      <c r="B12" s="140" t="s">
        <v>259</v>
      </c>
      <c r="C12" s="111">
        <v>544</v>
      </c>
      <c r="D12" s="111">
        <v>6000</v>
      </c>
      <c r="E12" s="111">
        <f t="shared" si="0"/>
        <v>11112</v>
      </c>
      <c r="F12" s="111">
        <v>50389</v>
      </c>
      <c r="G12" s="111">
        <f t="shared" si="1"/>
        <v>190743.114383976</v>
      </c>
      <c r="H12" s="111">
        <v>0</v>
      </c>
      <c r="I12" s="111"/>
      <c r="J12" s="123">
        <f>((((G12/1000)*810)/E12)/C12)</f>
        <v>2.5558935135541826E-2</v>
      </c>
    </row>
    <row r="13" spans="1:10" x14ac:dyDescent="0.5">
      <c r="A13" s="109" t="s">
        <v>104</v>
      </c>
      <c r="B13" s="140" t="s">
        <v>246</v>
      </c>
      <c r="C13" s="111">
        <v>48</v>
      </c>
      <c r="D13" s="111" t="s">
        <v>164</v>
      </c>
      <c r="E13" s="111" t="e">
        <f t="shared" si="0"/>
        <v>#VALUE!</v>
      </c>
      <c r="F13" s="111" t="s">
        <v>164</v>
      </c>
      <c r="G13" s="111" t="e">
        <f t="shared" si="1"/>
        <v>#VALUE!</v>
      </c>
      <c r="H13" s="111" t="s">
        <v>164</v>
      </c>
      <c r="I13" s="111">
        <v>1.26</v>
      </c>
      <c r="J13" s="123">
        <f t="shared" ref="J13:J14" si="3">I13/C13</f>
        <v>2.6249999999999999E-2</v>
      </c>
    </row>
    <row r="14" spans="1:10" x14ac:dyDescent="0.5">
      <c r="A14" s="109" t="s">
        <v>102</v>
      </c>
      <c r="B14" s="140" t="s">
        <v>246</v>
      </c>
      <c r="C14" s="111">
        <v>72</v>
      </c>
      <c r="D14" s="111">
        <v>0</v>
      </c>
      <c r="E14" s="111">
        <f t="shared" si="0"/>
        <v>0</v>
      </c>
      <c r="F14" s="111">
        <v>0</v>
      </c>
      <c r="G14" s="111">
        <f t="shared" si="1"/>
        <v>0</v>
      </c>
      <c r="H14" s="111">
        <v>0</v>
      </c>
      <c r="I14" s="111">
        <v>1.42</v>
      </c>
      <c r="J14" s="123">
        <f t="shared" si="3"/>
        <v>1.9722222222222221E-2</v>
      </c>
    </row>
    <row r="15" spans="1:10" x14ac:dyDescent="0.5">
      <c r="A15" s="109" t="s">
        <v>100</v>
      </c>
      <c r="B15" s="140" t="s">
        <v>260</v>
      </c>
      <c r="C15" s="111">
        <v>19</v>
      </c>
      <c r="D15" s="111">
        <v>226.1</v>
      </c>
      <c r="E15" s="111">
        <f t="shared" si="0"/>
        <v>418.73720000000003</v>
      </c>
      <c r="F15" s="111">
        <v>0</v>
      </c>
      <c r="G15" s="111">
        <f t="shared" si="1"/>
        <v>0</v>
      </c>
      <c r="H15" s="111">
        <v>22.1</v>
      </c>
      <c r="I15" s="111"/>
      <c r="J15" s="123">
        <f>H15/E15</f>
        <v>5.2777732668604554E-2</v>
      </c>
    </row>
    <row r="16" spans="1:10" x14ac:dyDescent="0.5">
      <c r="A16" s="109" t="s">
        <v>98</v>
      </c>
      <c r="B16" s="140" t="s">
        <v>261</v>
      </c>
      <c r="C16" s="111" t="s">
        <v>164</v>
      </c>
      <c r="D16" s="111" t="s">
        <v>164</v>
      </c>
      <c r="E16" s="111" t="e">
        <f t="shared" si="0"/>
        <v>#VALUE!</v>
      </c>
      <c r="F16" s="111" t="s">
        <v>164</v>
      </c>
      <c r="G16" s="111" t="e">
        <f t="shared" si="1"/>
        <v>#VALUE!</v>
      </c>
      <c r="H16" s="111" t="s">
        <v>164</v>
      </c>
      <c r="I16" s="111"/>
      <c r="J16" s="123"/>
    </row>
    <row r="17" spans="1:10" x14ac:dyDescent="0.5">
      <c r="A17" s="109" t="s">
        <v>157</v>
      </c>
      <c r="B17" s="140" t="s">
        <v>247</v>
      </c>
      <c r="C17" s="111">
        <v>166</v>
      </c>
      <c r="D17" s="111">
        <v>660</v>
      </c>
      <c r="E17" s="111">
        <f t="shared" si="0"/>
        <v>1222.3200000000002</v>
      </c>
      <c r="F17" s="111">
        <v>1222</v>
      </c>
      <c r="G17" s="111">
        <f t="shared" si="1"/>
        <v>4625.773200048</v>
      </c>
      <c r="H17" s="111">
        <v>0</v>
      </c>
      <c r="I17" s="111"/>
      <c r="J17" s="123">
        <f>((((G17/1000)*810)/E17)/C17)</f>
        <v>1.8466149558172211E-2</v>
      </c>
    </row>
    <row r="18" spans="1:10" x14ac:dyDescent="0.5">
      <c r="A18" s="109" t="s">
        <v>95</v>
      </c>
      <c r="B18" s="140" t="s">
        <v>247</v>
      </c>
      <c r="C18" s="111">
        <v>180</v>
      </c>
      <c r="D18" s="111">
        <v>660</v>
      </c>
      <c r="E18" s="111">
        <f t="shared" si="0"/>
        <v>1222.3200000000002</v>
      </c>
      <c r="F18" s="111">
        <v>1327</v>
      </c>
      <c r="G18" s="111">
        <f t="shared" si="1"/>
        <v>5023.2414373679994</v>
      </c>
      <c r="H18" s="111" t="e">
        <v>#N/A</v>
      </c>
      <c r="I18" s="111"/>
      <c r="J18" s="123">
        <f>((((G18/1000)*810)/E18)/C18)</f>
        <v>1.84931822011879E-2</v>
      </c>
    </row>
    <row r="19" spans="1:10" x14ac:dyDescent="0.5">
      <c r="A19" s="109" t="s">
        <v>91</v>
      </c>
      <c r="B19" s="140" t="s">
        <v>261</v>
      </c>
      <c r="C19" s="111">
        <v>126</v>
      </c>
      <c r="D19" s="111">
        <v>507</v>
      </c>
      <c r="E19" s="111">
        <f t="shared" si="0"/>
        <v>938.96400000000006</v>
      </c>
      <c r="F19" s="111" t="s">
        <v>164</v>
      </c>
      <c r="G19" s="111" t="e">
        <f t="shared" si="1"/>
        <v>#VALUE!</v>
      </c>
      <c r="H19" s="111" t="s">
        <v>164</v>
      </c>
      <c r="I19" s="111">
        <v>3.49</v>
      </c>
      <c r="J19" s="123">
        <f>I19/C19</f>
        <v>2.7698412698412701E-2</v>
      </c>
    </row>
    <row r="20" spans="1:10" x14ac:dyDescent="0.5">
      <c r="A20" s="109" t="s">
        <v>87</v>
      </c>
      <c r="B20" s="140" t="s">
        <v>261</v>
      </c>
      <c r="C20" s="111" t="s">
        <v>164</v>
      </c>
      <c r="D20" s="111" t="s">
        <v>164</v>
      </c>
      <c r="E20" s="111" t="e">
        <f t="shared" si="0"/>
        <v>#VALUE!</v>
      </c>
      <c r="F20" s="111" t="s">
        <v>164</v>
      </c>
      <c r="G20" s="111" t="e">
        <f t="shared" si="1"/>
        <v>#VALUE!</v>
      </c>
      <c r="H20" s="111" t="s">
        <v>164</v>
      </c>
      <c r="I20" s="111"/>
      <c r="J20" s="123"/>
    </row>
    <row r="21" spans="1:10" x14ac:dyDescent="0.5">
      <c r="A21" s="109" t="s">
        <v>84</v>
      </c>
      <c r="B21" s="140" t="s">
        <v>261</v>
      </c>
      <c r="C21" s="111" t="s">
        <v>164</v>
      </c>
      <c r="D21" s="111" t="s">
        <v>164</v>
      </c>
      <c r="E21" s="111" t="e">
        <f t="shared" si="0"/>
        <v>#VALUE!</v>
      </c>
      <c r="F21" s="111" t="s">
        <v>164</v>
      </c>
      <c r="G21" s="111" t="e">
        <f t="shared" si="1"/>
        <v>#VALUE!</v>
      </c>
      <c r="H21" s="111" t="s">
        <v>164</v>
      </c>
      <c r="I21" s="111"/>
      <c r="J21" s="123"/>
    </row>
    <row r="22" spans="1:10" x14ac:dyDescent="0.5">
      <c r="A22" s="109" t="s">
        <v>81</v>
      </c>
      <c r="B22" s="140" t="s">
        <v>262</v>
      </c>
      <c r="C22" s="111">
        <v>126</v>
      </c>
      <c r="D22" s="111">
        <v>1000</v>
      </c>
      <c r="E22" s="111">
        <f t="shared" si="0"/>
        <v>1852</v>
      </c>
      <c r="F22" s="111">
        <v>0</v>
      </c>
      <c r="G22" s="111">
        <f t="shared" si="1"/>
        <v>0</v>
      </c>
      <c r="H22" s="111">
        <v>41.5</v>
      </c>
      <c r="I22" s="111"/>
      <c r="J22" s="123">
        <f>H22/E22</f>
        <v>2.2408207343412527E-2</v>
      </c>
    </row>
    <row r="23" spans="1:10" x14ac:dyDescent="0.5">
      <c r="A23" s="109" t="s">
        <v>79</v>
      </c>
      <c r="B23" s="140" t="s">
        <v>262</v>
      </c>
      <c r="C23" s="111">
        <v>162</v>
      </c>
      <c r="D23" s="111">
        <v>1000</v>
      </c>
      <c r="E23" s="111">
        <f t="shared" si="0"/>
        <v>1852</v>
      </c>
      <c r="F23" s="111">
        <v>0</v>
      </c>
      <c r="G23" s="111">
        <f t="shared" si="1"/>
        <v>0</v>
      </c>
      <c r="H23" s="111">
        <v>36.200000000000003</v>
      </c>
      <c r="I23" s="111"/>
      <c r="J23" s="123">
        <f t="shared" ref="J23:J27" si="4">H23/E23</f>
        <v>1.9546436285097193E-2</v>
      </c>
    </row>
    <row r="24" spans="1:10" x14ac:dyDescent="0.5">
      <c r="A24" s="109" t="s">
        <v>77</v>
      </c>
      <c r="B24" s="140" t="s">
        <v>262</v>
      </c>
      <c r="C24" s="111">
        <v>180</v>
      </c>
      <c r="D24" s="111">
        <v>1000</v>
      </c>
      <c r="E24" s="111">
        <f t="shared" si="0"/>
        <v>1852</v>
      </c>
      <c r="F24" s="111">
        <v>0</v>
      </c>
      <c r="G24" s="111">
        <f t="shared" si="1"/>
        <v>0</v>
      </c>
      <c r="H24" s="111">
        <v>35.200000000000003</v>
      </c>
      <c r="I24" s="111"/>
      <c r="J24" s="123">
        <f t="shared" si="4"/>
        <v>1.9006479481641469E-2</v>
      </c>
    </row>
    <row r="25" spans="1:10" x14ac:dyDescent="0.5">
      <c r="A25" s="109" t="s">
        <v>74</v>
      </c>
      <c r="B25" s="140" t="s">
        <v>263</v>
      </c>
      <c r="C25" s="111">
        <v>416</v>
      </c>
      <c r="D25" s="111">
        <v>6000</v>
      </c>
      <c r="E25" s="111">
        <f t="shared" si="0"/>
        <v>11112</v>
      </c>
      <c r="F25" s="111">
        <v>0</v>
      </c>
      <c r="G25" s="111">
        <f t="shared" si="1"/>
        <v>0</v>
      </c>
      <c r="H25" s="111">
        <v>296.7</v>
      </c>
      <c r="I25" s="111"/>
      <c r="J25" s="123">
        <f>H25/E25</f>
        <v>2.6700863930885527E-2</v>
      </c>
    </row>
    <row r="26" spans="1:10" x14ac:dyDescent="0.5">
      <c r="A26" s="109" t="s">
        <v>68</v>
      </c>
      <c r="B26" s="140" t="s">
        <v>264</v>
      </c>
      <c r="C26" s="111">
        <v>228</v>
      </c>
      <c r="D26" s="111">
        <v>1000</v>
      </c>
      <c r="E26" s="111">
        <f t="shared" si="0"/>
        <v>1852</v>
      </c>
      <c r="F26" s="111">
        <v>0</v>
      </c>
      <c r="G26" s="111">
        <f t="shared" si="1"/>
        <v>0</v>
      </c>
      <c r="H26" s="111">
        <v>34.4</v>
      </c>
      <c r="I26" s="111"/>
      <c r="J26" s="123">
        <f t="shared" si="4"/>
        <v>1.8574514038876888E-2</v>
      </c>
    </row>
    <row r="27" spans="1:10" x14ac:dyDescent="0.5">
      <c r="A27" s="109" t="s">
        <v>0</v>
      </c>
      <c r="B27" s="140" t="s">
        <v>265</v>
      </c>
      <c r="C27" s="111">
        <v>269</v>
      </c>
      <c r="D27" s="111">
        <v>3000</v>
      </c>
      <c r="E27" s="111">
        <f t="shared" si="0"/>
        <v>5556</v>
      </c>
      <c r="F27" s="111">
        <v>0</v>
      </c>
      <c r="G27" s="111">
        <f t="shared" si="1"/>
        <v>0</v>
      </c>
      <c r="H27" s="111">
        <v>113.9</v>
      </c>
      <c r="I27" s="111"/>
      <c r="J27" s="123">
        <f t="shared" si="4"/>
        <v>2.0500359971202305E-2</v>
      </c>
    </row>
    <row r="28" spans="1:10" x14ac:dyDescent="0.5">
      <c r="A28" s="109" t="s">
        <v>61</v>
      </c>
      <c r="B28" s="140" t="s">
        <v>248</v>
      </c>
      <c r="C28" s="111">
        <v>305</v>
      </c>
      <c r="D28" s="111">
        <v>3000</v>
      </c>
      <c r="E28" s="111">
        <f t="shared" si="0"/>
        <v>5556</v>
      </c>
      <c r="F28" s="111" t="e">
        <v>#N/A</v>
      </c>
      <c r="G28" s="111" t="e">
        <f t="shared" si="1"/>
        <v>#N/A</v>
      </c>
      <c r="H28" s="111" t="e">
        <v>#N/A</v>
      </c>
      <c r="I28" s="111">
        <v>6.83</v>
      </c>
      <c r="J28" s="123">
        <f t="shared" ref="J28:J29" si="5">I28/C28</f>
        <v>2.2393442622950819E-2</v>
      </c>
    </row>
    <row r="29" spans="1:10" x14ac:dyDescent="0.5">
      <c r="A29" s="109" t="s">
        <v>60</v>
      </c>
      <c r="B29" s="140" t="s">
        <v>249</v>
      </c>
      <c r="C29" s="111">
        <v>301</v>
      </c>
      <c r="D29" s="111">
        <v>3000</v>
      </c>
      <c r="E29" s="111">
        <f t="shared" si="0"/>
        <v>5556</v>
      </c>
      <c r="F29" s="111" t="e">
        <v>#N/A</v>
      </c>
      <c r="G29" s="111" t="e">
        <f t="shared" si="1"/>
        <v>#N/A</v>
      </c>
      <c r="H29" s="111" t="e">
        <v>#N/A</v>
      </c>
      <c r="I29" s="111">
        <v>6.96</v>
      </c>
      <c r="J29" s="123">
        <f t="shared" si="5"/>
        <v>2.3122923588039867E-2</v>
      </c>
    </row>
    <row r="30" spans="1:10" x14ac:dyDescent="0.5">
      <c r="A30" s="109" t="s">
        <v>56</v>
      </c>
      <c r="B30" s="140" t="s">
        <v>248</v>
      </c>
      <c r="C30" s="111">
        <v>365</v>
      </c>
      <c r="D30" s="111">
        <v>3000</v>
      </c>
      <c r="E30" s="111">
        <f t="shared" si="0"/>
        <v>5556</v>
      </c>
      <c r="F30" s="111">
        <v>0</v>
      </c>
      <c r="G30" s="111">
        <f t="shared" si="1"/>
        <v>0</v>
      </c>
      <c r="H30" s="111">
        <v>121.2</v>
      </c>
      <c r="I30" s="111"/>
      <c r="J30" s="123">
        <f>H30/E30</f>
        <v>2.1814254859611231E-2</v>
      </c>
    </row>
    <row r="31" spans="1:10" x14ac:dyDescent="0.5">
      <c r="A31" s="109" t="s">
        <v>54</v>
      </c>
      <c r="B31" s="140" t="s">
        <v>266</v>
      </c>
      <c r="C31" s="111">
        <v>238</v>
      </c>
      <c r="D31" s="111">
        <v>3400</v>
      </c>
      <c r="E31" s="111">
        <f t="shared" si="0"/>
        <v>6296.8</v>
      </c>
      <c r="F31" s="111">
        <v>0</v>
      </c>
      <c r="G31" s="111">
        <f t="shared" si="1"/>
        <v>0</v>
      </c>
      <c r="H31" s="111">
        <v>135.07499999999999</v>
      </c>
      <c r="I31" s="111"/>
      <c r="J31" s="123">
        <f t="shared" ref="J31:J32" si="6">H31/E31</f>
        <v>2.1451372125524074E-2</v>
      </c>
    </row>
    <row r="32" spans="1:10" x14ac:dyDescent="0.5">
      <c r="A32" s="109" t="s">
        <v>53</v>
      </c>
      <c r="B32" s="140" t="s">
        <v>267</v>
      </c>
      <c r="C32" s="111">
        <v>291</v>
      </c>
      <c r="D32" s="111">
        <v>6542</v>
      </c>
      <c r="E32" s="111">
        <f t="shared" si="0"/>
        <v>12115.784000000001</v>
      </c>
      <c r="F32" s="111">
        <v>0</v>
      </c>
      <c r="G32" s="111">
        <f t="shared" si="1"/>
        <v>0</v>
      </c>
      <c r="H32" s="111">
        <v>298.94</v>
      </c>
      <c r="I32" s="111"/>
      <c r="J32" s="123">
        <f t="shared" si="6"/>
        <v>2.4673599331252519E-2</v>
      </c>
    </row>
    <row r="33" spans="1:10" x14ac:dyDescent="0.5">
      <c r="A33" s="109" t="s">
        <v>48</v>
      </c>
      <c r="B33" s="140" t="s">
        <v>261</v>
      </c>
      <c r="C33" s="111" t="s">
        <v>164</v>
      </c>
      <c r="D33" s="111" t="s">
        <v>164</v>
      </c>
      <c r="E33" s="111" t="e">
        <f t="shared" si="0"/>
        <v>#VALUE!</v>
      </c>
      <c r="F33" s="111" t="s">
        <v>164</v>
      </c>
      <c r="G33" s="111" t="e">
        <f t="shared" si="1"/>
        <v>#VALUE!</v>
      </c>
      <c r="H33" s="111" t="s">
        <v>164</v>
      </c>
      <c r="I33" s="111"/>
      <c r="J33" s="123"/>
    </row>
    <row r="34" spans="1:10" x14ac:dyDescent="0.5">
      <c r="A34" s="109" t="s">
        <v>159</v>
      </c>
      <c r="B34" s="111" t="s">
        <v>250</v>
      </c>
      <c r="C34" s="111">
        <v>50</v>
      </c>
      <c r="D34" s="111">
        <v>577</v>
      </c>
      <c r="E34" s="111">
        <f t="shared" si="0"/>
        <v>1068.604</v>
      </c>
      <c r="F34" s="111" t="e">
        <v>#N/A</v>
      </c>
      <c r="G34" s="111" t="e">
        <f t="shared" si="1"/>
        <v>#N/A</v>
      </c>
      <c r="H34" s="111" t="e">
        <v>#N/A</v>
      </c>
      <c r="I34" s="111">
        <v>1.87</v>
      </c>
      <c r="J34" s="123">
        <f t="shared" ref="J34:J35" si="7">I34/C34</f>
        <v>3.7400000000000003E-2</v>
      </c>
    </row>
    <row r="35" spans="1:10" x14ac:dyDescent="0.5">
      <c r="A35" s="109" t="s">
        <v>158</v>
      </c>
      <c r="B35" s="140" t="s">
        <v>250</v>
      </c>
      <c r="C35" s="111">
        <v>50</v>
      </c>
      <c r="D35" s="111">
        <v>580</v>
      </c>
      <c r="E35" s="111">
        <f t="shared" si="0"/>
        <v>1074.1600000000001</v>
      </c>
      <c r="F35" s="111" t="e">
        <v>#N/A</v>
      </c>
      <c r="G35" s="111" t="e">
        <f t="shared" si="1"/>
        <v>#N/A</v>
      </c>
      <c r="H35" s="111" t="e">
        <v>#N/A</v>
      </c>
      <c r="I35" s="111">
        <v>1.8</v>
      </c>
      <c r="J35" s="123">
        <f t="shared" si="7"/>
        <v>3.6000000000000004E-2</v>
      </c>
    </row>
    <row r="36" spans="1:10" x14ac:dyDescent="0.5">
      <c r="A36" s="109" t="s">
        <v>39</v>
      </c>
      <c r="B36" s="140" t="s">
        <v>268</v>
      </c>
      <c r="C36" s="111">
        <v>70</v>
      </c>
      <c r="D36" s="111">
        <v>574</v>
      </c>
      <c r="E36" s="111">
        <f t="shared" si="0"/>
        <v>1063.048</v>
      </c>
      <c r="F36" s="111">
        <v>855</v>
      </c>
      <c r="G36" s="111">
        <f t="shared" si="1"/>
        <v>3236.5270753199998</v>
      </c>
      <c r="H36" s="111">
        <v>0</v>
      </c>
      <c r="I36" s="111"/>
      <c r="J36" s="123">
        <f>((((G36/1000)*810)/E36)/C36)</f>
        <v>3.5230057223718962E-2</v>
      </c>
    </row>
    <row r="37" spans="1:10" x14ac:dyDescent="0.5">
      <c r="A37" s="109" t="s">
        <v>37</v>
      </c>
      <c r="B37" s="140" t="s">
        <v>268</v>
      </c>
      <c r="C37" s="111">
        <v>88</v>
      </c>
      <c r="D37" s="111">
        <v>515</v>
      </c>
      <c r="E37" s="111">
        <f t="shared" si="0"/>
        <v>953.78000000000009</v>
      </c>
      <c r="F37" s="111">
        <v>908</v>
      </c>
      <c r="G37" s="111">
        <f t="shared" si="1"/>
        <v>3437.1538998719998</v>
      </c>
      <c r="H37" s="111">
        <v>0</v>
      </c>
      <c r="I37" s="111"/>
      <c r="J37" s="123">
        <f>((((G37/1000)*810)/E37)/C37)</f>
        <v>3.3170583683490948E-2</v>
      </c>
    </row>
    <row r="38" spans="1:10" x14ac:dyDescent="0.5">
      <c r="A38" s="109" t="s">
        <v>35</v>
      </c>
      <c r="B38" s="140" t="s">
        <v>251</v>
      </c>
      <c r="C38" s="111">
        <v>100</v>
      </c>
      <c r="D38" s="111">
        <v>500</v>
      </c>
      <c r="E38" s="111">
        <f t="shared" si="0"/>
        <v>926</v>
      </c>
      <c r="F38" s="111" t="e">
        <v>#N/A</v>
      </c>
      <c r="G38" s="111" t="e">
        <f t="shared" si="1"/>
        <v>#N/A</v>
      </c>
      <c r="H38" s="111" t="e">
        <v>#N/A</v>
      </c>
      <c r="I38" s="111">
        <v>2.66</v>
      </c>
      <c r="J38" s="123">
        <f>I38/C38</f>
        <v>2.6600000000000002E-2</v>
      </c>
    </row>
    <row r="39" spans="1:10" x14ac:dyDescent="0.5">
      <c r="A39" s="109" t="s">
        <v>34</v>
      </c>
      <c r="B39" s="140" t="s">
        <v>261</v>
      </c>
      <c r="C39" s="111" t="s">
        <v>164</v>
      </c>
      <c r="D39" s="111" t="s">
        <v>164</v>
      </c>
      <c r="E39" s="111" t="e">
        <f t="shared" si="0"/>
        <v>#VALUE!</v>
      </c>
      <c r="F39" s="111" t="s">
        <v>164</v>
      </c>
      <c r="G39" s="111" t="e">
        <f t="shared" si="1"/>
        <v>#VALUE!</v>
      </c>
      <c r="H39" s="111" t="s">
        <v>164</v>
      </c>
      <c r="I39" s="111"/>
      <c r="J39" s="123"/>
    </row>
    <row r="40" spans="1:10" x14ac:dyDescent="0.5">
      <c r="A40" s="109" t="s">
        <v>44</v>
      </c>
      <c r="B40" s="140" t="s">
        <v>261</v>
      </c>
      <c r="C40" s="111" t="s">
        <v>164</v>
      </c>
      <c r="D40" s="111">
        <v>0</v>
      </c>
      <c r="E40" s="111">
        <f t="shared" si="0"/>
        <v>0</v>
      </c>
      <c r="F40" s="111">
        <v>0</v>
      </c>
      <c r="G40" s="111">
        <f t="shared" si="1"/>
        <v>0</v>
      </c>
      <c r="H40" s="111">
        <v>0</v>
      </c>
      <c r="I40" s="111"/>
      <c r="J40" s="123"/>
    </row>
    <row r="41" spans="1:10" x14ac:dyDescent="0.5">
      <c r="A41" s="109" t="s">
        <v>32</v>
      </c>
      <c r="B41" s="140" t="s">
        <v>246</v>
      </c>
      <c r="C41" s="111">
        <v>82</v>
      </c>
      <c r="D41" s="111">
        <v>600</v>
      </c>
      <c r="E41" s="111">
        <f t="shared" si="0"/>
        <v>1111.2</v>
      </c>
      <c r="F41" s="111" t="s">
        <v>164</v>
      </c>
      <c r="G41" s="111" t="e">
        <f t="shared" si="1"/>
        <v>#VALUE!</v>
      </c>
      <c r="H41" s="111" t="s">
        <v>164</v>
      </c>
      <c r="I41" s="111">
        <v>1.83</v>
      </c>
      <c r="J41" s="123">
        <f>I41/C41</f>
        <v>2.231707317073171E-2</v>
      </c>
    </row>
    <row r="42" spans="1:10" x14ac:dyDescent="0.5">
      <c r="A42" s="109" t="s">
        <v>30</v>
      </c>
      <c r="B42" s="140" t="e">
        <v>#N/A</v>
      </c>
      <c r="C42" s="111" t="e">
        <v>#N/A</v>
      </c>
      <c r="D42" s="111" t="e">
        <v>#N/A</v>
      </c>
      <c r="E42" s="111" t="e">
        <f t="shared" si="0"/>
        <v>#N/A</v>
      </c>
      <c r="F42" s="111" t="e">
        <v>#N/A</v>
      </c>
      <c r="G42" s="111" t="e">
        <f t="shared" si="1"/>
        <v>#N/A</v>
      </c>
      <c r="H42" s="111" t="e">
        <v>#N/A</v>
      </c>
      <c r="I42" s="111"/>
      <c r="J42" s="123"/>
    </row>
    <row r="43" spans="1:10" x14ac:dyDescent="0.5">
      <c r="A43" s="109" t="s">
        <v>26</v>
      </c>
      <c r="B43" s="111" t="s">
        <v>269</v>
      </c>
      <c r="C43" s="111">
        <v>80</v>
      </c>
      <c r="D43" s="111">
        <v>606</v>
      </c>
      <c r="E43" s="111">
        <f t="shared" si="0"/>
        <v>1122.3120000000001</v>
      </c>
      <c r="F43" s="111">
        <v>967</v>
      </c>
      <c r="G43" s="111">
        <f t="shared" si="1"/>
        <v>3660.493195128</v>
      </c>
      <c r="H43" s="111">
        <v>0</v>
      </c>
      <c r="I43" s="111"/>
      <c r="J43" s="123">
        <f>((((G43/1000)*810)/E43)/C43)</f>
        <v>3.3023342529235181E-2</v>
      </c>
    </row>
    <row r="44" spans="1:10" x14ac:dyDescent="0.5">
      <c r="A44" s="109" t="s">
        <v>25</v>
      </c>
      <c r="B44" s="140" t="s">
        <v>269</v>
      </c>
      <c r="C44" s="111">
        <v>88</v>
      </c>
      <c r="D44" s="111">
        <v>675</v>
      </c>
      <c r="E44" s="111">
        <f t="shared" si="0"/>
        <v>1250.1000000000001</v>
      </c>
      <c r="F44" s="111">
        <v>1136</v>
      </c>
      <c r="G44" s="111">
        <f t="shared" si="1"/>
        <v>4300.2277866240001</v>
      </c>
      <c r="H44" s="111">
        <v>0</v>
      </c>
      <c r="I44" s="111"/>
      <c r="J44" s="123">
        <f t="shared" ref="J44:J46" si="8">((((G44/1000)*810)/E44)/C44)</f>
        <v>3.1662780679049679E-2</v>
      </c>
    </row>
    <row r="45" spans="1:10" x14ac:dyDescent="0.5">
      <c r="A45" s="109" t="s">
        <v>23</v>
      </c>
      <c r="B45" s="140" t="s">
        <v>269</v>
      </c>
      <c r="C45" s="111">
        <v>114</v>
      </c>
      <c r="D45" s="111">
        <v>607</v>
      </c>
      <c r="E45" s="111">
        <f t="shared" si="0"/>
        <v>1124.164</v>
      </c>
      <c r="F45" s="111">
        <v>1196</v>
      </c>
      <c r="G45" s="111">
        <f t="shared" si="1"/>
        <v>4527.3524936639997</v>
      </c>
      <c r="H45" s="111">
        <v>0</v>
      </c>
      <c r="I45" s="111"/>
      <c r="J45" s="123">
        <f t="shared" si="8"/>
        <v>2.8615069399156777E-2</v>
      </c>
    </row>
    <row r="46" spans="1:10" x14ac:dyDescent="0.5">
      <c r="A46" s="109" t="s">
        <v>19</v>
      </c>
      <c r="B46" s="140" t="s">
        <v>269</v>
      </c>
      <c r="C46" s="111">
        <v>122</v>
      </c>
      <c r="D46" s="111">
        <v>607</v>
      </c>
      <c r="E46" s="111">
        <f t="shared" si="0"/>
        <v>1124.164</v>
      </c>
      <c r="F46" s="111">
        <v>1186</v>
      </c>
      <c r="G46" s="111">
        <f t="shared" si="1"/>
        <v>4489.4983758239996</v>
      </c>
      <c r="H46" s="111">
        <v>0</v>
      </c>
      <c r="I46" s="111"/>
      <c r="J46" s="123">
        <f t="shared" si="8"/>
        <v>2.6515103919099139E-2</v>
      </c>
    </row>
    <row r="47" spans="1:10" x14ac:dyDescent="0.5">
      <c r="A47" s="109" t="s">
        <v>17</v>
      </c>
      <c r="B47" s="140" t="s">
        <v>252</v>
      </c>
      <c r="C47" s="111">
        <v>132</v>
      </c>
      <c r="D47" s="111">
        <v>600</v>
      </c>
      <c r="E47" s="111">
        <f t="shared" si="0"/>
        <v>1111.2</v>
      </c>
      <c r="F47" s="111" t="e">
        <v>#N/A</v>
      </c>
      <c r="G47" s="111" t="e">
        <f t="shared" si="1"/>
        <v>#N/A</v>
      </c>
      <c r="H47" s="111" t="e">
        <v>#N/A</v>
      </c>
      <c r="I47" s="111">
        <v>3.07</v>
      </c>
      <c r="J47" s="123">
        <f>I47/C47</f>
        <v>2.3257575757575755E-2</v>
      </c>
    </row>
    <row r="48" spans="1:10" x14ac:dyDescent="0.5">
      <c r="A48" s="109" t="s">
        <v>15</v>
      </c>
      <c r="B48" s="140" t="s">
        <v>270</v>
      </c>
      <c r="C48" s="111">
        <v>30</v>
      </c>
      <c r="D48" s="111">
        <v>400</v>
      </c>
      <c r="E48" s="111">
        <f t="shared" si="0"/>
        <v>740.80000000000007</v>
      </c>
      <c r="F48" s="111">
        <v>0</v>
      </c>
      <c r="G48" s="111">
        <f t="shared" si="1"/>
        <v>0</v>
      </c>
      <c r="H48" s="111">
        <v>22.9</v>
      </c>
      <c r="I48" s="111"/>
      <c r="J48" s="123">
        <f>H48/E48</f>
        <v>3.0912526997840167E-2</v>
      </c>
    </row>
    <row r="49" spans="1:10" x14ac:dyDescent="0.5">
      <c r="A49" s="109" t="s">
        <v>11</v>
      </c>
      <c r="B49" s="140" t="s">
        <v>271</v>
      </c>
      <c r="C49" s="111">
        <v>50</v>
      </c>
      <c r="D49" s="111">
        <v>598</v>
      </c>
      <c r="E49" s="111">
        <f t="shared" si="0"/>
        <v>1107.4960000000001</v>
      </c>
      <c r="F49" s="111">
        <v>564</v>
      </c>
      <c r="G49" s="111">
        <f t="shared" si="1"/>
        <v>2134.9722461759998</v>
      </c>
      <c r="H49" s="111">
        <v>0</v>
      </c>
      <c r="I49" s="111"/>
      <c r="J49" s="123">
        <f>((((G49/1000)*810)/E49)/C49)</f>
        <v>3.1229503662361938E-2</v>
      </c>
    </row>
    <row r="50" spans="1:10" x14ac:dyDescent="0.5">
      <c r="A50" s="109" t="s">
        <v>9</v>
      </c>
      <c r="B50" s="140" t="s">
        <v>261</v>
      </c>
      <c r="C50" s="111" t="s">
        <v>164</v>
      </c>
      <c r="D50" s="111" t="s">
        <v>164</v>
      </c>
      <c r="E50" s="111" t="e">
        <f t="shared" si="0"/>
        <v>#VALUE!</v>
      </c>
      <c r="F50" s="111" t="s">
        <v>164</v>
      </c>
      <c r="G50" s="111" t="e">
        <f t="shared" si="1"/>
        <v>#VALUE!</v>
      </c>
      <c r="H50" s="111" t="s">
        <v>164</v>
      </c>
      <c r="I50" s="111"/>
      <c r="J50" s="123"/>
    </row>
    <row r="51" spans="1:10" x14ac:dyDescent="0.5">
      <c r="A51" s="109" t="s">
        <v>4</v>
      </c>
      <c r="B51" s="140" t="s">
        <v>272</v>
      </c>
      <c r="C51" s="111">
        <v>32</v>
      </c>
      <c r="D51" s="111">
        <v>500</v>
      </c>
      <c r="E51" s="111">
        <f t="shared" si="0"/>
        <v>926</v>
      </c>
      <c r="F51" s="111">
        <v>0</v>
      </c>
      <c r="G51" s="111">
        <f t="shared" si="1"/>
        <v>0</v>
      </c>
      <c r="H51" s="111">
        <v>27.6</v>
      </c>
      <c r="I51" s="111"/>
      <c r="J51" s="123">
        <f>H51/E51</f>
        <v>2.9805615550755941E-2</v>
      </c>
    </row>
    <row r="52" spans="1:10" x14ac:dyDescent="0.5">
      <c r="A52" s="109" t="s">
        <v>2</v>
      </c>
      <c r="B52" s="111" t="s">
        <v>253</v>
      </c>
      <c r="C52" s="111">
        <v>98</v>
      </c>
      <c r="D52" s="111">
        <v>500</v>
      </c>
      <c r="E52" s="111">
        <f t="shared" si="0"/>
        <v>926</v>
      </c>
      <c r="F52" s="111" t="s">
        <v>164</v>
      </c>
      <c r="G52" s="111" t="e">
        <f t="shared" si="1"/>
        <v>#VALUE!</v>
      </c>
      <c r="H52" s="111" t="s">
        <v>164</v>
      </c>
      <c r="I52" s="111">
        <v>2.81</v>
      </c>
      <c r="J52" s="123">
        <f>I52/C52</f>
        <v>2.8673469387755102E-2</v>
      </c>
    </row>
  </sheetData>
  <autoFilter ref="A1:J52" xr:uid="{6C1B34EC-5EA6-3046-98CC-E5EEEAF5B774}"/>
  <mergeCells count="10">
    <mergeCell ref="G1:G2"/>
    <mergeCell ref="H1:H2"/>
    <mergeCell ref="J1:J2"/>
    <mergeCell ref="I1:I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1B8C-76B2-2140-9C81-B569E95964C7}">
  <dimension ref="A2:BK88"/>
  <sheetViews>
    <sheetView zoomScale="41" workbookViewId="0">
      <selection activeCell="H25" sqref="H25"/>
    </sheetView>
  </sheetViews>
  <sheetFormatPr baseColWidth="10" defaultRowHeight="15.75" x14ac:dyDescent="0.5"/>
  <cols>
    <col min="1" max="1" width="28.3125" customWidth="1"/>
    <col min="2" max="2" width="29.1875" customWidth="1"/>
    <col min="4" max="4" width="29.1875" customWidth="1"/>
    <col min="5" max="5" width="35.5" customWidth="1"/>
    <col min="7" max="7" width="29" customWidth="1"/>
    <col min="8" max="8" width="27" customWidth="1"/>
    <col min="10" max="10" width="27.3125" customWidth="1"/>
    <col min="11" max="11" width="40.5" customWidth="1"/>
    <col min="13" max="13" width="29.5" customWidth="1"/>
    <col min="14" max="14" width="28.6875" customWidth="1"/>
    <col min="16" max="16" width="29.8125" customWidth="1"/>
    <col min="17" max="17" width="31" customWidth="1"/>
    <col min="19" max="19" width="36.6875" customWidth="1"/>
    <col min="20" max="20" width="39.1875" customWidth="1"/>
    <col min="22" max="22" width="28.5" customWidth="1"/>
    <col min="23" max="23" width="31" customWidth="1"/>
    <col min="24" max="24" width="7.8125" customWidth="1"/>
    <col min="25" max="25" width="31.5" customWidth="1"/>
    <col min="26" max="26" width="38.6875" customWidth="1"/>
    <col min="28" max="28" width="34" customWidth="1"/>
    <col min="29" max="29" width="30.3125" customWidth="1"/>
    <col min="31" max="31" width="30" customWidth="1"/>
    <col min="32" max="32" width="33.6875" customWidth="1"/>
    <col min="34" max="34" width="25.3125" customWidth="1"/>
    <col min="35" max="35" width="21.6875" customWidth="1"/>
    <col min="37" max="37" width="19.5" customWidth="1"/>
    <col min="38" max="38" width="18.6875" customWidth="1"/>
    <col min="40" max="41" width="19.1875" customWidth="1"/>
    <col min="43" max="43" width="21.5" customWidth="1"/>
    <col min="44" max="44" width="17.1875" customWidth="1"/>
    <col min="46" max="46" width="27.1875" customWidth="1"/>
    <col min="47" max="47" width="38.6875" customWidth="1"/>
    <col min="49" max="49" width="31.5" customWidth="1"/>
    <col min="50" max="50" width="36" customWidth="1"/>
    <col min="52" max="52" width="26.5" customWidth="1"/>
    <col min="53" max="53" width="34.5" customWidth="1"/>
    <col min="55" max="55" width="43.6875" customWidth="1"/>
    <col min="56" max="56" width="30.8125" customWidth="1"/>
    <col min="58" max="58" width="39" customWidth="1"/>
    <col min="59" max="59" width="30.1875" customWidth="1"/>
    <col min="61" max="61" width="29.3125" customWidth="1"/>
    <col min="62" max="62" width="33.6875" customWidth="1"/>
  </cols>
  <sheetData>
    <row r="2" spans="1:63" ht="16.149999999999999" thickBot="1" x14ac:dyDescent="0.55000000000000004"/>
    <row r="3" spans="1:63" ht="16.05" customHeight="1" x14ac:dyDescent="0.5">
      <c r="A3" s="148" t="s">
        <v>300</v>
      </c>
      <c r="B3" s="148" t="s">
        <v>298</v>
      </c>
      <c r="D3" s="148" t="s">
        <v>300</v>
      </c>
      <c r="E3" s="148" t="s">
        <v>299</v>
      </c>
      <c r="G3" s="148" t="s">
        <v>300</v>
      </c>
      <c r="H3" s="149" t="s">
        <v>301</v>
      </c>
      <c r="J3" s="148" t="s">
        <v>300</v>
      </c>
      <c r="K3" s="148" t="s">
        <v>302</v>
      </c>
      <c r="M3" s="148" t="s">
        <v>300</v>
      </c>
      <c r="N3" s="148" t="s">
        <v>303</v>
      </c>
      <c r="P3" s="148" t="s">
        <v>300</v>
      </c>
      <c r="Q3" s="148" t="s">
        <v>304</v>
      </c>
      <c r="S3" s="148" t="s">
        <v>298</v>
      </c>
      <c r="T3" s="148" t="s">
        <v>299</v>
      </c>
      <c r="V3" s="148" t="s">
        <v>298</v>
      </c>
      <c r="W3" s="149" t="s">
        <v>301</v>
      </c>
      <c r="Y3" s="148" t="s">
        <v>298</v>
      </c>
      <c r="Z3" s="148" t="s">
        <v>302</v>
      </c>
      <c r="AB3" s="148" t="s">
        <v>298</v>
      </c>
      <c r="AC3" s="148" t="s">
        <v>303</v>
      </c>
      <c r="AE3" s="148" t="s">
        <v>298</v>
      </c>
      <c r="AF3" s="148" t="s">
        <v>304</v>
      </c>
      <c r="AH3" s="148" t="s">
        <v>299</v>
      </c>
      <c r="AI3" s="149" t="s">
        <v>301</v>
      </c>
      <c r="AK3" s="148" t="s">
        <v>299</v>
      </c>
      <c r="AL3" s="148" t="s">
        <v>302</v>
      </c>
      <c r="AN3" s="148" t="s">
        <v>299</v>
      </c>
      <c r="AO3" s="148" t="s">
        <v>303</v>
      </c>
      <c r="AQ3" s="148" t="s">
        <v>299</v>
      </c>
      <c r="AR3" s="148" t="s">
        <v>304</v>
      </c>
      <c r="AT3" s="149" t="s">
        <v>301</v>
      </c>
      <c r="AU3" s="148" t="s">
        <v>302</v>
      </c>
      <c r="AW3" s="149" t="s">
        <v>301</v>
      </c>
      <c r="AX3" s="148" t="s">
        <v>303</v>
      </c>
      <c r="AZ3" s="149" t="s">
        <v>301</v>
      </c>
      <c r="BA3" s="148" t="s">
        <v>304</v>
      </c>
      <c r="BC3" s="148" t="s">
        <v>302</v>
      </c>
      <c r="BD3" s="148" t="s">
        <v>303</v>
      </c>
      <c r="BF3" s="148" t="s">
        <v>302</v>
      </c>
      <c r="BG3" s="148" t="s">
        <v>304</v>
      </c>
      <c r="BI3" s="148" t="s">
        <v>303</v>
      </c>
      <c r="BJ3" s="148" t="s">
        <v>304</v>
      </c>
    </row>
    <row r="4" spans="1:63" ht="16.149999999999999" thickBot="1" x14ac:dyDescent="0.55000000000000004">
      <c r="A4" s="153"/>
      <c r="B4" s="153"/>
      <c r="D4" s="153"/>
      <c r="E4" s="153"/>
      <c r="G4" s="153"/>
      <c r="H4" s="153"/>
      <c r="J4" s="153"/>
      <c r="K4" s="153"/>
      <c r="M4" s="153"/>
      <c r="N4" s="153"/>
      <c r="P4" s="153"/>
      <c r="Q4" s="153"/>
      <c r="S4" s="153"/>
      <c r="T4" s="153"/>
      <c r="V4" s="153"/>
      <c r="W4" s="153"/>
      <c r="Y4" s="153"/>
      <c r="Z4" s="153"/>
      <c r="AB4" s="153"/>
      <c r="AC4" s="153"/>
      <c r="AE4" s="153"/>
      <c r="AF4" s="153"/>
      <c r="AH4" s="153"/>
      <c r="AI4" s="153"/>
      <c r="AK4" s="153"/>
      <c r="AL4" s="153"/>
      <c r="AN4" s="153"/>
      <c r="AO4" s="153"/>
      <c r="AQ4" s="153"/>
      <c r="AR4" s="153"/>
      <c r="AT4" s="153"/>
      <c r="AU4" s="153"/>
      <c r="AW4" s="153"/>
      <c r="AX4" s="153"/>
      <c r="AZ4" s="153"/>
      <c r="BA4" s="153"/>
      <c r="BC4" s="153"/>
      <c r="BD4" s="153"/>
      <c r="BF4" s="153"/>
      <c r="BG4" s="153"/>
      <c r="BI4" s="153"/>
      <c r="BJ4" s="153"/>
    </row>
    <row r="5" spans="1:63" x14ac:dyDescent="0.5">
      <c r="A5" s="114">
        <v>1.4973628691983123E-2</v>
      </c>
      <c r="B5" s="114">
        <v>2.1225701943844488E-2</v>
      </c>
      <c r="C5" s="114">
        <f>ABS(A5-B5)/A5</f>
        <v>0.41753895334727542</v>
      </c>
      <c r="D5" s="114">
        <f>Overview!B4</f>
        <v>1.7155601303825697E-2</v>
      </c>
      <c r="E5" s="114">
        <f>Overview!E4</f>
        <v>2.1596015602333905E-2</v>
      </c>
      <c r="F5" s="114">
        <f>ABS(D5-E5)/D5</f>
        <v>0.25883174946004345</v>
      </c>
      <c r="G5" s="114">
        <f>Overview!B5</f>
        <v>1.8335862417804754E-2</v>
      </c>
      <c r="H5" s="114">
        <f>Overview!F5</f>
        <v>1.9310691354613139E-2</v>
      </c>
      <c r="I5" s="114">
        <f>ABS(G5-H5)/G5</f>
        <v>5.3165153326073848E-2</v>
      </c>
      <c r="J5" s="114">
        <f>Overview!B3</f>
        <v>1.4973628691983123E-2</v>
      </c>
      <c r="K5" s="114">
        <f>Overview!G3</f>
        <v>1.4454743795292326E-2</v>
      </c>
      <c r="L5" s="114">
        <f>ABS(J5-K5)/J5</f>
        <v>3.4653249881146569E-2</v>
      </c>
      <c r="M5" s="114">
        <f>Overview!B3</f>
        <v>1.4973628691983123E-2</v>
      </c>
      <c r="N5" s="114">
        <f>Overview!H3</f>
        <v>1.9E-2</v>
      </c>
      <c r="O5" s="114">
        <f>ABS(M5-N5)/M5</f>
        <v>0.26889749911940819</v>
      </c>
      <c r="P5" s="114">
        <f>Overview!B3</f>
        <v>1.4973628691983123E-2</v>
      </c>
      <c r="Q5" s="114">
        <f>Overview!D3</f>
        <v>1.8266666666666667E-2</v>
      </c>
      <c r="R5" s="114">
        <f>ABS(P5-Q5)/P5</f>
        <v>0.21992250792532581</v>
      </c>
      <c r="S5" s="114">
        <f>Overview!C4</f>
        <v>2.7400793011185975E-2</v>
      </c>
      <c r="T5" s="114">
        <f>Overview!E4</f>
        <v>2.1596015602333905E-2</v>
      </c>
      <c r="U5" s="114">
        <f>ABS(S5-T5)/S5</f>
        <v>0.21184705882352947</v>
      </c>
      <c r="V5" s="114">
        <f>Overview!C5</f>
        <v>2.6618581487205903E-2</v>
      </c>
      <c r="W5" s="114">
        <f>Overview!F5</f>
        <v>1.9310691354613139E-2</v>
      </c>
      <c r="X5" s="114">
        <f>ABS(V5-W5)/V5</f>
        <v>0.274540930594114</v>
      </c>
      <c r="Y5" s="114">
        <f>Overview!C3</f>
        <v>2.1225701943844488E-2</v>
      </c>
      <c r="Z5" s="114">
        <f>Overview!G3</f>
        <v>1.4454743795292326E-2</v>
      </c>
      <c r="AA5" s="114">
        <f>ABS(Y5-Z5)/Y5</f>
        <v>0.31899807914318512</v>
      </c>
      <c r="AB5" s="114">
        <f>Overview!C3</f>
        <v>2.1225701943844488E-2</v>
      </c>
      <c r="AC5" s="114">
        <f>Overview!H3</f>
        <v>1.9E-2</v>
      </c>
      <c r="AD5" s="114">
        <f>ABS(AB5-AC5)/AB5</f>
        <v>0.10485881455100468</v>
      </c>
      <c r="AE5" s="114">
        <f>Overview!C3</f>
        <v>2.1225701943844488E-2</v>
      </c>
      <c r="AF5" s="114">
        <f>Overview!D3</f>
        <v>1.8266666666666667E-2</v>
      </c>
      <c r="AG5" s="114">
        <f>ABS(AE5-AF5)/AE5</f>
        <v>0.13940812346307113</v>
      </c>
      <c r="AH5" s="114">
        <f>Overview!E5</f>
        <v>2.1738279237506441E-2</v>
      </c>
      <c r="AI5" s="114">
        <f>Overview!F5</f>
        <v>1.9310691354613139E-2</v>
      </c>
      <c r="AJ5" s="114">
        <f>ABS(AH5-AI5)/AH5</f>
        <v>0.11167341519400624</v>
      </c>
      <c r="AK5" s="114">
        <f>Overview!E4</f>
        <v>2.1596015602333905E-2</v>
      </c>
      <c r="AL5" s="114">
        <f>Overview!G4</f>
        <v>2.0842312585967006E-2</v>
      </c>
      <c r="AM5" s="114">
        <f>ABS(AK5-AL5)/AK5</f>
        <v>3.490009593646734E-2</v>
      </c>
      <c r="AN5" s="114">
        <f>Overview!E4</f>
        <v>2.1596015602333905E-2</v>
      </c>
      <c r="AO5" s="114">
        <f>Overview!H4</f>
        <v>2.3912834987313801E-2</v>
      </c>
      <c r="AP5" s="114">
        <f>ABS(AN5-AO5)/AN5</f>
        <v>0.10727994587712351</v>
      </c>
      <c r="AQ5" s="114">
        <f>Overview!E4</f>
        <v>2.1596015602333905E-2</v>
      </c>
      <c r="AR5" s="114">
        <f>Overview!D4</f>
        <v>2.2388059701492536E-2</v>
      </c>
      <c r="AS5" s="114">
        <f>ABS(AQ5-AR5)/AQ5</f>
        <v>3.6675473556938641E-2</v>
      </c>
      <c r="AT5" s="114">
        <f>Overview!F5</f>
        <v>1.9310691354613139E-2</v>
      </c>
      <c r="AU5" s="114">
        <f>Overview!G5</f>
        <v>1.9808164212606581E-2</v>
      </c>
      <c r="AV5" s="114">
        <f>ABS(AT5-AU5)/AT5</f>
        <v>2.5761524994525945E-2</v>
      </c>
      <c r="AW5" s="114">
        <f>Overview!F5</f>
        <v>1.9310691354613139E-2</v>
      </c>
      <c r="AX5" s="114">
        <f>Overview!H5</f>
        <v>2.11365784332311E-2</v>
      </c>
      <c r="AY5" s="114">
        <f>ABS(AW5-AX5)/AW5</f>
        <v>9.4553169800509193E-2</v>
      </c>
      <c r="AZ5" s="114">
        <f>Overview!F5</f>
        <v>1.9310691354613139E-2</v>
      </c>
      <c r="BA5" s="114">
        <f>Overview!D5</f>
        <v>2.0933333333333335E-2</v>
      </c>
      <c r="BB5" s="114">
        <f>ABS(AZ5-BA5)/AZ5</f>
        <v>8.4028165999999918E-2</v>
      </c>
      <c r="BC5" s="114">
        <f>Overview!G3</f>
        <v>1.4454743795292326E-2</v>
      </c>
      <c r="BD5" s="114">
        <f>Overview!H3</f>
        <v>1.9E-2</v>
      </c>
      <c r="BE5" s="114">
        <f>ABS(BC5-BD5)/BC5</f>
        <v>0.31444737236975379</v>
      </c>
      <c r="BF5" s="114">
        <f>Overview!G3</f>
        <v>1.4454743795292326E-2</v>
      </c>
      <c r="BG5" s="114">
        <f>Overview!D3</f>
        <v>1.8266666666666667E-2</v>
      </c>
      <c r="BH5" s="114">
        <f>ABS(BF5-BG5)/BF5</f>
        <v>0.26371431589232475</v>
      </c>
      <c r="BI5" s="114">
        <f>Overview!H3</f>
        <v>1.9E-2</v>
      </c>
      <c r="BJ5" s="114">
        <f>Overview!D3</f>
        <v>1.8266666666666667E-2</v>
      </c>
      <c r="BK5" s="114">
        <f>ABS(BI5-BJ5)/BI5</f>
        <v>3.8596491228070129E-2</v>
      </c>
    </row>
    <row r="6" spans="1:63" ht="17" customHeight="1" x14ac:dyDescent="0.5">
      <c r="A6" s="114">
        <v>1.7155601303825697E-2</v>
      </c>
      <c r="B6" s="114">
        <v>2.7400793011185975E-2</v>
      </c>
      <c r="C6" s="114">
        <f t="shared" ref="C6:C54" si="0">ABS(A6-B6)/A6</f>
        <v>0.5971922246220307</v>
      </c>
      <c r="D6" s="114">
        <f>Overview!B5</f>
        <v>1.8335862417804754E-2</v>
      </c>
      <c r="E6" s="114">
        <f>Overview!E5</f>
        <v>2.1738279237506441E-2</v>
      </c>
      <c r="F6" s="114">
        <f t="shared" ref="F6:F40" si="1">ABS(D6-E6)/D6</f>
        <v>0.18556077386345476</v>
      </c>
      <c r="G6" s="114">
        <f>Overview!B9</f>
        <v>2.0380980712360799E-2</v>
      </c>
      <c r="H6" s="114">
        <f>Overview!F9</f>
        <v>2.5004961622810521E-2</v>
      </c>
      <c r="I6" s="114">
        <f t="shared" ref="I6:I23" si="2">ABS(G6-H6)/G6</f>
        <v>0.22687725265572417</v>
      </c>
      <c r="J6" s="114">
        <f>Overview!B4</f>
        <v>1.7155601303825697E-2</v>
      </c>
      <c r="K6" s="114">
        <f>Overview!G4</f>
        <v>2.0842312585967006E-2</v>
      </c>
      <c r="L6" s="114">
        <f t="shared" ref="L6:L45" si="3">ABS(J6-K6)/J6</f>
        <v>0.21489840063601692</v>
      </c>
      <c r="M6" s="114">
        <f>Overview!B4</f>
        <v>1.7155601303825697E-2</v>
      </c>
      <c r="N6" s="114">
        <f>Overview!H4</f>
        <v>2.3912834987313801E-2</v>
      </c>
      <c r="O6" s="114">
        <f t="shared" ref="O6:O46" si="4">ABS(M6-N6)/M6</f>
        <v>0.39387915141052166</v>
      </c>
      <c r="P6" s="114">
        <f>Overview!B4</f>
        <v>1.7155601303825697E-2</v>
      </c>
      <c r="Q6" s="114">
        <f>Overview!D4</f>
        <v>2.2388059701492536E-2</v>
      </c>
      <c r="R6" s="114">
        <f t="shared" ref="R6:R53" si="5">ABS(P6-Q6)/P6</f>
        <v>0.3050000000000001</v>
      </c>
      <c r="S6" s="114">
        <f>Overview!C5</f>
        <v>2.6618581487205903E-2</v>
      </c>
      <c r="T6" s="114">
        <f>Overview!E5</f>
        <v>2.1738279237506441E-2</v>
      </c>
      <c r="U6" s="114">
        <f>ABS(S6-T6)/S6</f>
        <v>0.18334193548387079</v>
      </c>
      <c r="V6" s="114">
        <f>Overview!C9</f>
        <v>3.409633350760348E-2</v>
      </c>
      <c r="W6" s="114">
        <f>Overview!F9</f>
        <v>2.5004961622810521E-2</v>
      </c>
      <c r="X6" s="114">
        <f t="shared" ref="X6:X23" si="6">ABS(V6-W6)/V6</f>
        <v>0.26663781555179777</v>
      </c>
      <c r="Y6" s="114">
        <f>Overview!C4</f>
        <v>2.7400793011185975E-2</v>
      </c>
      <c r="Z6" s="114">
        <f>Overview!G4</f>
        <v>2.0842312585967006E-2</v>
      </c>
      <c r="AA6" s="114">
        <f t="shared" ref="AA6:AA45" si="7">ABS(Y6-Z6)/Y6</f>
        <v>0.23935367208319722</v>
      </c>
      <c r="AB6" s="114">
        <f>Overview!C4</f>
        <v>2.7400793011185975E-2</v>
      </c>
      <c r="AC6" s="114">
        <f>Overview!H4</f>
        <v>2.3912834987313801E-2</v>
      </c>
      <c r="AD6" s="114">
        <f t="shared" ref="AD6:AD46" si="8">ABS(AB6-AC6)/AB6</f>
        <v>0.12729405395122201</v>
      </c>
      <c r="AE6" s="114">
        <f>Overview!C4</f>
        <v>2.7400793011185975E-2</v>
      </c>
      <c r="AF6" s="114">
        <f>Overview!D4</f>
        <v>2.2388059701492536E-2</v>
      </c>
      <c r="AG6" s="114">
        <f t="shared" ref="AG6:AG43" si="9">ABS(AE6-AF6)/AE6</f>
        <v>0.18294117647058841</v>
      </c>
      <c r="AH6" s="114">
        <f>Overview!E9</f>
        <v>2.7488558785867451E-2</v>
      </c>
      <c r="AI6" s="114">
        <f>Overview!F9</f>
        <v>2.5004961622810521E-2</v>
      </c>
      <c r="AJ6" s="114">
        <f t="shared" ref="AJ6:AJ20" si="10">ABS(AH6-AI6)/AH6</f>
        <v>9.0350213789084075E-2</v>
      </c>
      <c r="AK6" s="114">
        <f>Overview!E5</f>
        <v>2.1738279237506441E-2</v>
      </c>
      <c r="AL6" s="114">
        <f>Overview!G5</f>
        <v>1.9808164212606581E-2</v>
      </c>
      <c r="AM6" s="114">
        <f t="shared" ref="AM6:AM37" si="11">ABS(AK6-AL6)/AK6</f>
        <v>8.8788767676224747E-2</v>
      </c>
      <c r="AN6" s="114">
        <f>Overview!E5</f>
        <v>2.1738279237506441E-2</v>
      </c>
      <c r="AO6" s="114">
        <f>Overview!H5</f>
        <v>2.11365784332311E-2</v>
      </c>
      <c r="AP6" s="114">
        <f t="shared" ref="AP6:AP35" si="12">ABS(AN6-AO6)/AN6</f>
        <v>2.767932078253867E-2</v>
      </c>
      <c r="AQ6" s="114">
        <f>Overview!E5</f>
        <v>2.1738279237506441E-2</v>
      </c>
      <c r="AR6" s="114">
        <f>Overview!D5</f>
        <v>2.0933333333333335E-2</v>
      </c>
      <c r="AS6" s="114">
        <f t="shared" ref="AS6:AS40" si="13">ABS(AQ6-AR6)/AQ6</f>
        <v>3.7028961463715176E-2</v>
      </c>
      <c r="AT6" s="114">
        <f>Overview!F9</f>
        <v>2.5004961622810521E-2</v>
      </c>
      <c r="AU6" s="114">
        <f>Overview!G9</f>
        <v>3.1136511210591595E-2</v>
      </c>
      <c r="AV6" s="114">
        <f t="shared" ref="AV6:AV16" si="14">ABS(AT6-AU6)/AT6</f>
        <v>0.2452133172717062</v>
      </c>
      <c r="AW6" s="114">
        <f>Overview!F9</f>
        <v>2.5004961622810521E-2</v>
      </c>
      <c r="AX6" s="114">
        <f>Overview!H9</f>
        <v>3.1099999999999999E-2</v>
      </c>
      <c r="AY6" s="114">
        <f t="shared" ref="AY6:AY17" si="15">ABS(AW6-AX6)/AW6</f>
        <v>0.24375315863829766</v>
      </c>
      <c r="AZ6" s="114">
        <f>Overview!F9</f>
        <v>2.5004961622810521E-2</v>
      </c>
      <c r="BA6" s="114">
        <f>Overview!D9</f>
        <v>3.0121951219512194E-2</v>
      </c>
      <c r="BB6" s="114">
        <f t="shared" ref="BB6:BB23" si="16">ABS(AZ6-BA6)/AZ6</f>
        <v>0.20463897021276575</v>
      </c>
      <c r="BC6" s="114">
        <f>Overview!G4</f>
        <v>2.0842312585967006E-2</v>
      </c>
      <c r="BD6" s="114">
        <f>Overview!H4</f>
        <v>2.3912834987313801E-2</v>
      </c>
      <c r="BE6" s="114">
        <f t="shared" ref="BE6:BE40" si="17">ABS(BC6-BD6)/BC6</f>
        <v>0.1473215790561628</v>
      </c>
      <c r="BF6" s="114">
        <f>Overview!G4</f>
        <v>2.0842312585967006E-2</v>
      </c>
      <c r="BG6" s="114">
        <f>Overview!D4</f>
        <v>2.2388059701492536E-2</v>
      </c>
      <c r="BH6" s="114">
        <f t="shared" ref="BH6:BH45" si="18">ABS(BF6-BG6)/BF6</f>
        <v>7.4163896599759846E-2</v>
      </c>
      <c r="BI6" s="114">
        <f>Overview!H4</f>
        <v>2.3912834987313801E-2</v>
      </c>
      <c r="BJ6" s="114">
        <f>Overview!D4</f>
        <v>2.2388059701492536E-2</v>
      </c>
      <c r="BK6" s="114">
        <f t="shared" ref="BK6:BK46" si="19">ABS(BI6-BJ6)/BI6</f>
        <v>6.3763886073323645E-2</v>
      </c>
    </row>
    <row r="7" spans="1:63" x14ac:dyDescent="0.5">
      <c r="A7" s="114">
        <v>1.8335862417804754E-2</v>
      </c>
      <c r="B7" s="114">
        <v>2.6618581487205903E-2</v>
      </c>
      <c r="C7" s="114">
        <f t="shared" si="0"/>
        <v>0.45172236138499511</v>
      </c>
      <c r="D7" s="114">
        <f>Overview!B7</f>
        <v>1.7757516552697274E-2</v>
      </c>
      <c r="E7" s="114">
        <f>Overview!E7</f>
        <v>2.1769100060915009E-2</v>
      </c>
      <c r="F7" s="114">
        <f t="shared" si="1"/>
        <v>0.22590903949394858</v>
      </c>
      <c r="G7" s="114">
        <f>Overview!B10</f>
        <v>1.502087832973362E-2</v>
      </c>
      <c r="H7" s="114">
        <f>Overview!F10</f>
        <v>2.0504068530704626E-2</v>
      </c>
      <c r="I7" s="114">
        <f t="shared" si="2"/>
        <v>0.36503792125904561</v>
      </c>
      <c r="J7" s="114">
        <f>Overview!B5</f>
        <v>1.8335862417804754E-2</v>
      </c>
      <c r="K7" s="114">
        <f>Overview!G5</f>
        <v>1.9808164212606581E-2</v>
      </c>
      <c r="L7" s="114">
        <f t="shared" si="3"/>
        <v>8.0296293746847242E-2</v>
      </c>
      <c r="M7" s="114">
        <f>Overview!B5</f>
        <v>1.8335862417804754E-2</v>
      </c>
      <c r="N7" s="114">
        <f>Overview!H5</f>
        <v>2.11365784332311E-2</v>
      </c>
      <c r="O7" s="114">
        <f t="shared" si="4"/>
        <v>0.1527452568964934</v>
      </c>
      <c r="P7" s="114">
        <f>Overview!B5</f>
        <v>1.8335862417804754E-2</v>
      </c>
      <c r="Q7" s="114">
        <f>Overview!D5</f>
        <v>2.0933333333333335E-2</v>
      </c>
      <c r="R7" s="114">
        <f t="shared" si="5"/>
        <v>0.14166068965517256</v>
      </c>
      <c r="S7" s="114">
        <f>Overview!C7</f>
        <v>2.0134013016575303E-2</v>
      </c>
      <c r="T7" s="114">
        <f>Overview!E7</f>
        <v>2.1769100060915009E-2</v>
      </c>
      <c r="U7" s="114">
        <f t="shared" ref="U7:U32" si="20">ABS(S7-T7)/S7</f>
        <v>8.1210191082802141E-2</v>
      </c>
      <c r="V7" s="114">
        <f>Overview!C10</f>
        <v>2.8917950710000428E-2</v>
      </c>
      <c r="W7" s="114">
        <f>Overview!F10</f>
        <v>2.0504068530704626E-2</v>
      </c>
      <c r="X7" s="114">
        <f t="shared" si="6"/>
        <v>0.29095706897329021</v>
      </c>
      <c r="Y7" s="114">
        <f>Overview!C5</f>
        <v>2.6618581487205903E-2</v>
      </c>
      <c r="Z7" s="114">
        <f>Overview!G5</f>
        <v>1.9808164212606581E-2</v>
      </c>
      <c r="AA7" s="114">
        <f t="shared" si="7"/>
        <v>0.25585199864510877</v>
      </c>
      <c r="AB7" s="114">
        <f>Overview!C5</f>
        <v>2.6618581487205903E-2</v>
      </c>
      <c r="AC7" s="114">
        <f>Overview!H5</f>
        <v>2.11365784332311E-2</v>
      </c>
      <c r="AD7" s="114">
        <f t="shared" si="8"/>
        <v>0.2059464760212599</v>
      </c>
      <c r="AE7" s="114">
        <f>Overview!C5</f>
        <v>2.6618581487205903E-2</v>
      </c>
      <c r="AF7" s="114">
        <f>Overview!D5</f>
        <v>2.0933333333333335E-2</v>
      </c>
      <c r="AG7" s="114">
        <f t="shared" si="9"/>
        <v>0.21358193548387078</v>
      </c>
      <c r="AH7" s="114">
        <f>Overview!E10</f>
        <v>2.1721610773015668E-2</v>
      </c>
      <c r="AI7" s="114">
        <f>Overview!F10</f>
        <v>2.0504068530704626E-2</v>
      </c>
      <c r="AJ7" s="114">
        <f t="shared" si="10"/>
        <v>5.6052115795370491E-2</v>
      </c>
      <c r="AK7" s="114">
        <f>Overview!E7</f>
        <v>2.1769100060915009E-2</v>
      </c>
      <c r="AL7" s="114">
        <f>Overview!G7</f>
        <v>1.962226134258228E-2</v>
      </c>
      <c r="AM7" s="114">
        <f t="shared" si="11"/>
        <v>9.8618625130362472E-2</v>
      </c>
      <c r="AN7" s="114">
        <f>Overview!E7</f>
        <v>2.1769100060915009E-2</v>
      </c>
      <c r="AO7" s="114">
        <f>Overview!H7</f>
        <v>2.023519258185745E-2</v>
      </c>
      <c r="AP7" s="114">
        <f t="shared" si="12"/>
        <v>7.0462604093202222E-2</v>
      </c>
      <c r="AQ7" s="114">
        <f>Overview!E7</f>
        <v>2.1769100060915009E-2</v>
      </c>
      <c r="AR7" s="114">
        <f>Overview!D7</f>
        <v>1.6108108108108109E-2</v>
      </c>
      <c r="AS7" s="114">
        <f t="shared" si="13"/>
        <v>0.26004712812960235</v>
      </c>
      <c r="AT7" s="114">
        <f>Overview!F10</f>
        <v>2.0504068530704626E-2</v>
      </c>
      <c r="AU7" s="114">
        <f>Overview!G10</f>
        <v>2.6331405352900066E-2</v>
      </c>
      <c r="AV7" s="114">
        <f t="shared" si="14"/>
        <v>0.28420392828228525</v>
      </c>
      <c r="AW7" s="114">
        <f>Overview!F10</f>
        <v>2.0504068530704626E-2</v>
      </c>
      <c r="AX7" s="114">
        <f>Overview!H10</f>
        <v>2.98E-2</v>
      </c>
      <c r="AY7" s="114">
        <f t="shared" si="15"/>
        <v>0.45337009361702113</v>
      </c>
      <c r="AZ7" s="114">
        <f>Overview!F10</f>
        <v>2.0504068530704626E-2</v>
      </c>
      <c r="BA7" s="114">
        <f>Overview!D10</f>
        <v>2.5266666666666666E-2</v>
      </c>
      <c r="BB7" s="114">
        <f t="shared" si="16"/>
        <v>0.23227576170212755</v>
      </c>
      <c r="BC7" s="114">
        <f>Overview!G5</f>
        <v>1.9808164212606581E-2</v>
      </c>
      <c r="BD7" s="114">
        <f>Overview!H5</f>
        <v>2.11365784332311E-2</v>
      </c>
      <c r="BE7" s="114">
        <f t="shared" si="17"/>
        <v>6.7063974549396721E-2</v>
      </c>
      <c r="BF7" s="114">
        <f>Overview!G5</f>
        <v>1.9808164212606581E-2</v>
      </c>
      <c r="BG7" s="114">
        <f>Overview!D5</f>
        <v>2.0933333333333335E-2</v>
      </c>
      <c r="BH7" s="114">
        <f t="shared" si="18"/>
        <v>5.680330133827638E-2</v>
      </c>
      <c r="BI7" s="114">
        <f>Overview!H5</f>
        <v>2.11365784332311E-2</v>
      </c>
      <c r="BJ7" s="114">
        <f>Overview!D5</f>
        <v>2.0933333333333335E-2</v>
      </c>
      <c r="BK7" s="114">
        <f t="shared" si="19"/>
        <v>9.6157994795515855E-3</v>
      </c>
    </row>
    <row r="8" spans="1:63" ht="16.05" customHeight="1" x14ac:dyDescent="0.5">
      <c r="A8" s="114">
        <v>1.3905139814485087E-2</v>
      </c>
      <c r="B8" s="114">
        <v>2.1683263732733694E-2</v>
      </c>
      <c r="C8" s="114">
        <f t="shared" si="0"/>
        <v>0.55937042144272997</v>
      </c>
      <c r="D8" s="114">
        <f>Overview!B9</f>
        <v>2.0380980712360799E-2</v>
      </c>
      <c r="E8" s="114">
        <f>Overview!E9</f>
        <v>2.7488558785867451E-2</v>
      </c>
      <c r="F8" s="114">
        <f t="shared" si="1"/>
        <v>0.34873582256991187</v>
      </c>
      <c r="G8" s="114">
        <f>Overview!B13</f>
        <v>2.6129943502824857E-2</v>
      </c>
      <c r="H8" s="114">
        <f>Overview!F13</f>
        <v>1.5885416666666669E-2</v>
      </c>
      <c r="I8" s="114">
        <f t="shared" si="2"/>
        <v>0.39206081081081068</v>
      </c>
      <c r="J8" s="114">
        <f>Overview!B6</f>
        <v>1.3905139814485087E-2</v>
      </c>
      <c r="K8" s="114">
        <f>Overview!G6</f>
        <v>1.5173537318064468E-2</v>
      </c>
      <c r="L8" s="114">
        <f t="shared" si="3"/>
        <v>9.1217889248267861E-2</v>
      </c>
      <c r="M8" s="114">
        <f>Overview!B6</f>
        <v>1.3905139814485087E-2</v>
      </c>
      <c r="N8" s="114">
        <f>Overview!H6</f>
        <v>1.8194732838307477E-2</v>
      </c>
      <c r="O8" s="114">
        <f t="shared" si="4"/>
        <v>0.30848974415589037</v>
      </c>
      <c r="P8" s="114">
        <f>Overview!B6</f>
        <v>1.3905139814485087E-2</v>
      </c>
      <c r="Q8" s="114">
        <f>Overview!D6</f>
        <v>1.7575757575757574E-2</v>
      </c>
      <c r="R8" s="114">
        <f t="shared" si="5"/>
        <v>0.26397560975609735</v>
      </c>
      <c r="S8" s="114">
        <f>Overview!C9</f>
        <v>3.409633350760348E-2</v>
      </c>
      <c r="T8" s="114">
        <f>Overview!E9</f>
        <v>2.7488558785867451E-2</v>
      </c>
      <c r="U8" s="114">
        <f t="shared" si="20"/>
        <v>0.19379722222222209</v>
      </c>
      <c r="V8" s="114">
        <f>Overview!C13</f>
        <v>4.0849673202614387E-2</v>
      </c>
      <c r="W8" s="114">
        <f>Overview!F13</f>
        <v>1.5885416666666669E-2</v>
      </c>
      <c r="X8" s="114">
        <f t="shared" si="6"/>
        <v>0.61112500000000003</v>
      </c>
      <c r="Y8" s="114">
        <f>Overview!C6</f>
        <v>2.1683263732733694E-2</v>
      </c>
      <c r="Z8" s="114">
        <f>Overview!G6</f>
        <v>1.5173537318064468E-2</v>
      </c>
      <c r="AA8" s="114">
        <f t="shared" si="7"/>
        <v>0.3002189382054119</v>
      </c>
      <c r="AB8" s="114">
        <f>Overview!C6</f>
        <v>2.1683263732733694E-2</v>
      </c>
      <c r="AC8" s="114">
        <f>Overview!H6</f>
        <v>1.8194732838307477E-2</v>
      </c>
      <c r="AD8" s="114">
        <f t="shared" si="8"/>
        <v>0.16088587665701951</v>
      </c>
      <c r="AE8" s="114">
        <f>Overview!C6</f>
        <v>2.1683263732733694E-2</v>
      </c>
      <c r="AF8" s="114">
        <f>Overview!D6</f>
        <v>1.7575757575757574E-2</v>
      </c>
      <c r="AG8" s="114">
        <f t="shared" si="9"/>
        <v>0.18943209876543204</v>
      </c>
      <c r="AH8" s="114">
        <f>Overview!E13</f>
        <v>3.3870829033367737E-2</v>
      </c>
      <c r="AI8" s="114">
        <f>Overview!F13</f>
        <v>1.5885416666666669E-2</v>
      </c>
      <c r="AJ8" s="114">
        <f t="shared" si="10"/>
        <v>0.53100006347594264</v>
      </c>
      <c r="AK8" s="114">
        <f>Overview!E9</f>
        <v>2.7488558785867451E-2</v>
      </c>
      <c r="AL8" s="114">
        <f>Overview!G9</f>
        <v>3.1136511210591595E-2</v>
      </c>
      <c r="AM8" s="114">
        <f t="shared" si="11"/>
        <v>0.13270802784319297</v>
      </c>
      <c r="AN8" s="114">
        <f>Overview!E9</f>
        <v>2.7488558785867451E-2</v>
      </c>
      <c r="AO8" s="114">
        <f>Overview!H9</f>
        <v>3.1099999999999999E-2</v>
      </c>
      <c r="AP8" s="114">
        <f t="shared" si="12"/>
        <v>0.13137979485447887</v>
      </c>
      <c r="AQ8" s="114">
        <f>Overview!E9</f>
        <v>2.7488558785867451E-2</v>
      </c>
      <c r="AR8" s="114">
        <f>Overview!D9</f>
        <v>3.0121951219512194E-2</v>
      </c>
      <c r="AS8" s="114">
        <f t="shared" si="13"/>
        <v>9.5799581715380278E-2</v>
      </c>
      <c r="AT8" s="114">
        <f>Overview!F19</f>
        <v>2.3527383546380294E-2</v>
      </c>
      <c r="AU8" s="114">
        <f>Overview!G19</f>
        <v>2.1505421768622586E-2</v>
      </c>
      <c r="AV8" s="114">
        <f t="shared" si="14"/>
        <v>8.5940783588270633E-2</v>
      </c>
      <c r="AW8" s="114">
        <f>Overview!F13</f>
        <v>1.5885416666666669E-2</v>
      </c>
      <c r="AX8" s="114">
        <f>Overview!H13</f>
        <v>2.6249999999999999E-2</v>
      </c>
      <c r="AY8" s="114">
        <f t="shared" si="15"/>
        <v>0.65245901639344228</v>
      </c>
      <c r="AZ8" s="114">
        <f>Overview!F13</f>
        <v>1.5885416666666669E-2</v>
      </c>
      <c r="BA8" s="114">
        <f>Overview!D13</f>
        <v>3.1875000000000001E-2</v>
      </c>
      <c r="BB8" s="114">
        <f t="shared" si="16"/>
        <v>1.00655737704918</v>
      </c>
      <c r="BC8" s="114">
        <f>Overview!G6</f>
        <v>1.5173537318064468E-2</v>
      </c>
      <c r="BD8" s="114">
        <f>Overview!H6</f>
        <v>1.8194732838307477E-2</v>
      </c>
      <c r="BE8" s="114">
        <f t="shared" si="17"/>
        <v>0.1991095060376068</v>
      </c>
      <c r="BF8" s="114">
        <f>Overview!G6</f>
        <v>1.5173537318064468E-2</v>
      </c>
      <c r="BG8" s="114">
        <f>Overview!D6</f>
        <v>1.7575757575757574E-2</v>
      </c>
      <c r="BH8" s="114">
        <f t="shared" si="18"/>
        <v>0.15831642993576747</v>
      </c>
      <c r="BI8" s="114">
        <f>Overview!H6</f>
        <v>1.8194732838307477E-2</v>
      </c>
      <c r="BJ8" s="114">
        <f>Overview!D6</f>
        <v>1.7575757575757574E-2</v>
      </c>
      <c r="BK8" s="114">
        <f t="shared" si="19"/>
        <v>3.4019475199256702E-2</v>
      </c>
    </row>
    <row r="9" spans="1:63" x14ac:dyDescent="0.5">
      <c r="A9" s="114">
        <v>1.7757516552697274E-2</v>
      </c>
      <c r="B9" s="114">
        <v>2.0134013016575303E-2</v>
      </c>
      <c r="C9" s="114">
        <f t="shared" si="0"/>
        <v>0.13383045184418263</v>
      </c>
      <c r="D9" s="114">
        <f>Overview!B10</f>
        <v>1.502087832973362E-2</v>
      </c>
      <c r="E9" s="114">
        <f>Overview!E10</f>
        <v>2.1721610773015668E-2</v>
      </c>
      <c r="F9" s="114">
        <f t="shared" si="1"/>
        <v>0.44609458223345305</v>
      </c>
      <c r="G9" s="114">
        <f>Overview!B14</f>
        <v>2.0415385034161744E-2</v>
      </c>
      <c r="H9" s="114">
        <f>Overview!F14</f>
        <v>1.076470588235294E-2</v>
      </c>
      <c r="I9" s="114">
        <f t="shared" si="2"/>
        <v>0.47271600000000003</v>
      </c>
      <c r="J9" s="114">
        <f>Overview!B7</f>
        <v>1.7757516552697274E-2</v>
      </c>
      <c r="K9" s="114">
        <f>Overview!G7</f>
        <v>1.962226134258228E-2</v>
      </c>
      <c r="L9" s="114">
        <f t="shared" si="3"/>
        <v>0.10501157548417214</v>
      </c>
      <c r="M9" s="114">
        <f>Overview!B7</f>
        <v>1.7757516552697274E-2</v>
      </c>
      <c r="N9" s="114">
        <f>Overview!H7</f>
        <v>2.023519258185745E-2</v>
      </c>
      <c r="O9" s="114">
        <f t="shared" si="4"/>
        <v>0.13952829618980869</v>
      </c>
      <c r="P9" s="114">
        <f>Overview!B7</f>
        <v>1.7757516552697274E-2</v>
      </c>
      <c r="Q9" s="114">
        <f>Overview!D7</f>
        <v>1.6108108108108109E-2</v>
      </c>
      <c r="R9" s="114">
        <f t="shared" si="5"/>
        <v>9.2885085574572035E-2</v>
      </c>
      <c r="S9" s="114">
        <f>Overview!C10</f>
        <v>2.8917950710000428E-2</v>
      </c>
      <c r="T9" s="114">
        <f>Overview!E10</f>
        <v>2.1721610773015668E-2</v>
      </c>
      <c r="U9" s="114">
        <f t="shared" si="20"/>
        <v>0.24885373134328348</v>
      </c>
      <c r="V9" s="114">
        <f>Overview!C14</f>
        <v>3.1762164909160215E-2</v>
      </c>
      <c r="W9" s="114">
        <f>Overview!F14</f>
        <v>1.076470588235294E-2</v>
      </c>
      <c r="X9" s="114">
        <f t="shared" si="6"/>
        <v>0.66108400000000012</v>
      </c>
      <c r="Y9" s="114">
        <f>Overview!C7</f>
        <v>2.0134013016575303E-2</v>
      </c>
      <c r="Z9" s="114">
        <f>Overview!G7</f>
        <v>1.962226134258228E-2</v>
      </c>
      <c r="AA9" s="114">
        <f t="shared" si="7"/>
        <v>2.5417271438720308E-2</v>
      </c>
      <c r="AB9" s="114">
        <f>Overview!C7</f>
        <v>2.0134013016575303E-2</v>
      </c>
      <c r="AC9" s="114">
        <f>Overview!H7</f>
        <v>2.023519258185745E-2</v>
      </c>
      <c r="AD9" s="114">
        <f t="shared" si="8"/>
        <v>5.0253054469991338E-3</v>
      </c>
      <c r="AE9" s="114">
        <f>Overview!C7</f>
        <v>2.0134013016575303E-2</v>
      </c>
      <c r="AF9" s="114">
        <f>Overview!D7</f>
        <v>1.6108108108108109E-2</v>
      </c>
      <c r="AG9" s="114">
        <f t="shared" si="9"/>
        <v>0.19995541401273917</v>
      </c>
      <c r="AH9" s="114">
        <f>Overview!E14</f>
        <v>2.7779189429551519E-2</v>
      </c>
      <c r="AI9" s="114">
        <f>Overview!F14</f>
        <v>1.076470588235294E-2</v>
      </c>
      <c r="AJ9" s="114">
        <f t="shared" si="10"/>
        <v>0.61249028127143845</v>
      </c>
      <c r="AK9" s="114">
        <f>Overview!E10</f>
        <v>2.1721610773015668E-2</v>
      </c>
      <c r="AL9" s="114">
        <f>Overview!G10</f>
        <v>2.6331405352900066E-2</v>
      </c>
      <c r="AM9" s="114">
        <f t="shared" si="11"/>
        <v>0.21222158098933691</v>
      </c>
      <c r="AN9" s="114">
        <f>Overview!E10</f>
        <v>2.1721610773015668E-2</v>
      </c>
      <c r="AO9" s="114">
        <f>Overview!H10</f>
        <v>2.98E-2</v>
      </c>
      <c r="AP9" s="114">
        <f t="shared" si="12"/>
        <v>0.37190562483607142</v>
      </c>
      <c r="AQ9" s="114">
        <f>Overview!E10</f>
        <v>2.1721610773015668E-2</v>
      </c>
      <c r="AR9" s="114">
        <f>Overview!D10</f>
        <v>2.5266666666666666E-2</v>
      </c>
      <c r="AS9" s="114">
        <f t="shared" si="13"/>
        <v>0.1632040980153715</v>
      </c>
      <c r="AT9" s="114">
        <f>Overview!F20</f>
        <v>2.0166328754040251E-2</v>
      </c>
      <c r="AU9" s="114">
        <f>Overview!G20</f>
        <v>2.0469488397419605E-2</v>
      </c>
      <c r="AV9" s="114">
        <f t="shared" si="14"/>
        <v>1.5032961481331455E-2</v>
      </c>
      <c r="AW9" s="114">
        <f>Overview!F14</f>
        <v>1.076470588235294E-2</v>
      </c>
      <c r="AX9" s="114">
        <f>Overview!H14</f>
        <v>1.9722222222222221E-2</v>
      </c>
      <c r="AY9" s="114">
        <f t="shared" si="15"/>
        <v>0.83211900425015184</v>
      </c>
      <c r="AZ9" s="114">
        <f>Overview!F14</f>
        <v>1.076470588235294E-2</v>
      </c>
      <c r="BA9" s="114">
        <f>Overview!D14</f>
        <v>2.1911764705882353E-2</v>
      </c>
      <c r="BB9" s="114">
        <f t="shared" si="16"/>
        <v>1.0355191256830603</v>
      </c>
      <c r="BC9" s="114">
        <f>Overview!G7</f>
        <v>1.962226134258228E-2</v>
      </c>
      <c r="BD9" s="114">
        <f>Overview!H7</f>
        <v>2.023519258185745E-2</v>
      </c>
      <c r="BE9" s="114">
        <f t="shared" si="17"/>
        <v>3.123652409750793E-2</v>
      </c>
      <c r="BF9" s="114">
        <f>Overview!G7</f>
        <v>1.962226134258228E-2</v>
      </c>
      <c r="BG9" s="114">
        <f>Overview!D7</f>
        <v>1.6108108108108109E-2</v>
      </c>
      <c r="BH9" s="114">
        <f t="shared" si="18"/>
        <v>0.17909012489035123</v>
      </c>
      <c r="BI9" s="114">
        <f>Overview!H7</f>
        <v>2.023519258185745E-2</v>
      </c>
      <c r="BJ9" s="114">
        <f>Overview!D7</f>
        <v>1.6108108108108109E-2</v>
      </c>
      <c r="BK9" s="114">
        <f t="shared" si="19"/>
        <v>0.20395577937071968</v>
      </c>
    </row>
    <row r="10" spans="1:63" x14ac:dyDescent="0.5">
      <c r="A10" s="114">
        <v>1.514441951440002E-2</v>
      </c>
      <c r="B10" s="114">
        <v>2.0367620948433311E-2</v>
      </c>
      <c r="C10" s="114">
        <f t="shared" si="0"/>
        <v>0.34489281210592637</v>
      </c>
      <c r="D10" s="114">
        <f>Overview!B11</f>
        <v>1.8014143284121684E-2</v>
      </c>
      <c r="E10" s="114">
        <f>Overview!E11</f>
        <v>1.8797049738978052E-2</v>
      </c>
      <c r="F10" s="114">
        <f t="shared" si="1"/>
        <v>4.3460654359646939E-2</v>
      </c>
      <c r="G10" s="114">
        <f>Overview!B19</f>
        <v>2.1640826873385012E-2</v>
      </c>
      <c r="H10" s="114">
        <f>Overview!F19</f>
        <v>2.3527383546380294E-2</v>
      </c>
      <c r="I10" s="114">
        <f t="shared" si="2"/>
        <v>8.7175812829752147E-2</v>
      </c>
      <c r="J10" s="114">
        <f>Overview!B8</f>
        <v>1.514441951440002E-2</v>
      </c>
      <c r="K10" s="114">
        <f>Overview!G8</f>
        <v>1.4399446119038739E-2</v>
      </c>
      <c r="L10" s="114">
        <f t="shared" si="3"/>
        <v>4.9191280963454952E-2</v>
      </c>
      <c r="M10" s="114">
        <f>Overview!B8</f>
        <v>1.514441951440002E-2</v>
      </c>
      <c r="N10" s="114">
        <f>Overview!H8</f>
        <v>1.7742375727119331E-2</v>
      </c>
      <c r="O10" s="114">
        <f t="shared" si="4"/>
        <v>0.17154544683928316</v>
      </c>
      <c r="P10" s="114">
        <f>Overview!B8</f>
        <v>1.514441951440002E-2</v>
      </c>
      <c r="Q10" s="114">
        <f>Overview!D8</f>
        <v>1.7184466019417477E-2</v>
      </c>
      <c r="R10" s="114">
        <f t="shared" si="5"/>
        <v>0.13470615384615339</v>
      </c>
      <c r="S10" s="114">
        <f>Overview!C11</f>
        <v>2.4786426564698302E-2</v>
      </c>
      <c r="T10" s="114">
        <f>Overview!E11</f>
        <v>1.8797049738978052E-2</v>
      </c>
      <c r="U10" s="114">
        <f t="shared" si="20"/>
        <v>0.24163938315539726</v>
      </c>
      <c r="V10" s="114">
        <f>Overview!C19</f>
        <v>2.9832869466483888E-2</v>
      </c>
      <c r="W10" s="114">
        <f>Overview!F19</f>
        <v>2.3527383546380294E-2</v>
      </c>
      <c r="X10" s="114">
        <f t="shared" si="6"/>
        <v>0.21136035630724598</v>
      </c>
      <c r="Y10" s="114">
        <f>Overview!C8</f>
        <v>2.0367620948433311E-2</v>
      </c>
      <c r="Z10" s="114">
        <f>Overview!G8</f>
        <v>1.4399446119038739E-2</v>
      </c>
      <c r="AA10" s="114">
        <f t="shared" si="7"/>
        <v>0.29302267773466434</v>
      </c>
      <c r="AB10" s="114">
        <f>Overview!C8</f>
        <v>2.0367620948433311E-2</v>
      </c>
      <c r="AC10" s="114">
        <f>Overview!H8</f>
        <v>1.7742375727119331E-2</v>
      </c>
      <c r="AD10" s="114">
        <f t="shared" si="8"/>
        <v>0.12889307140782758</v>
      </c>
      <c r="AE10" s="114">
        <f>Overview!C8</f>
        <v>2.0367620948433311E-2</v>
      </c>
      <c r="AF10" s="114">
        <f>Overview!D8</f>
        <v>1.7184466019417477E-2</v>
      </c>
      <c r="AG10" s="114">
        <f t="shared" si="9"/>
        <v>0.15628506329113925</v>
      </c>
      <c r="AH10" s="114">
        <f>Overview!E19</f>
        <v>2.7905398856256664E-2</v>
      </c>
      <c r="AI10" s="114">
        <f>Overview!F19</f>
        <v>2.3527383546380294E-2</v>
      </c>
      <c r="AJ10" s="114">
        <f t="shared" si="10"/>
        <v>0.15688775252516329</v>
      </c>
      <c r="AK10" s="114">
        <f>Overview!E11</f>
        <v>1.8797049738978052E-2</v>
      </c>
      <c r="AL10" s="114">
        <f>Overview!G11</f>
        <v>2.4326911959472754E-2</v>
      </c>
      <c r="AM10" s="114">
        <f t="shared" si="11"/>
        <v>0.29418777400092933</v>
      </c>
      <c r="AN10" s="114">
        <f>Overview!E11</f>
        <v>1.8797049738978052E-2</v>
      </c>
      <c r="AO10" s="114">
        <f>Overview!H11</f>
        <v>2.4487041036717064E-2</v>
      </c>
      <c r="AP10" s="114">
        <f t="shared" si="12"/>
        <v>0.30270661496096901</v>
      </c>
      <c r="AQ10" s="114">
        <f>Overview!E11</f>
        <v>1.8797049738978052E-2</v>
      </c>
      <c r="AR10" s="114">
        <f>Overview!D11</f>
        <v>2.2285714285714284E-2</v>
      </c>
      <c r="AS10" s="114">
        <f t="shared" si="13"/>
        <v>0.18559638853867827</v>
      </c>
      <c r="AT10" s="114">
        <f>Overview!F21</f>
        <v>2.694954842585379E-2</v>
      </c>
      <c r="AU10" s="114">
        <f>Overview!G21</f>
        <v>2.4385836272180196E-2</v>
      </c>
      <c r="AV10" s="114">
        <f t="shared" si="14"/>
        <v>9.5130059812583767E-2</v>
      </c>
      <c r="AW10" s="114">
        <f>Overview!F19</f>
        <v>2.3527383546380294E-2</v>
      </c>
      <c r="AX10" s="114">
        <f>Overview!H19</f>
        <v>2.7698412698412701E-2</v>
      </c>
      <c r="AY10" s="114">
        <f t="shared" si="15"/>
        <v>0.17728402071611243</v>
      </c>
      <c r="AZ10" s="114">
        <f>Overview!F19</f>
        <v>2.3527383546380294E-2</v>
      </c>
      <c r="BA10" s="114">
        <f>Overview!D19</f>
        <v>2.2777777777777779E-2</v>
      </c>
      <c r="BB10" s="114">
        <f t="shared" si="16"/>
        <v>3.1860991560102435E-2</v>
      </c>
      <c r="BC10" s="114">
        <f>Overview!G8</f>
        <v>1.4399446119038739E-2</v>
      </c>
      <c r="BD10" s="114">
        <f>Overview!H8</f>
        <v>1.7742375727119331E-2</v>
      </c>
      <c r="BE10" s="114">
        <f t="shared" si="17"/>
        <v>0.23215681911963401</v>
      </c>
      <c r="BF10" s="114">
        <f>Overview!G8</f>
        <v>1.4399446119038739E-2</v>
      </c>
      <c r="BG10" s="114">
        <f>Overview!D8</f>
        <v>1.7184466019417477E-2</v>
      </c>
      <c r="BH10" s="114">
        <f t="shared" si="18"/>
        <v>0.19341159912369305</v>
      </c>
      <c r="BI10" s="114">
        <f>Overview!H8</f>
        <v>1.7742375727119331E-2</v>
      </c>
      <c r="BJ10" s="114">
        <f>Overview!D8</f>
        <v>1.7184466019417477E-2</v>
      </c>
      <c r="BK10" s="114">
        <f t="shared" si="19"/>
        <v>3.1445039620544492E-2</v>
      </c>
    </row>
    <row r="11" spans="1:63" x14ac:dyDescent="0.5">
      <c r="A11" s="114">
        <v>2.0380980712360799E-2</v>
      </c>
      <c r="B11" s="114">
        <v>3.409633350760348E-2</v>
      </c>
      <c r="C11" s="114">
        <f t="shared" si="0"/>
        <v>0.6729486175768028</v>
      </c>
      <c r="D11" s="114">
        <f>Overview!B12</f>
        <v>2.0569484875992528E-2</v>
      </c>
      <c r="E11" s="114">
        <f>Overview!E12</f>
        <v>2.5951020203359699E-2</v>
      </c>
      <c r="F11" s="114">
        <f t="shared" si="1"/>
        <v>0.261627131637515</v>
      </c>
      <c r="G11" s="114">
        <f>Overview!B20</f>
        <v>2.2312131849824477E-2</v>
      </c>
      <c r="H11" s="114">
        <f>Overview!F20</f>
        <v>2.0166328754040251E-2</v>
      </c>
      <c r="I11" s="114">
        <f t="shared" si="2"/>
        <v>9.6172033682254632E-2</v>
      </c>
      <c r="J11" s="114">
        <f>Overview!B9</f>
        <v>2.0380980712360799E-2</v>
      </c>
      <c r="K11" s="114">
        <f>Overview!G9</f>
        <v>3.1136511210591595E-2</v>
      </c>
      <c r="L11" s="114">
        <f t="shared" si="3"/>
        <v>0.52772389366463157</v>
      </c>
      <c r="M11" s="114">
        <f>Overview!B9</f>
        <v>2.0380980712360799E-2</v>
      </c>
      <c r="N11" s="114">
        <f>Overview!H9</f>
        <v>3.1099999999999999E-2</v>
      </c>
      <c r="O11" s="114">
        <f t="shared" si="4"/>
        <v>0.52593245825203372</v>
      </c>
      <c r="P11" s="114">
        <f>Overview!B9</f>
        <v>2.0380980712360799E-2</v>
      </c>
      <c r="Q11" s="114">
        <f>Overview!D9</f>
        <v>3.0121951219512194E-2</v>
      </c>
      <c r="R11" s="114">
        <f t="shared" si="5"/>
        <v>0.47794415021665881</v>
      </c>
      <c r="S11" s="114">
        <f>Overview!C12</f>
        <v>2.9532674104790813E-2</v>
      </c>
      <c r="T11" s="114">
        <f>Overview!E12</f>
        <v>2.5951020203359699E-2</v>
      </c>
      <c r="U11" s="114">
        <f t="shared" si="20"/>
        <v>0.12127766990291257</v>
      </c>
      <c r="V11" s="114">
        <f>Overview!C20</f>
        <v>3.1255350513440486E-2</v>
      </c>
      <c r="W11" s="114">
        <f>Overview!F20</f>
        <v>2.0166328754040251E-2</v>
      </c>
      <c r="X11" s="114">
        <f t="shared" si="6"/>
        <v>0.35478795077443498</v>
      </c>
      <c r="Y11" s="114">
        <f>Overview!C9</f>
        <v>3.409633350760348E-2</v>
      </c>
      <c r="Z11" s="114">
        <f>Overview!G9</f>
        <v>3.1136511210591595E-2</v>
      </c>
      <c r="AA11" s="114">
        <f t="shared" si="7"/>
        <v>8.6807641541629232E-2</v>
      </c>
      <c r="AB11" s="114">
        <f>Overview!C9</f>
        <v>3.409633350760348E-2</v>
      </c>
      <c r="AC11" s="114">
        <f>Overview!H9</f>
        <v>3.1099999999999999E-2</v>
      </c>
      <c r="AD11" s="114">
        <f t="shared" si="8"/>
        <v>8.7878466666666613E-2</v>
      </c>
      <c r="AE11" s="114">
        <f>Overview!C9</f>
        <v>3.409633350760348E-2</v>
      </c>
      <c r="AF11" s="114">
        <f>Overview!D9</f>
        <v>3.0121951219512194E-2</v>
      </c>
      <c r="AG11" s="114">
        <f t="shared" si="9"/>
        <v>0.1165633333333333</v>
      </c>
      <c r="AH11" s="114">
        <f>Overview!E20</f>
        <v>2.6013204545169817E-2</v>
      </c>
      <c r="AI11" s="114">
        <f>Overview!F20</f>
        <v>2.0166328754040251E-2</v>
      </c>
      <c r="AJ11" s="114">
        <f t="shared" si="10"/>
        <v>0.2247656870177967</v>
      </c>
      <c r="AK11" s="114">
        <f>Overview!E12</f>
        <v>2.5951020203359699E-2</v>
      </c>
      <c r="AL11" s="114">
        <f>Overview!G12</f>
        <v>2.9207794641665907E-2</v>
      </c>
      <c r="AM11" s="114">
        <f t="shared" si="11"/>
        <v>0.12549697132464085</v>
      </c>
      <c r="AN11" s="114">
        <f>Overview!E12</f>
        <v>2.5951020203359699E-2</v>
      </c>
      <c r="AO11" s="114">
        <f>Overview!H12</f>
        <v>2.5558935135541826E-2</v>
      </c>
      <c r="AP11" s="114">
        <f t="shared" si="12"/>
        <v>1.5108657183624429E-2</v>
      </c>
      <c r="AQ11" s="114">
        <f>Overview!E12</f>
        <v>2.5951020203359699E-2</v>
      </c>
      <c r="AR11" s="114">
        <f>Overview!D12</f>
        <v>2.6834782608695651E-2</v>
      </c>
      <c r="AS11" s="114">
        <f t="shared" si="13"/>
        <v>3.4055015888028076E-2</v>
      </c>
      <c r="AT11" s="114">
        <f>Overview!F22</f>
        <v>3.0355530448458845E-2</v>
      </c>
      <c r="AU11" s="114">
        <f>Overview!G22</f>
        <v>2.1102979634677506E-2</v>
      </c>
      <c r="AV11" s="114">
        <f t="shared" si="14"/>
        <v>0.30480609882576087</v>
      </c>
      <c r="AW11" s="114">
        <f>Overview!F22</f>
        <v>3.0355530448458845E-2</v>
      </c>
      <c r="AX11" s="114">
        <f>Overview!H22</f>
        <v>2.2408207343412527E-2</v>
      </c>
      <c r="AY11" s="114">
        <f t="shared" si="15"/>
        <v>0.26180807871370287</v>
      </c>
      <c r="AZ11" s="114">
        <f>Overview!F20</f>
        <v>2.0166328754040251E-2</v>
      </c>
      <c r="BA11" s="114">
        <f>Overview!D20</f>
        <v>2.3537414965986395E-2</v>
      </c>
      <c r="BB11" s="114">
        <f t="shared" si="16"/>
        <v>0.16716410076726329</v>
      </c>
      <c r="BC11" s="114">
        <f>Overview!G9</f>
        <v>3.1136511210591595E-2</v>
      </c>
      <c r="BD11" s="114">
        <f>Overview!H9</f>
        <v>3.1099999999999999E-2</v>
      </c>
      <c r="BE11" s="114">
        <f t="shared" si="17"/>
        <v>1.1726172641710688E-3</v>
      </c>
      <c r="BF11" s="114">
        <f>Overview!G9</f>
        <v>3.1136511210591595E-2</v>
      </c>
      <c r="BG11" s="114">
        <f>Overview!D9</f>
        <v>3.0121951219512194E-2</v>
      </c>
      <c r="BH11" s="114">
        <f t="shared" si="18"/>
        <v>3.2584254035958965E-2</v>
      </c>
      <c r="BI11" s="114">
        <f>Overview!H9</f>
        <v>3.1099999999999999E-2</v>
      </c>
      <c r="BJ11" s="114">
        <f>Overview!D9</f>
        <v>3.0121951219512194E-2</v>
      </c>
      <c r="BK11" s="114">
        <f t="shared" si="19"/>
        <v>3.1448513842051613E-2</v>
      </c>
    </row>
    <row r="12" spans="1:63" x14ac:dyDescent="0.5">
      <c r="A12" s="114">
        <v>1.502087832973362E-2</v>
      </c>
      <c r="B12" s="114">
        <v>2.8917950710000428E-2</v>
      </c>
      <c r="C12" s="114">
        <f t="shared" si="0"/>
        <v>0.92518373927293884</v>
      </c>
      <c r="D12" s="114">
        <f>Overview!B13</f>
        <v>2.6129943502824857E-2</v>
      </c>
      <c r="E12" s="114">
        <f>Overview!E13</f>
        <v>3.3870829033367737E-2</v>
      </c>
      <c r="F12" s="114">
        <f t="shared" si="1"/>
        <v>0.29624578138510049</v>
      </c>
      <c r="G12" s="114">
        <f>Overview!B21</f>
        <v>2.3268190542662711E-2</v>
      </c>
      <c r="H12" s="114">
        <f>Overview!F21</f>
        <v>2.694954842585379E-2</v>
      </c>
      <c r="I12" s="114">
        <f t="shared" si="2"/>
        <v>0.15821418844070548</v>
      </c>
      <c r="J12" s="114">
        <f>Overview!B10</f>
        <v>1.502087832973362E-2</v>
      </c>
      <c r="K12" s="114">
        <f>Overview!G10</f>
        <v>2.6331405352900066E-2</v>
      </c>
      <c r="L12" s="114">
        <f t="shared" si="3"/>
        <v>0.75298706073515109</v>
      </c>
      <c r="M12" s="114">
        <f>Overview!B10</f>
        <v>1.502087832973362E-2</v>
      </c>
      <c r="N12" s="114">
        <f>Overview!H10</f>
        <v>2.98E-2</v>
      </c>
      <c r="O12" s="114">
        <f t="shared" si="4"/>
        <v>0.9839052914110431</v>
      </c>
      <c r="P12" s="114">
        <f>Overview!B10</f>
        <v>1.502087832973362E-2</v>
      </c>
      <c r="Q12" s="114">
        <f>Overview!D10</f>
        <v>2.5266666666666666E-2</v>
      </c>
      <c r="R12" s="114">
        <f t="shared" si="5"/>
        <v>0.6821031441717792</v>
      </c>
      <c r="S12" s="114">
        <f>Overview!C13</f>
        <v>4.0849673202614387E-2</v>
      </c>
      <c r="T12" s="114">
        <f>Overview!E13</f>
        <v>3.3870829033367737E-2</v>
      </c>
      <c r="U12" s="114">
        <f t="shared" si="20"/>
        <v>0.17084210526315793</v>
      </c>
      <c r="V12" s="114">
        <f>Overview!C21</f>
        <v>4.3930021868166212E-2</v>
      </c>
      <c r="W12" s="114">
        <f>Overview!F21</f>
        <v>2.694954842585379E-2</v>
      </c>
      <c r="X12" s="114">
        <f t="shared" si="6"/>
        <v>0.38653460026199721</v>
      </c>
      <c r="Y12" s="114">
        <f>Overview!C10</f>
        <v>2.8917950710000428E-2</v>
      </c>
      <c r="Z12" s="114">
        <f>Overview!G10</f>
        <v>2.6331405352900066E-2</v>
      </c>
      <c r="AA12" s="114">
        <f t="shared" si="7"/>
        <v>8.944428265471388E-2</v>
      </c>
      <c r="AB12" s="114">
        <f>Overview!C10</f>
        <v>2.8917950710000428E-2</v>
      </c>
      <c r="AC12" s="114">
        <f>Overview!H10</f>
        <v>2.98E-2</v>
      </c>
      <c r="AD12" s="114">
        <f t="shared" si="8"/>
        <v>3.0501791044776259E-2</v>
      </c>
      <c r="AE12" s="114">
        <f>Overview!C10</f>
        <v>2.8917950710000428E-2</v>
      </c>
      <c r="AF12" s="114">
        <f>Overview!D10</f>
        <v>2.5266666666666666E-2</v>
      </c>
      <c r="AG12" s="114">
        <f t="shared" si="9"/>
        <v>0.12626358208955213</v>
      </c>
      <c r="AH12" s="114">
        <f>Overview!E21</f>
        <v>3.1055295220243671E-2</v>
      </c>
      <c r="AI12" s="114">
        <f>Overview!F21</f>
        <v>2.694954842585379E-2</v>
      </c>
      <c r="AJ12" s="114">
        <f t="shared" si="10"/>
        <v>0.13220762402263408</v>
      </c>
      <c r="AK12" s="114">
        <f>Overview!E16</f>
        <v>3.1029748283752861E-2</v>
      </c>
      <c r="AL12" s="114">
        <f>Overview!G16</f>
        <v>1.277511049732645E-2</v>
      </c>
      <c r="AM12" s="114">
        <f t="shared" si="11"/>
        <v>0.58829474282214911</v>
      </c>
      <c r="AN12" s="114">
        <f>Overview!E13</f>
        <v>3.3870829033367737E-2</v>
      </c>
      <c r="AO12" s="114">
        <f>Overview!H13</f>
        <v>2.6249999999999999E-2</v>
      </c>
      <c r="AP12" s="114">
        <f t="shared" si="12"/>
        <v>0.22499682620286923</v>
      </c>
      <c r="AQ12" s="114">
        <f>Overview!E13</f>
        <v>3.3870829033367737E-2</v>
      </c>
      <c r="AR12" s="114">
        <f>Overview!D13</f>
        <v>3.1875000000000001E-2</v>
      </c>
      <c r="AS12" s="114">
        <f t="shared" si="13"/>
        <v>5.892471753205545E-2</v>
      </c>
      <c r="AT12" s="114">
        <f>Overview!F23</f>
        <v>2.4284424358767077E-2</v>
      </c>
      <c r="AU12" s="114">
        <f>Overview!G23</f>
        <v>1.9335959540771976E-2</v>
      </c>
      <c r="AV12" s="114">
        <f t="shared" si="14"/>
        <v>0.20377113926559368</v>
      </c>
      <c r="AW12" s="114">
        <f>Overview!F23</f>
        <v>2.4284424358767077E-2</v>
      </c>
      <c r="AX12" s="114">
        <f>Overview!H23</f>
        <v>1.9546436285097193E-2</v>
      </c>
      <c r="AY12" s="114">
        <f t="shared" si="15"/>
        <v>0.19510398944084473</v>
      </c>
      <c r="AZ12" s="114">
        <f>Overview!F21</f>
        <v>2.694954842585379E-2</v>
      </c>
      <c r="BA12" s="114">
        <f>Overview!D21</f>
        <v>3.1909090909090908E-2</v>
      </c>
      <c r="BB12" s="114">
        <f t="shared" si="16"/>
        <v>0.18403063401534508</v>
      </c>
      <c r="BC12" s="114">
        <f>Overview!G10</f>
        <v>2.6331405352900066E-2</v>
      </c>
      <c r="BD12" s="114">
        <f>Overview!H10</f>
        <v>2.98E-2</v>
      </c>
      <c r="BE12" s="114">
        <f t="shared" si="17"/>
        <v>0.13172842849111027</v>
      </c>
      <c r="BF12" s="114">
        <f>Overview!G10</f>
        <v>2.6331405352900066E-2</v>
      </c>
      <c r="BG12" s="114">
        <f>Overview!D10</f>
        <v>2.5266666666666666E-2</v>
      </c>
      <c r="BH12" s="114">
        <f t="shared" si="18"/>
        <v>4.0436075171966915E-2</v>
      </c>
      <c r="BI12" s="114">
        <f>Overview!H10</f>
        <v>2.98E-2</v>
      </c>
      <c r="BJ12" s="114">
        <f>Overview!D10</f>
        <v>2.5266666666666666E-2</v>
      </c>
      <c r="BK12" s="114">
        <f t="shared" si="19"/>
        <v>0.15212527964205819</v>
      </c>
    </row>
    <row r="13" spans="1:63" x14ac:dyDescent="0.5">
      <c r="A13" s="114">
        <v>1.8014143284121684E-2</v>
      </c>
      <c r="B13" s="114">
        <v>2.4786426564698302E-2</v>
      </c>
      <c r="C13" s="114">
        <f t="shared" si="0"/>
        <v>0.37594256766825834</v>
      </c>
      <c r="D13" s="114">
        <f>Overview!B14</f>
        <v>2.0415385034161744E-2</v>
      </c>
      <c r="E13" s="114">
        <f>Overview!E14</f>
        <v>2.7779189429551519E-2</v>
      </c>
      <c r="F13" s="114">
        <f t="shared" si="1"/>
        <v>0.36069877609791218</v>
      </c>
      <c r="G13" s="114">
        <f>Overview!B22</f>
        <v>2.0794985497545739E-2</v>
      </c>
      <c r="H13" s="114">
        <f>Overview!F22</f>
        <v>3.0355530448458845E-2</v>
      </c>
      <c r="I13" s="114">
        <f t="shared" si="2"/>
        <v>0.45975242214241785</v>
      </c>
      <c r="J13" s="114">
        <f>Overview!B11</f>
        <v>1.8014143284121684E-2</v>
      </c>
      <c r="K13" s="114">
        <f>Overview!G11</f>
        <v>2.4326911959472754E-2</v>
      </c>
      <c r="L13" s="114">
        <f t="shared" si="3"/>
        <v>0.35043402152326458</v>
      </c>
      <c r="M13" s="114">
        <f>Overview!B11</f>
        <v>1.8014143284121684E-2</v>
      </c>
      <c r="N13" s="114">
        <f>Overview!H11</f>
        <v>2.4487041036717064E-2</v>
      </c>
      <c r="O13" s="114">
        <f t="shared" si="4"/>
        <v>0.35932309688581338</v>
      </c>
      <c r="P13" s="114">
        <f>Overview!B11</f>
        <v>1.8014143284121684E-2</v>
      </c>
      <c r="Q13" s="114">
        <f>Overview!D11</f>
        <v>2.2285714285714284E-2</v>
      </c>
      <c r="R13" s="114">
        <f t="shared" si="5"/>
        <v>0.23712318339100344</v>
      </c>
      <c r="S13" s="114">
        <f>Overview!C14</f>
        <v>3.1762164909160215E-2</v>
      </c>
      <c r="T13" s="114">
        <f>Overview!E14</f>
        <v>2.7779189429551519E-2</v>
      </c>
      <c r="U13" s="114">
        <f t="shared" si="20"/>
        <v>0.12540000000000018</v>
      </c>
      <c r="V13" s="114">
        <f>Overview!C22</f>
        <v>2.9463719898605838E-2</v>
      </c>
      <c r="W13" s="114">
        <f>Overview!F22</f>
        <v>3.0355530448458845E-2</v>
      </c>
      <c r="X13" s="114">
        <f t="shared" si="6"/>
        <v>3.0268090822272761E-2</v>
      </c>
      <c r="Y13" s="114">
        <f>Overview!C11</f>
        <v>2.4786426564698302E-2</v>
      </c>
      <c r="Z13" s="114">
        <f>Overview!G11</f>
        <v>2.4326911959472754E-2</v>
      </c>
      <c r="AA13" s="114">
        <f t="shared" si="7"/>
        <v>1.8538961395911935E-2</v>
      </c>
      <c r="AB13" s="114">
        <f>Overview!C11</f>
        <v>2.4786426564698302E-2</v>
      </c>
      <c r="AC13" s="114">
        <f>Overview!H11</f>
        <v>2.4487041036717064E-2</v>
      </c>
      <c r="AD13" s="114">
        <f t="shared" si="8"/>
        <v>1.2078607910655148E-2</v>
      </c>
      <c r="AE13" s="114">
        <f>Overview!C11</f>
        <v>2.4786426564698302E-2</v>
      </c>
      <c r="AF13" s="114">
        <f>Overview!D11</f>
        <v>2.2285714285714284E-2</v>
      </c>
      <c r="AG13" s="114">
        <f t="shared" si="9"/>
        <v>0.10089039145907465</v>
      </c>
      <c r="AH13" s="114">
        <f>Overview!E22</f>
        <v>2.4817411280101391E-2</v>
      </c>
      <c r="AI13" s="114">
        <f>Overview!F22</f>
        <v>3.0355530448458845E-2</v>
      </c>
      <c r="AJ13" s="114">
        <f t="shared" si="10"/>
        <v>0.22315458715059133</v>
      </c>
      <c r="AK13" s="114">
        <f>Overview!E17</f>
        <v>2.0479472312736804E-2</v>
      </c>
      <c r="AL13" s="114">
        <f>Overview!G17</f>
        <v>1.7096347711813648E-2</v>
      </c>
      <c r="AM13" s="114">
        <f t="shared" si="11"/>
        <v>0.16519588733832213</v>
      </c>
      <c r="AN13" s="114">
        <f>Overview!E14</f>
        <v>2.7779189429551519E-2</v>
      </c>
      <c r="AO13" s="114">
        <f>Overview!H14</f>
        <v>1.9722222222222221E-2</v>
      </c>
      <c r="AP13" s="114">
        <f t="shared" si="12"/>
        <v>0.29003607998577136</v>
      </c>
      <c r="AQ13" s="114">
        <f>Overview!E14</f>
        <v>2.7779189429551519E-2</v>
      </c>
      <c r="AR13" s="114">
        <f>Overview!D14</f>
        <v>2.1911764705882353E-2</v>
      </c>
      <c r="AS13" s="114">
        <f t="shared" si="13"/>
        <v>0.21121655613994972</v>
      </c>
      <c r="AT13" s="114">
        <f>Overview!F25</f>
        <v>3.1292904344961785E-2</v>
      </c>
      <c r="AU13" s="114">
        <f>Overview!G25</f>
        <v>3.0998428062404364E-2</v>
      </c>
      <c r="AV13" s="114">
        <f t="shared" si="14"/>
        <v>9.4103212444335334E-3</v>
      </c>
      <c r="AW13" s="114">
        <f>Overview!F25</f>
        <v>3.1292904344961785E-2</v>
      </c>
      <c r="AX13" s="114">
        <f>Overview!H25</f>
        <v>2.6700863930885527E-2</v>
      </c>
      <c r="AY13" s="114">
        <f t="shared" si="15"/>
        <v>0.14674382292724406</v>
      </c>
      <c r="AZ13" s="114">
        <f>Overview!F22</f>
        <v>3.0355530448458845E-2</v>
      </c>
      <c r="BA13" s="114">
        <f>Overview!D22</f>
        <v>2.328125E-2</v>
      </c>
      <c r="BB13" s="114">
        <f t="shared" si="16"/>
        <v>0.23304749888888887</v>
      </c>
      <c r="BC13" s="114">
        <f>Overview!G11</f>
        <v>2.4326911959472754E-2</v>
      </c>
      <c r="BD13" s="114">
        <f>Overview!H11</f>
        <v>2.4487041036717064E-2</v>
      </c>
      <c r="BE13" s="114">
        <f t="shared" si="17"/>
        <v>6.5823840490349117E-3</v>
      </c>
      <c r="BF13" s="114">
        <f>Overview!G11</f>
        <v>2.4326911959472754E-2</v>
      </c>
      <c r="BG13" s="114">
        <f>Overview!D11</f>
        <v>2.2285714285714284E-2</v>
      </c>
      <c r="BH13" s="114">
        <f t="shared" si="18"/>
        <v>8.3906978294614187E-2</v>
      </c>
      <c r="BI13" s="114">
        <f>Overview!H11</f>
        <v>2.4487041036717064E-2</v>
      </c>
      <c r="BJ13" s="114">
        <f>Overview!D11</f>
        <v>2.2285714285714284E-2</v>
      </c>
      <c r="BK13" s="114">
        <f t="shared" si="19"/>
        <v>8.9897621672704514E-2</v>
      </c>
    </row>
    <row r="14" spans="1:63" x14ac:dyDescent="0.5">
      <c r="A14" s="114">
        <v>2.0569484875992528E-2</v>
      </c>
      <c r="B14" s="114">
        <v>2.9532674104790813E-2</v>
      </c>
      <c r="C14" s="114">
        <f t="shared" si="0"/>
        <v>0.43575175960092144</v>
      </c>
      <c r="D14" s="114">
        <f>Overview!B16</f>
        <v>2.2289987206081458E-2</v>
      </c>
      <c r="E14" s="114">
        <f>Overview!E16</f>
        <v>3.1029748283752861E-2</v>
      </c>
      <c r="F14" s="114">
        <f t="shared" si="1"/>
        <v>0.39209358878801431</v>
      </c>
      <c r="G14" s="114">
        <f>Overview!B23</f>
        <v>1.8957909029192123E-2</v>
      </c>
      <c r="H14" s="114">
        <f>Overview!F23</f>
        <v>2.4284424358767077E-2</v>
      </c>
      <c r="I14" s="114">
        <f t="shared" si="2"/>
        <v>0.28096533860210954</v>
      </c>
      <c r="J14" s="114">
        <f>Overview!B12</f>
        <v>2.0569484875992528E-2</v>
      </c>
      <c r="K14" s="114">
        <f>Overview!G12</f>
        <v>2.9207794641665907E-2</v>
      </c>
      <c r="L14" s="114">
        <f t="shared" si="3"/>
        <v>0.41995751559901717</v>
      </c>
      <c r="M14" s="114">
        <f>Overview!B12</f>
        <v>2.0569484875992528E-2</v>
      </c>
      <c r="N14" s="114">
        <f>Overview!H12</f>
        <v>2.5558935135541826E-2</v>
      </c>
      <c r="O14" s="114">
        <f t="shared" si="4"/>
        <v>0.2425656398120444</v>
      </c>
      <c r="P14" s="114">
        <f>Overview!B12</f>
        <v>2.0569484875992528E-2</v>
      </c>
      <c r="Q14" s="114">
        <f>Overview!D12</f>
        <v>2.6834782608695651E-2</v>
      </c>
      <c r="R14" s="114">
        <f t="shared" si="5"/>
        <v>0.30459186365019786</v>
      </c>
      <c r="S14" s="114">
        <f>Overview!C16</f>
        <v>4.0145071456327446E-2</v>
      </c>
      <c r="T14" s="114">
        <f>Overview!E16</f>
        <v>3.1029748283752861E-2</v>
      </c>
      <c r="U14" s="114">
        <f t="shared" si="20"/>
        <v>0.22705958270595822</v>
      </c>
      <c r="V14" s="114">
        <f>Overview!C23</f>
        <v>2.7139999999999991E-2</v>
      </c>
      <c r="W14" s="114">
        <f>Overview!F23</f>
        <v>2.4284424358767077E-2</v>
      </c>
      <c r="X14" s="114">
        <f t="shared" si="6"/>
        <v>0.10521649378161069</v>
      </c>
      <c r="Y14" s="114">
        <f>Overview!C12</f>
        <v>2.9532674104790813E-2</v>
      </c>
      <c r="Z14" s="114">
        <f>Overview!G12</f>
        <v>2.9207794641665907E-2</v>
      </c>
      <c r="AA14" s="114">
        <f t="shared" si="7"/>
        <v>1.1000678840396794E-2</v>
      </c>
      <c r="AB14" s="114">
        <f>Overview!C12</f>
        <v>2.9532674104790813E-2</v>
      </c>
      <c r="AC14" s="114">
        <f>Overview!H12</f>
        <v>2.5558935135541826E-2</v>
      </c>
      <c r="AD14" s="114">
        <f t="shared" si="8"/>
        <v>0.13455398434794513</v>
      </c>
      <c r="AE14" s="114">
        <f>Overview!C12</f>
        <v>2.9532674104790813E-2</v>
      </c>
      <c r="AF14" s="114">
        <f>Overview!D12</f>
        <v>2.6834782608695651E-2</v>
      </c>
      <c r="AG14" s="114">
        <f t="shared" si="9"/>
        <v>9.1352766990291212E-2</v>
      </c>
      <c r="AH14" s="114">
        <f>Overview!E23</f>
        <v>2.1632000000000002E-2</v>
      </c>
      <c r="AI14" s="114">
        <f>Overview!F23</f>
        <v>2.4284424358767077E-2</v>
      </c>
      <c r="AJ14" s="114">
        <f t="shared" si="10"/>
        <v>0.12261577102288625</v>
      </c>
      <c r="AK14" s="114">
        <f>Overview!E18</f>
        <v>1.94016558675306E-2</v>
      </c>
      <c r="AL14" s="114">
        <f>Overview!G18</f>
        <v>1.654243077155056E-2</v>
      </c>
      <c r="AM14" s="114">
        <f t="shared" si="11"/>
        <v>0.14737015827422548</v>
      </c>
      <c r="AN14" s="114">
        <f>Overview!E17</f>
        <v>2.0479472312736804E-2</v>
      </c>
      <c r="AO14" s="114">
        <f>Overview!H17</f>
        <v>1.8466149558172211E-2</v>
      </c>
      <c r="AP14" s="114">
        <f t="shared" si="12"/>
        <v>9.8309308160857561E-2</v>
      </c>
      <c r="AQ14" s="114">
        <f>Overview!E16</f>
        <v>3.1029748283752861E-2</v>
      </c>
      <c r="AR14" s="114">
        <f>Overview!D16</f>
        <v>2.5754716981132075E-2</v>
      </c>
      <c r="AS14" s="114">
        <f t="shared" si="13"/>
        <v>0.16999916513608285</v>
      </c>
      <c r="AT14" s="114">
        <f>Overview!F26</f>
        <v>2.0687181572734151E-2</v>
      </c>
      <c r="AU14" s="114">
        <f>Overview!G26</f>
        <v>2.1869181912474379E-2</v>
      </c>
      <c r="AV14" s="114">
        <f t="shared" si="14"/>
        <v>5.7136847549021021E-2</v>
      </c>
      <c r="AW14" s="114">
        <f>Overview!F26</f>
        <v>2.0687181572734151E-2</v>
      </c>
      <c r="AX14" s="114">
        <f>Overview!H26</f>
        <v>1.8574514038876888E-2</v>
      </c>
      <c r="AY14" s="114">
        <f t="shared" si="15"/>
        <v>0.10212447386461639</v>
      </c>
      <c r="AZ14" s="114">
        <f>Overview!F23</f>
        <v>2.4284424358767077E-2</v>
      </c>
      <c r="BA14" s="114">
        <f>Overview!D23</f>
        <v>2.1187500000000001E-2</v>
      </c>
      <c r="BB14" s="114">
        <f t="shared" si="16"/>
        <v>0.12752718833333332</v>
      </c>
      <c r="BC14" s="114">
        <f>Overview!G12</f>
        <v>2.9207794641665907E-2</v>
      </c>
      <c r="BD14" s="114">
        <f>Overview!H12</f>
        <v>2.5558935135541826E-2</v>
      </c>
      <c r="BE14" s="114">
        <f t="shared" si="17"/>
        <v>0.12492759384574895</v>
      </c>
      <c r="BF14" s="114">
        <f>Overview!G12</f>
        <v>2.9207794641665907E-2</v>
      </c>
      <c r="BG14" s="114">
        <f>Overview!D12</f>
        <v>2.6834782608695651E-2</v>
      </c>
      <c r="BH14" s="114">
        <f t="shared" si="18"/>
        <v>8.1245847626752132E-2</v>
      </c>
      <c r="BI14" s="114">
        <f>Overview!H12</f>
        <v>2.5558935135541826E-2</v>
      </c>
      <c r="BJ14" s="114">
        <f>Overview!D12</f>
        <v>2.6834782608695651E-2</v>
      </c>
      <c r="BK14" s="114">
        <f t="shared" si="19"/>
        <v>4.9917864980988713E-2</v>
      </c>
    </row>
    <row r="15" spans="1:63" x14ac:dyDescent="0.5">
      <c r="A15" s="114">
        <v>2.6129943502824857E-2</v>
      </c>
      <c r="B15" s="114">
        <v>4.0849673202614387E-2</v>
      </c>
      <c r="C15" s="114">
        <f t="shared" si="0"/>
        <v>0.56332803391626962</v>
      </c>
      <c r="D15" s="114">
        <f>Overview!B17</f>
        <v>1.5381437835141541E-2</v>
      </c>
      <c r="E15" s="114">
        <f>Overview!E17</f>
        <v>2.0479472312736804E-2</v>
      </c>
      <c r="F15" s="114">
        <f t="shared" si="1"/>
        <v>0.33144069704250445</v>
      </c>
      <c r="G15" s="114">
        <f>Overview!B25</f>
        <v>2.2613256308908484E-2</v>
      </c>
      <c r="H15" s="114">
        <f>Overview!F25</f>
        <v>3.1292904344961785E-2</v>
      </c>
      <c r="I15" s="114">
        <f t="shared" si="2"/>
        <v>0.3838300825624108</v>
      </c>
      <c r="J15" s="114">
        <f>Overview!B16</f>
        <v>2.2289987206081458E-2</v>
      </c>
      <c r="K15" s="114">
        <f>Overview!G16</f>
        <v>1.277511049732645E-2</v>
      </c>
      <c r="L15" s="114">
        <f t="shared" si="3"/>
        <v>0.4268677510123931</v>
      </c>
      <c r="M15" s="114">
        <f>Overview!B13</f>
        <v>2.6129943502824857E-2</v>
      </c>
      <c r="N15" s="114">
        <f>Overview!H13</f>
        <v>2.6249999999999999E-2</v>
      </c>
      <c r="O15" s="114">
        <f t="shared" si="4"/>
        <v>4.594594594594611E-3</v>
      </c>
      <c r="P15" s="114">
        <f>Overview!B13</f>
        <v>2.6129943502824857E-2</v>
      </c>
      <c r="Q15" s="114">
        <f>Overview!D13</f>
        <v>3.1875000000000001E-2</v>
      </c>
      <c r="R15" s="114">
        <f t="shared" si="5"/>
        <v>0.21986486486486495</v>
      </c>
      <c r="S15" s="114">
        <f>Overview!C17</f>
        <v>2.127985068918567E-2</v>
      </c>
      <c r="T15" s="114">
        <f>Overview!E17</f>
        <v>2.0479472312736804E-2</v>
      </c>
      <c r="U15" s="114">
        <f t="shared" si="20"/>
        <v>3.7612029714833239E-2</v>
      </c>
      <c r="V15" s="114">
        <f>Overview!C25</f>
        <v>3.4299723455352593E-2</v>
      </c>
      <c r="W15" s="114">
        <f>Overview!F25</f>
        <v>3.1292904344961785E-2</v>
      </c>
      <c r="X15" s="114">
        <f t="shared" si="6"/>
        <v>8.7663071520233601E-2</v>
      </c>
      <c r="Y15" s="114">
        <f>Overview!C16</f>
        <v>4.0145071456327446E-2</v>
      </c>
      <c r="Z15" s="114">
        <f>Overview!G16</f>
        <v>1.277511049732645E-2</v>
      </c>
      <c r="AA15" s="114">
        <f t="shared" si="7"/>
        <v>0.68177636671480113</v>
      </c>
      <c r="AB15" s="114">
        <f>Overview!C13</f>
        <v>4.0849673202614387E-2</v>
      </c>
      <c r="AC15" s="114">
        <f>Overview!H13</f>
        <v>2.6249999999999999E-2</v>
      </c>
      <c r="AD15" s="114">
        <f t="shared" si="8"/>
        <v>0.35740000000000016</v>
      </c>
      <c r="AE15" s="114">
        <f>Overview!C13</f>
        <v>4.0849673202614387E-2</v>
      </c>
      <c r="AF15" s="114">
        <f>Overview!D13</f>
        <v>3.1875000000000001E-2</v>
      </c>
      <c r="AG15" s="114">
        <f t="shared" si="9"/>
        <v>0.21970000000000012</v>
      </c>
      <c r="AH15" s="114">
        <f>Overview!E25</f>
        <v>2.675983370933702E-2</v>
      </c>
      <c r="AI15" s="114">
        <f>Overview!F25</f>
        <v>3.1292904344961785E-2</v>
      </c>
      <c r="AJ15" s="114">
        <f t="shared" si="10"/>
        <v>0.16939831109799047</v>
      </c>
      <c r="AK15" s="114">
        <f>Overview!E19</f>
        <v>2.7905398856256664E-2</v>
      </c>
      <c r="AL15" s="114">
        <f>Overview!G19</f>
        <v>2.1505421768622586E-2</v>
      </c>
      <c r="AM15" s="114">
        <f t="shared" si="11"/>
        <v>0.22934547972601871</v>
      </c>
      <c r="AN15" s="114">
        <f>Overview!E18</f>
        <v>1.94016558675306E-2</v>
      </c>
      <c r="AO15" s="114">
        <f>Overview!H18</f>
        <v>1.84931822011879E-2</v>
      </c>
      <c r="AP15" s="114">
        <f t="shared" si="12"/>
        <v>4.6824542840338927E-2</v>
      </c>
      <c r="AQ15" s="114">
        <f>Overview!E17</f>
        <v>2.0479472312736804E-2</v>
      </c>
      <c r="AR15" s="114">
        <f>Overview!D17</f>
        <v>1.7469135802469136E-2</v>
      </c>
      <c r="AS15" s="114">
        <f t="shared" si="13"/>
        <v>0.14699287483083476</v>
      </c>
      <c r="AT15" s="114">
        <f>Overview!F27</f>
        <v>2.1776550110563196E-2</v>
      </c>
      <c r="AU15" s="114">
        <f>Overview!G27</f>
        <v>2.550425584500297E-2</v>
      </c>
      <c r="AV15" s="114">
        <f t="shared" si="14"/>
        <v>0.17117981110477037</v>
      </c>
      <c r="AW15" s="114">
        <f>Overview!F27</f>
        <v>2.1776550110563196E-2</v>
      </c>
      <c r="AX15" s="114">
        <f>Overview!H27</f>
        <v>2.0500359971202305E-2</v>
      </c>
      <c r="AY15" s="114">
        <f t="shared" si="15"/>
        <v>5.8603871268931927E-2</v>
      </c>
      <c r="AZ15" s="114">
        <f>Overview!F25</f>
        <v>3.1292904344961785E-2</v>
      </c>
      <c r="BA15" s="114">
        <f>Overview!D25</f>
        <v>3.09375E-2</v>
      </c>
      <c r="BB15" s="114">
        <f t="shared" si="16"/>
        <v>1.1357346094946465E-2</v>
      </c>
      <c r="BC15" s="114">
        <f>Overview!G17</f>
        <v>1.7096347711813648E-2</v>
      </c>
      <c r="BD15" s="114">
        <f>Overview!H17</f>
        <v>1.8466149558172211E-2</v>
      </c>
      <c r="BE15" s="114">
        <f t="shared" si="17"/>
        <v>8.0122484021076898E-2</v>
      </c>
      <c r="BF15" s="114">
        <f>Overview!G16</f>
        <v>1.277511049732645E-2</v>
      </c>
      <c r="BG15" s="114">
        <f>Overview!D16</f>
        <v>2.5754716981132075E-2</v>
      </c>
      <c r="BH15" s="114">
        <f t="shared" si="18"/>
        <v>1.0160073751629759</v>
      </c>
      <c r="BI15" s="114">
        <f>Overview!H13</f>
        <v>2.6249999999999999E-2</v>
      </c>
      <c r="BJ15" s="114">
        <f>Overview!D13</f>
        <v>3.1875000000000001E-2</v>
      </c>
      <c r="BK15" s="114">
        <f t="shared" si="19"/>
        <v>0.21428571428571436</v>
      </c>
    </row>
    <row r="16" spans="1:63" x14ac:dyDescent="0.5">
      <c r="A16" s="114">
        <v>2.0415385034161744E-2</v>
      </c>
      <c r="B16" s="114">
        <v>3.1762164909160215E-2</v>
      </c>
      <c r="C16" s="114">
        <f t="shared" si="0"/>
        <v>0.55579553635709178</v>
      </c>
      <c r="D16" s="114">
        <f>Overview!B18</f>
        <v>1.5166712466794907E-2</v>
      </c>
      <c r="E16" s="114">
        <f>Overview!E18</f>
        <v>1.94016558675306E-2</v>
      </c>
      <c r="F16" s="114">
        <f t="shared" si="1"/>
        <v>0.27922619420704547</v>
      </c>
      <c r="G16" s="114">
        <f>Overview!B26</f>
        <v>2.1864877371587231E-2</v>
      </c>
      <c r="H16" s="114">
        <f>Overview!F26</f>
        <v>2.0687181572734151E-2</v>
      </c>
      <c r="I16" s="114">
        <f t="shared" si="2"/>
        <v>5.3862447012095374E-2</v>
      </c>
      <c r="J16" s="114">
        <f>Overview!B17</f>
        <v>1.5381437835141541E-2</v>
      </c>
      <c r="K16" s="114">
        <f>Overview!G17</f>
        <v>1.7096347711813648E-2</v>
      </c>
      <c r="L16" s="114">
        <f t="shared" si="3"/>
        <v>0.11149216965621384</v>
      </c>
      <c r="M16" s="114">
        <f>Overview!B14</f>
        <v>2.0415385034161744E-2</v>
      </c>
      <c r="N16" s="114">
        <f>Overview!H14</f>
        <v>1.9722222222222221E-2</v>
      </c>
      <c r="O16" s="114">
        <f t="shared" si="4"/>
        <v>3.3952962962963018E-2</v>
      </c>
      <c r="P16" s="114">
        <f>Overview!B14</f>
        <v>2.0415385034161744E-2</v>
      </c>
      <c r="Q16" s="114">
        <f>Overview!D14</f>
        <v>2.1911764705882353E-2</v>
      </c>
      <c r="R16" s="114">
        <f t="shared" si="5"/>
        <v>7.3296666666666677E-2</v>
      </c>
      <c r="S16" s="114">
        <f>Overview!C18</f>
        <v>2.079073674106071E-2</v>
      </c>
      <c r="T16" s="114">
        <f>Overview!E18</f>
        <v>1.94016558675306E-2</v>
      </c>
      <c r="U16" s="114">
        <f t="shared" si="20"/>
        <v>6.6812489178738041E-2</v>
      </c>
      <c r="V16" s="114">
        <f>Overview!C26</f>
        <v>2.9391344596158289E-2</v>
      </c>
      <c r="W16" s="114">
        <f>Overview!F26</f>
        <v>2.0687181572734151E-2</v>
      </c>
      <c r="X16" s="114">
        <f t="shared" si="6"/>
        <v>0.29614715294658039</v>
      </c>
      <c r="Y16" s="114">
        <f>Overview!C17</f>
        <v>2.127985068918567E-2</v>
      </c>
      <c r="Z16" s="114">
        <f>Overview!G17</f>
        <v>1.7096347711813648E-2</v>
      </c>
      <c r="AA16" s="114">
        <f t="shared" si="7"/>
        <v>0.19659456442981815</v>
      </c>
      <c r="AB16" s="114">
        <f>Overview!C14</f>
        <v>3.1762164909160215E-2</v>
      </c>
      <c r="AC16" s="114">
        <f>Overview!H14</f>
        <v>1.9722222222222221E-2</v>
      </c>
      <c r="AD16" s="114">
        <f t="shared" si="8"/>
        <v>0.37906555555555571</v>
      </c>
      <c r="AE16" s="114">
        <f>Overview!C14</f>
        <v>3.1762164909160215E-2</v>
      </c>
      <c r="AF16" s="114">
        <f>Overview!D14</f>
        <v>2.1911764705882353E-2</v>
      </c>
      <c r="AG16" s="114">
        <f t="shared" si="9"/>
        <v>0.31013000000000013</v>
      </c>
      <c r="AH16" s="114">
        <f>Overview!E26</f>
        <v>2.4276556352696134E-2</v>
      </c>
      <c r="AI16" s="114">
        <f>Overview!F26</f>
        <v>2.0687181572734151E-2</v>
      </c>
      <c r="AJ16" s="114">
        <f t="shared" si="10"/>
        <v>0.1478535393494288</v>
      </c>
      <c r="AK16" s="114">
        <f>Overview!E20</f>
        <v>2.6013204545169817E-2</v>
      </c>
      <c r="AL16" s="114">
        <f>Overview!G20</f>
        <v>2.0469488397419605E-2</v>
      </c>
      <c r="AM16" s="114">
        <f t="shared" si="11"/>
        <v>0.2131116194517288</v>
      </c>
      <c r="AN16" s="114">
        <f>Overview!E19</f>
        <v>2.7905398856256664E-2</v>
      </c>
      <c r="AO16" s="114">
        <f>Overview!H19</f>
        <v>2.7698412698412701E-2</v>
      </c>
      <c r="AP16" s="114">
        <f t="shared" si="12"/>
        <v>7.4174233778262072E-3</v>
      </c>
      <c r="AQ16" s="114">
        <f>Overview!E18</f>
        <v>1.94016558675306E-2</v>
      </c>
      <c r="AR16" s="114">
        <f>Overview!D18</f>
        <v>1.6944444444444443E-2</v>
      </c>
      <c r="AS16" s="114">
        <f t="shared" si="13"/>
        <v>0.12664957258614162</v>
      </c>
      <c r="AT16" s="114">
        <f>Overview!F33</f>
        <v>2.4063292725679707E-2</v>
      </c>
      <c r="AU16" s="114">
        <f>Overview!G33</f>
        <v>2.2928504088358195E-2</v>
      </c>
      <c r="AV16" s="114">
        <f t="shared" si="14"/>
        <v>4.7158493654964204E-2</v>
      </c>
      <c r="AW16" s="114">
        <f>Overview!F41</f>
        <v>5.6789224608664E-3</v>
      </c>
      <c r="AX16" s="114">
        <f>Overview!H41</f>
        <v>2.231707317073171E-2</v>
      </c>
      <c r="AY16" s="114">
        <f t="shared" si="15"/>
        <v>2.9298076923076923</v>
      </c>
      <c r="AZ16" s="114">
        <f>Overview!F26</f>
        <v>2.0687181572734151E-2</v>
      </c>
      <c r="BA16" s="114">
        <f>Overview!D26</f>
        <v>2.3700000000000002E-2</v>
      </c>
      <c r="BB16" s="114">
        <f t="shared" si="16"/>
        <v>0.14563696928327671</v>
      </c>
      <c r="BC16" s="114">
        <f>Overview!G18</f>
        <v>1.654243077155056E-2</v>
      </c>
      <c r="BD16" s="114">
        <f>Overview!H18</f>
        <v>1.84931822011879E-2</v>
      </c>
      <c r="BE16" s="114">
        <f t="shared" si="17"/>
        <v>0.11792411022158938</v>
      </c>
      <c r="BF16" s="114">
        <f>Overview!G17</f>
        <v>1.7096347711813648E-2</v>
      </c>
      <c r="BG16" s="114">
        <f>Overview!D17</f>
        <v>1.7469135802469136E-2</v>
      </c>
      <c r="BH16" s="114">
        <f t="shared" si="18"/>
        <v>2.1805130366990069E-2</v>
      </c>
      <c r="BI16" s="114">
        <f>Overview!H14</f>
        <v>1.9722222222222221E-2</v>
      </c>
      <c r="BJ16" s="114">
        <f>Overview!D14</f>
        <v>2.1911764705882353E-2</v>
      </c>
      <c r="BK16" s="114">
        <f t="shared" si="19"/>
        <v>0.11101905550952783</v>
      </c>
    </row>
    <row r="17" spans="1:63" x14ac:dyDescent="0.5">
      <c r="A17" s="114">
        <v>3.5087719298245612E-2</v>
      </c>
      <c r="B17" s="114">
        <v>7.9802069275753479E-2</v>
      </c>
      <c r="C17" s="114">
        <f t="shared" si="0"/>
        <v>1.2743589743589743</v>
      </c>
      <c r="D17" s="114">
        <f>Overview!B19</f>
        <v>2.1640826873385012E-2</v>
      </c>
      <c r="E17" s="114">
        <f>Overview!E19</f>
        <v>2.7905398856256664E-2</v>
      </c>
      <c r="F17" s="114">
        <f t="shared" si="1"/>
        <v>0.28947932625329309</v>
      </c>
      <c r="G17" s="114">
        <f>Overview!B27</f>
        <v>1.8771550362775787E-2</v>
      </c>
      <c r="H17" s="114">
        <f>Overview!F27</f>
        <v>2.1776550110563196E-2</v>
      </c>
      <c r="I17" s="114">
        <f t="shared" si="2"/>
        <v>0.1600826617787714</v>
      </c>
      <c r="J17" s="114">
        <f>Overview!B18</f>
        <v>1.5166712466794907E-2</v>
      </c>
      <c r="K17" s="114">
        <f>Overview!G18</f>
        <v>1.654243077155056E-2</v>
      </c>
      <c r="L17" s="114">
        <f t="shared" si="3"/>
        <v>9.0706427498218098E-2</v>
      </c>
      <c r="M17" s="114">
        <f>Overview!B15</f>
        <v>3.5087719298245612E-2</v>
      </c>
      <c r="N17" s="114">
        <f>Overview!H15</f>
        <v>5.2777732668604554E-2</v>
      </c>
      <c r="O17" s="114">
        <f t="shared" si="4"/>
        <v>0.5041653810552299</v>
      </c>
      <c r="P17" s="114">
        <f>Overview!B15</f>
        <v>3.5087719298245612E-2</v>
      </c>
      <c r="Q17" s="114">
        <f>Overview!D15</f>
        <v>2.1052631578947368E-2</v>
      </c>
      <c r="R17" s="114">
        <f t="shared" si="5"/>
        <v>0.39999999999999997</v>
      </c>
      <c r="S17" s="114">
        <f>Overview!C19</f>
        <v>2.9832869466483888E-2</v>
      </c>
      <c r="T17" s="114">
        <f>Overview!E19</f>
        <v>2.7905398856256664E-2</v>
      </c>
      <c r="U17" s="114">
        <f t="shared" si="20"/>
        <v>6.4608957994894342E-2</v>
      </c>
      <c r="V17" s="114">
        <f>Overview!C27</f>
        <v>2.9373302394186319E-2</v>
      </c>
      <c r="W17" s="114">
        <f>Overview!F27</f>
        <v>2.1776550110563196E-2</v>
      </c>
      <c r="X17" s="114">
        <f t="shared" si="6"/>
        <v>0.25862779001406061</v>
      </c>
      <c r="Y17" s="114">
        <f>Overview!C18</f>
        <v>2.079073674106071E-2</v>
      </c>
      <c r="Z17" s="114">
        <f>Overview!G18</f>
        <v>1.654243077155056E-2</v>
      </c>
      <c r="AA17" s="114">
        <f t="shared" si="7"/>
        <v>0.20433648034799792</v>
      </c>
      <c r="AB17" s="114">
        <f>Overview!C15</f>
        <v>7.9802069275753479E-2</v>
      </c>
      <c r="AC17" s="114">
        <f>Overview!H15</f>
        <v>5.2777732668604554E-2</v>
      </c>
      <c r="AD17" s="114">
        <f t="shared" si="8"/>
        <v>0.33864205342554715</v>
      </c>
      <c r="AE17" s="114">
        <f>Overview!C15</f>
        <v>7.9802069275753479E-2</v>
      </c>
      <c r="AF17" s="114">
        <f>Overview!D15</f>
        <v>2.1052631578947368E-2</v>
      </c>
      <c r="AG17" s="114">
        <f t="shared" si="9"/>
        <v>0.73618940248027065</v>
      </c>
      <c r="AH17" s="114">
        <f>Overview!E27</f>
        <v>2.4249042145593872E-2</v>
      </c>
      <c r="AI17" s="114">
        <f>Overview!F27</f>
        <v>2.1776550110563196E-2</v>
      </c>
      <c r="AJ17" s="114">
        <f t="shared" si="10"/>
        <v>0.10196246186490858</v>
      </c>
      <c r="AK17" s="114">
        <f>Overview!E21</f>
        <v>3.1055295220243671E-2</v>
      </c>
      <c r="AL17" s="114">
        <f>Overview!G21</f>
        <v>2.4385836272180196E-2</v>
      </c>
      <c r="AM17" s="114">
        <f t="shared" si="11"/>
        <v>0.21476076465426508</v>
      </c>
      <c r="AN17" s="114">
        <f>Overview!E22</f>
        <v>2.4817411280101391E-2</v>
      </c>
      <c r="AO17" s="114">
        <f>Overview!H22</f>
        <v>2.2408207343412527E-2</v>
      </c>
      <c r="AP17" s="114">
        <f t="shared" si="12"/>
        <v>9.7077165281157451E-2</v>
      </c>
      <c r="AQ17" s="114">
        <f>Overview!E19</f>
        <v>2.7905398856256664E-2</v>
      </c>
      <c r="AR17" s="114">
        <f>Overview!D19</f>
        <v>2.2777777777777779E-2</v>
      </c>
      <c r="AS17" s="114">
        <f t="shared" si="13"/>
        <v>0.18375014472617804</v>
      </c>
      <c r="AT17" s="114"/>
      <c r="AU17" s="114"/>
      <c r="AV17" s="114"/>
      <c r="AW17" s="114">
        <f>Overview!F48</f>
        <v>1.7770034843205582E-2</v>
      </c>
      <c r="AX17" s="114">
        <f>Overview!H48</f>
        <v>3.0912526997840167E-2</v>
      </c>
      <c r="AY17" s="114">
        <f t="shared" si="15"/>
        <v>0.73958730360394598</v>
      </c>
      <c r="AZ17" s="114">
        <f>Overview!F27</f>
        <v>2.1776550110563196E-2</v>
      </c>
      <c r="BA17" s="114">
        <f>Overview!D27</f>
        <v>2.3409961685823755E-2</v>
      </c>
      <c r="BB17" s="114">
        <f t="shared" si="16"/>
        <v>7.5007821118012491E-2</v>
      </c>
      <c r="BC17" s="114">
        <f>Overview!G19</f>
        <v>2.1505421768622586E-2</v>
      </c>
      <c r="BD17" s="114">
        <f>Overview!H19</f>
        <v>2.7698412698412701E-2</v>
      </c>
      <c r="BE17" s="114">
        <f t="shared" si="17"/>
        <v>0.28797346996588452</v>
      </c>
      <c r="BF17" s="114">
        <f>Overview!G18</f>
        <v>1.654243077155056E-2</v>
      </c>
      <c r="BG17" s="114">
        <f>Overview!D18</f>
        <v>1.6944444444444443E-2</v>
      </c>
      <c r="BH17" s="114">
        <f t="shared" si="18"/>
        <v>2.4301971000855578E-2</v>
      </c>
      <c r="BI17" s="114">
        <f>Overview!H15</f>
        <v>5.2777732668604554E-2</v>
      </c>
      <c r="BJ17" s="114">
        <f>Overview!D15</f>
        <v>2.1052631578947368E-2</v>
      </c>
      <c r="BK17" s="114">
        <f t="shared" si="19"/>
        <v>0.60110769230769234</v>
      </c>
    </row>
    <row r="18" spans="1:63" x14ac:dyDescent="0.5">
      <c r="A18" s="114">
        <v>2.2289987206081458E-2</v>
      </c>
      <c r="B18" s="114">
        <v>4.0145071456327446E-2</v>
      </c>
      <c r="C18" s="114">
        <f t="shared" si="0"/>
        <v>0.80103609235695383</v>
      </c>
      <c r="D18" s="114">
        <f>Overview!B20</f>
        <v>2.2312131849824477E-2</v>
      </c>
      <c r="E18" s="114">
        <f>Overview!E20</f>
        <v>2.6013204545169817E-2</v>
      </c>
      <c r="F18" s="114">
        <f t="shared" si="1"/>
        <v>0.16587714344178436</v>
      </c>
      <c r="G18" s="114">
        <f>Overview!B33</f>
        <v>1.937711609657311E-2</v>
      </c>
      <c r="H18" s="114">
        <f>Overview!F33</f>
        <v>2.4063292725679707E-2</v>
      </c>
      <c r="I18" s="114">
        <f t="shared" si="2"/>
        <v>0.24184076751933992</v>
      </c>
      <c r="J18" s="114">
        <f>Overview!B19</f>
        <v>2.1640826873385012E-2</v>
      </c>
      <c r="K18" s="114">
        <f>Overview!G19</f>
        <v>2.1505421768622586E-2</v>
      </c>
      <c r="L18" s="114">
        <f t="shared" si="3"/>
        <v>6.2569284230518073E-3</v>
      </c>
      <c r="M18" s="114">
        <f>Overview!B17</f>
        <v>1.5381437835141541E-2</v>
      </c>
      <c r="N18" s="114">
        <f>Overview!H17</f>
        <v>1.8466149558172211E-2</v>
      </c>
      <c r="O18" s="114">
        <f t="shared" si="4"/>
        <v>0.2005476832590459</v>
      </c>
      <c r="P18" s="114">
        <f>Overview!B16</f>
        <v>2.2289987206081458E-2</v>
      </c>
      <c r="Q18" s="114">
        <f>Overview!D16</f>
        <v>2.5754716981132075E-2</v>
      </c>
      <c r="R18" s="114">
        <f t="shared" si="5"/>
        <v>0.15543884090275845</v>
      </c>
      <c r="S18" s="114">
        <f>Overview!C20</f>
        <v>3.1255350513440486E-2</v>
      </c>
      <c r="T18" s="114">
        <f>Overview!E20</f>
        <v>2.6013204545169817E-2</v>
      </c>
      <c r="U18" s="114">
        <f t="shared" si="20"/>
        <v>0.16771995457278366</v>
      </c>
      <c r="V18" s="114">
        <f>Overview!C33</f>
        <v>3.3889803443408938E-2</v>
      </c>
      <c r="W18" s="114">
        <f>Overview!F33</f>
        <v>2.4063292725679707E-2</v>
      </c>
      <c r="X18" s="114">
        <f t="shared" si="6"/>
        <v>0.28995478637514316</v>
      </c>
      <c r="Y18" s="114">
        <f>Overview!C19</f>
        <v>2.9832869466483888E-2</v>
      </c>
      <c r="Z18" s="114">
        <f>Overview!G19</f>
        <v>2.1505421768622586E-2</v>
      </c>
      <c r="AA18" s="114">
        <f t="shared" si="7"/>
        <v>0.27913666525497582</v>
      </c>
      <c r="AB18" s="114">
        <f>Overview!C17</f>
        <v>2.127985068918567E-2</v>
      </c>
      <c r="AC18" s="114">
        <f>Overview!H17</f>
        <v>1.8466149558172211E-2</v>
      </c>
      <c r="AD18" s="114">
        <f t="shared" si="8"/>
        <v>0.13222372525589993</v>
      </c>
      <c r="AE18" s="114">
        <f>Overview!C16</f>
        <v>4.0145071456327446E-2</v>
      </c>
      <c r="AF18" s="114">
        <f>Overview!D16</f>
        <v>2.5754716981132075E-2</v>
      </c>
      <c r="AG18" s="114">
        <f t="shared" si="9"/>
        <v>0.35845880834588084</v>
      </c>
      <c r="AH18" s="114">
        <f>Overview!E33</f>
        <v>3.0674194176674149E-2</v>
      </c>
      <c r="AI18" s="114">
        <f>Overview!F33</f>
        <v>2.4063292725679707E-2</v>
      </c>
      <c r="AJ18" s="114">
        <f t="shared" si="10"/>
        <v>0.21551997137781792</v>
      </c>
      <c r="AK18" s="114">
        <f>Overview!E22</f>
        <v>2.4817411280101391E-2</v>
      </c>
      <c r="AL18" s="114">
        <f>Overview!G22</f>
        <v>2.1102979634677506E-2</v>
      </c>
      <c r="AM18" s="114">
        <f t="shared" si="11"/>
        <v>0.14967039081961453</v>
      </c>
      <c r="AN18" s="114">
        <f>Overview!E23</f>
        <v>2.1632000000000002E-2</v>
      </c>
      <c r="AO18" s="114">
        <f>Overview!H23</f>
        <v>1.9546436285097193E-2</v>
      </c>
      <c r="AP18" s="114">
        <f t="shared" si="12"/>
        <v>9.6411044512888733E-2</v>
      </c>
      <c r="AQ18" s="114">
        <f>Overview!E20</f>
        <v>2.6013204545169817E-2</v>
      </c>
      <c r="AR18" s="114">
        <f>Overview!D20</f>
        <v>2.3537414965986395E-2</v>
      </c>
      <c r="AS18" s="114">
        <f t="shared" si="13"/>
        <v>9.5174340204199556E-2</v>
      </c>
      <c r="AT18" s="114"/>
      <c r="AU18" s="124">
        <f>RSQ(AT5:AT16,AU5:AU16)</f>
        <v>0.159789649616909</v>
      </c>
      <c r="AV18" s="124">
        <f>AVERAGE(AV5:AV16)</f>
        <v>0.12872877392293727</v>
      </c>
      <c r="AW18" s="114"/>
      <c r="AX18" s="114"/>
      <c r="AY18" s="114"/>
      <c r="AZ18" s="114">
        <f>Overview!F33</f>
        <v>2.4063292725679707E-2</v>
      </c>
      <c r="BA18" s="114">
        <f>Overview!D33</f>
        <v>2.3636363636363636E-2</v>
      </c>
      <c r="BB18" s="114">
        <f t="shared" si="16"/>
        <v>1.7741923110151256E-2</v>
      </c>
      <c r="BC18" s="114">
        <f>Overview!G22</f>
        <v>2.1102979634677506E-2</v>
      </c>
      <c r="BD18" s="114">
        <f>Overview!H22</f>
        <v>2.2408207343412527E-2</v>
      </c>
      <c r="BE18" s="114">
        <f t="shared" si="17"/>
        <v>6.18503989166631E-2</v>
      </c>
      <c r="BF18" s="114">
        <f>Overview!G19</f>
        <v>2.1505421768622586E-2</v>
      </c>
      <c r="BG18" s="114">
        <f>Overview!D19</f>
        <v>2.2777777777777779E-2</v>
      </c>
      <c r="BH18" s="114">
        <f t="shared" si="18"/>
        <v>5.9164429456185767E-2</v>
      </c>
      <c r="BI18" s="114">
        <f>Overview!H17</f>
        <v>1.8466149558172211E-2</v>
      </c>
      <c r="BJ18" s="114">
        <f>Overview!D17</f>
        <v>1.7469135802469136E-2</v>
      </c>
      <c r="BK18" s="114">
        <f t="shared" si="19"/>
        <v>5.3991426450992065E-2</v>
      </c>
    </row>
    <row r="19" spans="1:63" x14ac:dyDescent="0.5">
      <c r="A19" s="114">
        <v>1.5381437835141541E-2</v>
      </c>
      <c r="B19" s="114">
        <v>2.127985068918567E-2</v>
      </c>
      <c r="C19" s="114">
        <f t="shared" si="0"/>
        <v>0.38347603892844079</v>
      </c>
      <c r="D19" s="114">
        <f>Overview!B21</f>
        <v>2.3268190542662711E-2</v>
      </c>
      <c r="E19" s="114">
        <f>Overview!E21</f>
        <v>3.1055295220243671E-2</v>
      </c>
      <c r="F19" s="114">
        <f t="shared" si="1"/>
        <v>0.33466739337995111</v>
      </c>
      <c r="G19" s="114">
        <f>Overview!B39</f>
        <v>2.6976272046694581E-2</v>
      </c>
      <c r="H19" s="114">
        <f>Overview!F39</f>
        <v>1.6864864864864867E-2</v>
      </c>
      <c r="I19" s="114">
        <f t="shared" si="2"/>
        <v>0.37482596425211656</v>
      </c>
      <c r="J19" s="114">
        <f>Overview!B20</f>
        <v>2.2312131849824477E-2</v>
      </c>
      <c r="K19" s="114">
        <f>Overview!G20</f>
        <v>2.0469488397419605E-2</v>
      </c>
      <c r="L19" s="114">
        <f t="shared" si="3"/>
        <v>8.2584822678849826E-2</v>
      </c>
      <c r="M19" s="114">
        <f>Overview!B18</f>
        <v>1.5166712466794907E-2</v>
      </c>
      <c r="N19" s="114">
        <f>Overview!H18</f>
        <v>1.84931822011879E-2</v>
      </c>
      <c r="O19" s="114">
        <f t="shared" si="4"/>
        <v>0.21932701247391395</v>
      </c>
      <c r="P19" s="114">
        <f>Overview!B17</f>
        <v>1.5381437835141541E-2</v>
      </c>
      <c r="Q19" s="114">
        <f>Overview!D17</f>
        <v>1.7469135802469136E-2</v>
      </c>
      <c r="R19" s="114">
        <f t="shared" si="5"/>
        <v>0.13572840131745623</v>
      </c>
      <c r="S19" s="114">
        <f>Overview!C21</f>
        <v>4.3930021868166212E-2</v>
      </c>
      <c r="T19" s="114">
        <f>Overview!E21</f>
        <v>3.1055295220243671E-2</v>
      </c>
      <c r="U19" s="114">
        <f t="shared" si="20"/>
        <v>0.29307353150334264</v>
      </c>
      <c r="V19" s="114">
        <f>Overview!C39</f>
        <v>4.6377911388710544E-2</v>
      </c>
      <c r="W19" s="114">
        <f>Overview!F39</f>
        <v>1.6864864864864867E-2</v>
      </c>
      <c r="X19" s="114">
        <f t="shared" si="6"/>
        <v>0.63635997482693529</v>
      </c>
      <c r="Y19" s="114">
        <f>Overview!C20</f>
        <v>3.1255350513440486E-2</v>
      </c>
      <c r="Z19" s="114">
        <f>Overview!G20</f>
        <v>2.0469488397419605E-2</v>
      </c>
      <c r="AA19" s="114">
        <f t="shared" si="7"/>
        <v>0.34508850289113613</v>
      </c>
      <c r="AB19" s="114">
        <f>Overview!C18</f>
        <v>2.079073674106071E-2</v>
      </c>
      <c r="AC19" s="114">
        <f>Overview!H18</f>
        <v>1.84931822011879E-2</v>
      </c>
      <c r="AD19" s="114">
        <f t="shared" si="8"/>
        <v>0.11050856775725748</v>
      </c>
      <c r="AE19" s="114">
        <f>Overview!C17</f>
        <v>2.127985068918567E-2</v>
      </c>
      <c r="AF19" s="114">
        <f>Overview!D17</f>
        <v>1.7469135802469136E-2</v>
      </c>
      <c r="AG19" s="114">
        <f t="shared" si="9"/>
        <v>0.17907620416966188</v>
      </c>
      <c r="AH19" s="114">
        <f>Overview!E48</f>
        <v>5.822594661700807E-2</v>
      </c>
      <c r="AI19" s="114">
        <f>Overview!F48</f>
        <v>1.7770034843205582E-2</v>
      </c>
      <c r="AJ19" s="114">
        <f t="shared" si="10"/>
        <v>0.69480900052872874</v>
      </c>
      <c r="AK19" s="114">
        <f>Overview!E23</f>
        <v>2.1632000000000002E-2</v>
      </c>
      <c r="AL19" s="114">
        <f>Overview!G23</f>
        <v>1.9335959540771976E-2</v>
      </c>
      <c r="AM19" s="114">
        <f t="shared" si="11"/>
        <v>0.10614092359597015</v>
      </c>
      <c r="AN19" s="114">
        <f>Overview!E24</f>
        <v>2.0470158997449694E-2</v>
      </c>
      <c r="AO19" s="114">
        <f>Overview!H24</f>
        <v>1.9006479481641469E-2</v>
      </c>
      <c r="AP19" s="114">
        <f t="shared" si="12"/>
        <v>7.1503084855890936E-2</v>
      </c>
      <c r="AQ19" s="114">
        <f>Overview!E21</f>
        <v>3.1055295220243671E-2</v>
      </c>
      <c r="AR19" s="114">
        <f>Overview!D21</f>
        <v>3.1909090909090908E-2</v>
      </c>
      <c r="AS19" s="114">
        <f t="shared" si="13"/>
        <v>2.7492757122163269E-2</v>
      </c>
      <c r="AT19" s="114"/>
      <c r="AU19" s="114" t="s">
        <v>236</v>
      </c>
      <c r="AV19" s="114" t="s">
        <v>229</v>
      </c>
      <c r="AW19" s="114"/>
      <c r="AX19" s="124">
        <f>RSQ(AW5:AW17,AX5:AX17)</f>
        <v>3.7283738608881581E-2</v>
      </c>
      <c r="AY19" s="124">
        <f>AVERAGE(AY5:AY17)</f>
        <v>0.52979366888788559</v>
      </c>
      <c r="AZ19" s="114">
        <f>Overview!F39</f>
        <v>1.6864864864864867E-2</v>
      </c>
      <c r="BA19" s="114">
        <f>Overview!D39</f>
        <v>7.8378378378378376E-3</v>
      </c>
      <c r="BB19" s="114">
        <f t="shared" si="16"/>
        <v>0.53525641025641035</v>
      </c>
      <c r="BC19" s="114">
        <f>Overview!G23</f>
        <v>1.9335959540771976E-2</v>
      </c>
      <c r="BD19" s="114">
        <f>Overview!H23</f>
        <v>1.9546436285097193E-2</v>
      </c>
      <c r="BE19" s="114">
        <f t="shared" si="17"/>
        <v>1.0885249520790733E-2</v>
      </c>
      <c r="BF19" s="114">
        <f>Overview!G20</f>
        <v>2.0469488397419605E-2</v>
      </c>
      <c r="BG19" s="114">
        <f>Overview!D20</f>
        <v>2.3537414965986395E-2</v>
      </c>
      <c r="BH19" s="114">
        <f t="shared" si="18"/>
        <v>0.14987802865427424</v>
      </c>
      <c r="BI19" s="114">
        <f>Overview!H18</f>
        <v>1.84931822011879E-2</v>
      </c>
      <c r="BJ19" s="114">
        <f>Overview!D18</f>
        <v>1.6944444444444443E-2</v>
      </c>
      <c r="BK19" s="114">
        <f t="shared" si="19"/>
        <v>8.3746417457779387E-2</v>
      </c>
    </row>
    <row r="20" spans="1:63" x14ac:dyDescent="0.5">
      <c r="A20" s="114">
        <v>1.5166712466794907E-2</v>
      </c>
      <c r="B20" s="114">
        <v>2.079073674106071E-2</v>
      </c>
      <c r="C20" s="114">
        <f t="shared" si="0"/>
        <v>0.37081366753531492</v>
      </c>
      <c r="D20" s="114">
        <f>Overview!B22</f>
        <v>2.0794985497545739E-2</v>
      </c>
      <c r="E20" s="114">
        <f>Overview!E22</f>
        <v>2.4817411280101391E-2</v>
      </c>
      <c r="F20" s="114">
        <f t="shared" si="1"/>
        <v>0.19343248799237611</v>
      </c>
      <c r="G20" s="114">
        <f>Overview!B40</f>
        <v>1.8964467005076143E-2</v>
      </c>
      <c r="H20" s="114">
        <f>Overview!F40</f>
        <v>1.1818181818181821E-2</v>
      </c>
      <c r="I20" s="114">
        <f t="shared" si="2"/>
        <v>0.37682499513334616</v>
      </c>
      <c r="J20" s="114">
        <f>Overview!B21</f>
        <v>2.3268190542662711E-2</v>
      </c>
      <c r="K20" s="114">
        <f>Overview!G21</f>
        <v>2.4385836272180196E-2</v>
      </c>
      <c r="L20" s="114">
        <f t="shared" si="3"/>
        <v>4.8033203418557983E-2</v>
      </c>
      <c r="M20" s="114">
        <f>Overview!B19</f>
        <v>2.1640826873385012E-2</v>
      </c>
      <c r="N20" s="114">
        <f>Overview!H19</f>
        <v>2.7698412698412701E-2</v>
      </c>
      <c r="O20" s="114">
        <f t="shared" si="4"/>
        <v>0.27991471215351832</v>
      </c>
      <c r="P20" s="114">
        <f>Overview!B18</f>
        <v>1.5166712466794907E-2</v>
      </c>
      <c r="Q20" s="114">
        <f>Overview!D18</f>
        <v>1.6944444444444443E-2</v>
      </c>
      <c r="R20" s="114">
        <f t="shared" si="5"/>
        <v>0.11721274346972657</v>
      </c>
      <c r="S20" s="114">
        <f>Overview!C22</f>
        <v>2.9463719898605838E-2</v>
      </c>
      <c r="T20" s="114">
        <f>Overview!E22</f>
        <v>2.4817411280101391E-2</v>
      </c>
      <c r="U20" s="114">
        <f t="shared" si="20"/>
        <v>0.15769592687189171</v>
      </c>
      <c r="V20" s="114">
        <f>Overview!C40</f>
        <v>4.4195804195804191E-2</v>
      </c>
      <c r="W20" s="114">
        <f>Overview!F40</f>
        <v>1.1818181818181821E-2</v>
      </c>
      <c r="X20" s="114">
        <f t="shared" si="6"/>
        <v>0.73259493670886078</v>
      </c>
      <c r="Y20" s="114">
        <f>Overview!C21</f>
        <v>4.3930021868166212E-2</v>
      </c>
      <c r="Z20" s="114">
        <f>Overview!G21</f>
        <v>2.4385836272180196E-2</v>
      </c>
      <c r="AA20" s="114">
        <f t="shared" si="7"/>
        <v>0.44489360043202403</v>
      </c>
      <c r="AB20" s="114">
        <f>Overview!C19</f>
        <v>2.9832869466483888E-2</v>
      </c>
      <c r="AC20" s="114">
        <f>Overview!H19</f>
        <v>2.7698412698412701E-2</v>
      </c>
      <c r="AD20" s="114">
        <f t="shared" si="8"/>
        <v>7.1547149377272232E-2</v>
      </c>
      <c r="AE20" s="114">
        <f>Overview!C18</f>
        <v>2.079073674106071E-2</v>
      </c>
      <c r="AF20" s="114">
        <f>Overview!D18</f>
        <v>1.6944444444444443E-2</v>
      </c>
      <c r="AG20" s="114">
        <f t="shared" si="9"/>
        <v>0.18500028856697628</v>
      </c>
      <c r="AH20" s="114">
        <f>Overview!E50</f>
        <v>3.3925471559651602E-2</v>
      </c>
      <c r="AI20" s="114">
        <f>Overview!F50</f>
        <v>2.219061544142191E-2</v>
      </c>
      <c r="AJ20" s="114">
        <f t="shared" si="10"/>
        <v>0.34590104658077164</v>
      </c>
      <c r="AK20" s="114">
        <f>Overview!E24</f>
        <v>2.0470158997449694E-2</v>
      </c>
      <c r="AL20" s="114">
        <f>Overview!G24</f>
        <v>1.6927057579567518E-2</v>
      </c>
      <c r="AM20" s="114">
        <f t="shared" si="11"/>
        <v>0.17308616988874387</v>
      </c>
      <c r="AN20" s="114">
        <f>Overview!E25</f>
        <v>2.675983370933702E-2</v>
      </c>
      <c r="AO20" s="114">
        <f>Overview!H25</f>
        <v>2.6700863930885527E-2</v>
      </c>
      <c r="AP20" s="114">
        <f t="shared" si="12"/>
        <v>2.2036675971912915E-3</v>
      </c>
      <c r="AQ20" s="114">
        <f>Overview!E22</f>
        <v>2.4817411280101391E-2</v>
      </c>
      <c r="AR20" s="114">
        <f>Overview!D22</f>
        <v>2.328125E-2</v>
      </c>
      <c r="AS20" s="114">
        <f t="shared" si="13"/>
        <v>6.189853013932544E-2</v>
      </c>
      <c r="AT20" s="114"/>
      <c r="AU20" s="114"/>
      <c r="AV20" s="114"/>
      <c r="AW20" s="114"/>
      <c r="AX20" s="114" t="s">
        <v>236</v>
      </c>
      <c r="AY20" s="114" t="s">
        <v>229</v>
      </c>
      <c r="AZ20" s="114">
        <f>Overview!F40</f>
        <v>1.1818181818181821E-2</v>
      </c>
      <c r="BA20" s="114">
        <f>Overview!D40</f>
        <v>3.4000000000000002E-3</v>
      </c>
      <c r="BB20" s="114">
        <f t="shared" si="16"/>
        <v>0.71230769230769242</v>
      </c>
      <c r="BC20" s="114">
        <f>Overview!G24</f>
        <v>1.6927057579567518E-2</v>
      </c>
      <c r="BD20" s="114">
        <f>Overview!H24</f>
        <v>1.9006479481641469E-2</v>
      </c>
      <c r="BE20" s="114">
        <f t="shared" si="17"/>
        <v>0.12284603465778962</v>
      </c>
      <c r="BF20" s="114">
        <f>Overview!G21</f>
        <v>2.4385836272180196E-2</v>
      </c>
      <c r="BG20" s="114">
        <f>Overview!D21</f>
        <v>3.1909090909090908E-2</v>
      </c>
      <c r="BH20" s="114">
        <f t="shared" si="18"/>
        <v>0.3085091916857236</v>
      </c>
      <c r="BI20" s="114">
        <f>Overview!H19</f>
        <v>2.7698412698412701E-2</v>
      </c>
      <c r="BJ20" s="114">
        <f>Overview!D19</f>
        <v>2.2777777777777779E-2</v>
      </c>
      <c r="BK20" s="114">
        <f t="shared" si="19"/>
        <v>0.177650429799427</v>
      </c>
    </row>
    <row r="21" spans="1:63" x14ac:dyDescent="0.5">
      <c r="A21" s="114">
        <v>2.1640826873385012E-2</v>
      </c>
      <c r="B21" s="114">
        <v>2.9832869466483888E-2</v>
      </c>
      <c r="C21" s="114">
        <f t="shared" si="0"/>
        <v>0.37854572937662867</v>
      </c>
      <c r="D21" s="114">
        <f>Overview!B23</f>
        <v>1.8957909029192123E-2</v>
      </c>
      <c r="E21" s="114">
        <f>Overview!E23</f>
        <v>2.1632000000000002E-2</v>
      </c>
      <c r="F21" s="114">
        <f t="shared" si="1"/>
        <v>0.14105410922112824</v>
      </c>
      <c r="G21" s="114">
        <f>Overview!B41</f>
        <v>1.7078213511287424E-2</v>
      </c>
      <c r="H21" s="114">
        <f>Overview!F41</f>
        <v>5.6789224608664E-3</v>
      </c>
      <c r="I21" s="114">
        <f t="shared" si="2"/>
        <v>0.66747561405570577</v>
      </c>
      <c r="J21" s="114">
        <f>Overview!B22</f>
        <v>2.0794985497545739E-2</v>
      </c>
      <c r="K21" s="114">
        <f>Overview!G22</f>
        <v>2.1102979634677506E-2</v>
      </c>
      <c r="L21" s="114">
        <f t="shared" si="3"/>
        <v>1.4810981097732273E-2</v>
      </c>
      <c r="M21" s="114">
        <f>Overview!B22</f>
        <v>2.0794985497545739E-2</v>
      </c>
      <c r="N21" s="114">
        <f>Overview!H22</f>
        <v>2.2408207343412527E-2</v>
      </c>
      <c r="O21" s="114">
        <f t="shared" si="4"/>
        <v>7.7577445103637274E-2</v>
      </c>
      <c r="P21" s="114">
        <f>Overview!B19</f>
        <v>2.1640826873385012E-2</v>
      </c>
      <c r="Q21" s="114">
        <f>Overview!D19</f>
        <v>2.2777777777777779E-2</v>
      </c>
      <c r="R21" s="114">
        <f t="shared" si="5"/>
        <v>5.2537313432835908E-2</v>
      </c>
      <c r="S21" s="114">
        <f>Overview!C23</f>
        <v>2.7139999999999991E-2</v>
      </c>
      <c r="T21" s="114">
        <f>Overview!E23</f>
        <v>2.1632000000000002E-2</v>
      </c>
      <c r="U21" s="114">
        <f t="shared" si="20"/>
        <v>0.20294767870302102</v>
      </c>
      <c r="V21" s="114">
        <f>Overview!C41</f>
        <v>2.9719057935565032E-2</v>
      </c>
      <c r="W21" s="114">
        <f>Overview!F41</f>
        <v>5.6789224608664E-3</v>
      </c>
      <c r="X21" s="114">
        <f t="shared" si="6"/>
        <v>0.80891310642554426</v>
      </c>
      <c r="Y21" s="114">
        <f>Overview!C22</f>
        <v>2.9463719898605838E-2</v>
      </c>
      <c r="Z21" s="114">
        <f>Overview!G22</f>
        <v>2.1102979634677506E-2</v>
      </c>
      <c r="AA21" s="114">
        <f t="shared" si="7"/>
        <v>0.28376390668592888</v>
      </c>
      <c r="AB21" s="114">
        <f>Overview!C22</f>
        <v>2.9463719898605838E-2</v>
      </c>
      <c r="AC21" s="114">
        <f>Overview!H22</f>
        <v>2.2408207343412527E-2</v>
      </c>
      <c r="AD21" s="114">
        <f t="shared" si="8"/>
        <v>0.23946441859594123</v>
      </c>
      <c r="AE21" s="114">
        <f>Overview!C19</f>
        <v>2.9832869466483888E-2</v>
      </c>
      <c r="AF21" s="114">
        <f>Overview!D19</f>
        <v>2.2777777777777779E-2</v>
      </c>
      <c r="AG21" s="114">
        <f t="shared" si="9"/>
        <v>0.236487197338903</v>
      </c>
      <c r="AH21" s="114"/>
      <c r="AI21" s="114"/>
      <c r="AJ21" s="114"/>
      <c r="AK21" s="114">
        <f>Overview!E25</f>
        <v>2.675983370933702E-2</v>
      </c>
      <c r="AL21" s="114">
        <f>Overview!G25</f>
        <v>3.0998428062404364E-2</v>
      </c>
      <c r="AM21" s="114">
        <f t="shared" si="11"/>
        <v>0.15839389732786036</v>
      </c>
      <c r="AN21" s="114">
        <f>Overview!E26</f>
        <v>2.4276556352696134E-2</v>
      </c>
      <c r="AO21" s="114">
        <f>Overview!H26</f>
        <v>1.8574514038876888E-2</v>
      </c>
      <c r="AP21" s="114">
        <f t="shared" si="12"/>
        <v>0.2348785482989634</v>
      </c>
      <c r="AQ21" s="114">
        <f>Overview!E23</f>
        <v>2.1632000000000002E-2</v>
      </c>
      <c r="AR21" s="114">
        <f>Overview!D23</f>
        <v>2.1187500000000001E-2</v>
      </c>
      <c r="AS21" s="114">
        <f t="shared" si="13"/>
        <v>2.0548261834319546E-2</v>
      </c>
      <c r="AT21" s="114"/>
      <c r="AU21" s="114"/>
      <c r="AV21" s="114"/>
      <c r="AW21" s="114"/>
      <c r="AX21" s="114"/>
      <c r="AY21" s="114"/>
      <c r="AZ21" s="114">
        <f>Overview!F41</f>
        <v>5.6789224608664E-3</v>
      </c>
      <c r="BA21" s="114">
        <f>Overview!D41</f>
        <v>1.3414634146341465E-2</v>
      </c>
      <c r="BB21" s="114">
        <f t="shared" si="16"/>
        <v>1.3621794871794872</v>
      </c>
      <c r="BC21" s="114">
        <f>Overview!G25</f>
        <v>3.0998428062404364E-2</v>
      </c>
      <c r="BD21" s="114">
        <f>Overview!H25</f>
        <v>2.6700863930885527E-2</v>
      </c>
      <c r="BE21" s="114">
        <f t="shared" si="17"/>
        <v>0.13863813103255473</v>
      </c>
      <c r="BF21" s="114">
        <f>Overview!G22</f>
        <v>2.1102979634677506E-2</v>
      </c>
      <c r="BG21" s="114">
        <f>Overview!D22</f>
        <v>2.328125E-2</v>
      </c>
      <c r="BH21" s="114">
        <f t="shared" si="18"/>
        <v>0.1032209859949373</v>
      </c>
      <c r="BI21" s="114">
        <f>Overview!H22</f>
        <v>2.2408207343412527E-2</v>
      </c>
      <c r="BJ21" s="114">
        <f>Overview!D22</f>
        <v>2.328125E-2</v>
      </c>
      <c r="BK21" s="114">
        <f t="shared" si="19"/>
        <v>3.8960843373493967E-2</v>
      </c>
    </row>
    <row r="22" spans="1:63" x14ac:dyDescent="0.5">
      <c r="A22" s="114">
        <v>2.2312131849824477E-2</v>
      </c>
      <c r="B22" s="114">
        <v>3.1255350513440486E-2</v>
      </c>
      <c r="C22" s="114">
        <f t="shared" si="0"/>
        <v>0.40082313621171806</v>
      </c>
      <c r="D22" s="114">
        <f>Overview!B24</f>
        <v>1.7824956503039901E-2</v>
      </c>
      <c r="E22" s="114">
        <f>Overview!E24</f>
        <v>2.0470158997449694E-2</v>
      </c>
      <c r="F22" s="114">
        <f t="shared" si="1"/>
        <v>0.14839881903547286</v>
      </c>
      <c r="G22" s="114">
        <f>Overview!B48</f>
        <v>2.2059439095856007E-2</v>
      </c>
      <c r="H22" s="114">
        <f>Overview!F48</f>
        <v>1.7770034843205582E-2</v>
      </c>
      <c r="I22" s="114">
        <f t="shared" si="2"/>
        <v>0.19444756659548132</v>
      </c>
      <c r="J22" s="114">
        <f>Overview!B23</f>
        <v>1.8957909029192123E-2</v>
      </c>
      <c r="K22" s="114">
        <f>Overview!G23</f>
        <v>1.9335959540771976E-2</v>
      </c>
      <c r="L22" s="114">
        <f t="shared" si="3"/>
        <v>1.9941572195420702E-2</v>
      </c>
      <c r="M22" s="114">
        <f>Overview!B23</f>
        <v>1.8957909029192123E-2</v>
      </c>
      <c r="N22" s="114">
        <f>Overview!H23</f>
        <v>1.9546436285097193E-2</v>
      </c>
      <c r="O22" s="114">
        <f t="shared" si="4"/>
        <v>3.1043890705395451E-2</v>
      </c>
      <c r="P22" s="114">
        <f>Overview!B20</f>
        <v>2.2312131849824477E-2</v>
      </c>
      <c r="Q22" s="114">
        <f>Overview!D20</f>
        <v>2.3537414965986395E-2</v>
      </c>
      <c r="R22" s="114">
        <f t="shared" si="5"/>
        <v>5.4915555555555592E-2</v>
      </c>
      <c r="S22" s="114">
        <f>Overview!C24</f>
        <v>1.7780441971421951E-2</v>
      </c>
      <c r="T22" s="114">
        <f>Overview!E24</f>
        <v>2.0470158997449694E-2</v>
      </c>
      <c r="U22" s="114">
        <f t="shared" si="20"/>
        <v>0.15127391267049811</v>
      </c>
      <c r="V22" s="114">
        <f>Overview!C48</f>
        <v>6.2073246430788369E-2</v>
      </c>
      <c r="W22" s="114">
        <f>Overview!F48</f>
        <v>1.7770034843205582E-2</v>
      </c>
      <c r="X22" s="114">
        <f t="shared" si="6"/>
        <v>0.7137247386759582</v>
      </c>
      <c r="Y22" s="114">
        <f>Overview!C23</f>
        <v>2.7139999999999991E-2</v>
      </c>
      <c r="Z22" s="114">
        <f>Overview!G23</f>
        <v>1.9335959540771976E-2</v>
      </c>
      <c r="AA22" s="114">
        <f t="shared" si="7"/>
        <v>0.28754754823979434</v>
      </c>
      <c r="AB22" s="114">
        <f>Overview!C23</f>
        <v>2.7139999999999991E-2</v>
      </c>
      <c r="AC22" s="114">
        <f>Overview!H23</f>
        <v>1.9546436285097193E-2</v>
      </c>
      <c r="AD22" s="114">
        <f t="shared" si="8"/>
        <v>0.27979232553068534</v>
      </c>
      <c r="AE22" s="114">
        <f>Overview!C20</f>
        <v>3.1255350513440486E-2</v>
      </c>
      <c r="AF22" s="114">
        <f>Overview!D20</f>
        <v>2.3537414965986395E-2</v>
      </c>
      <c r="AG22" s="114">
        <f t="shared" si="9"/>
        <v>0.24693165876144021</v>
      </c>
      <c r="AH22" s="114"/>
      <c r="AI22" s="124">
        <f>RSQ(AH5:AH20,AI5:AI20)</f>
        <v>5.6363845427371086E-2</v>
      </c>
      <c r="AJ22" s="124">
        <f>AVERAGE(AJ5:AJ20)</f>
        <v>0.24604011512903495</v>
      </c>
      <c r="AK22" s="114">
        <f>Overview!E26</f>
        <v>2.4276556352696134E-2</v>
      </c>
      <c r="AL22" s="114">
        <f>Overview!G26</f>
        <v>2.1869181912474379E-2</v>
      </c>
      <c r="AM22" s="114">
        <f t="shared" si="11"/>
        <v>9.9164576937799259E-2</v>
      </c>
      <c r="AN22" s="114">
        <f>Overview!E27</f>
        <v>2.4249042145593872E-2</v>
      </c>
      <c r="AO22" s="114">
        <f>Overview!H27</f>
        <v>2.0500359971202305E-2</v>
      </c>
      <c r="AP22" s="114">
        <f t="shared" si="12"/>
        <v>0.15459093814444602</v>
      </c>
      <c r="AQ22" s="114">
        <f>Overview!E24</f>
        <v>2.0470158997449694E-2</v>
      </c>
      <c r="AR22" s="114">
        <f>Overview!D24</f>
        <v>1.3785310734463277E-2</v>
      </c>
      <c r="AS22" s="114">
        <f t="shared" si="13"/>
        <v>0.32656552710798481</v>
      </c>
      <c r="AT22" s="114"/>
      <c r="AU22" s="114"/>
      <c r="AV22" s="114"/>
      <c r="AW22" s="114"/>
      <c r="AX22" s="114"/>
      <c r="AY22" s="114"/>
      <c r="AZ22" s="114">
        <f>Overview!F48</f>
        <v>1.7770034843205582E-2</v>
      </c>
      <c r="BA22" s="114">
        <f>Overview!D48</f>
        <v>1.4333333333333333E-2</v>
      </c>
      <c r="BB22" s="114">
        <f t="shared" si="16"/>
        <v>0.19339869281045785</v>
      </c>
      <c r="BC22" s="114">
        <f>Overview!G26</f>
        <v>2.1869181912474379E-2</v>
      </c>
      <c r="BD22" s="114">
        <f>Overview!H26</f>
        <v>1.8574514038876888E-2</v>
      </c>
      <c r="BE22" s="114">
        <f t="shared" si="17"/>
        <v>0.15065345776460812</v>
      </c>
      <c r="BF22" s="114">
        <f>Overview!G23</f>
        <v>1.9335959540771976E-2</v>
      </c>
      <c r="BG22" s="114">
        <f>Overview!D23</f>
        <v>2.1187500000000001E-2</v>
      </c>
      <c r="BH22" s="114">
        <f t="shared" si="18"/>
        <v>9.5756326719853305E-2</v>
      </c>
      <c r="BI22" s="114">
        <f>Overview!H23</f>
        <v>1.9546436285097193E-2</v>
      </c>
      <c r="BJ22" s="114">
        <f>Overview!D23</f>
        <v>2.1187500000000001E-2</v>
      </c>
      <c r="BK22" s="114">
        <f t="shared" si="19"/>
        <v>8.3957182320442039E-2</v>
      </c>
    </row>
    <row r="23" spans="1:63" x14ac:dyDescent="0.5">
      <c r="A23" s="114">
        <v>2.3268190542662711E-2</v>
      </c>
      <c r="B23" s="114">
        <v>4.3930021868166212E-2</v>
      </c>
      <c r="C23" s="114">
        <f t="shared" si="0"/>
        <v>0.88798616667761954</v>
      </c>
      <c r="D23" s="114">
        <f>Overview!B25</f>
        <v>2.2613256308908484E-2</v>
      </c>
      <c r="E23" s="114">
        <f>Overview!E25</f>
        <v>2.675983370933702E-2</v>
      </c>
      <c r="F23" s="114">
        <f t="shared" si="1"/>
        <v>0.18336931858836242</v>
      </c>
      <c r="G23" s="114">
        <f>Overview!B50</f>
        <v>2.2077597957342241E-2</v>
      </c>
      <c r="H23" s="114">
        <f>Overview!F50</f>
        <v>2.219061544142191E-2</v>
      </c>
      <c r="I23" s="114">
        <f t="shared" si="2"/>
        <v>5.1191023723703155E-3</v>
      </c>
      <c r="J23" s="114">
        <f>Overview!B24</f>
        <v>1.7824956503039901E-2</v>
      </c>
      <c r="K23" s="114">
        <f>Overview!G24</f>
        <v>1.6927057579567518E-2</v>
      </c>
      <c r="L23" s="114">
        <f t="shared" si="3"/>
        <v>5.0373134056133806E-2</v>
      </c>
      <c r="M23" s="114">
        <f>Overview!B24</f>
        <v>1.7824956503039901E-2</v>
      </c>
      <c r="N23" s="114">
        <f>Overview!H24</f>
        <v>1.9006479481641469E-2</v>
      </c>
      <c r="O23" s="114">
        <f t="shared" si="4"/>
        <v>6.6284760829574504E-2</v>
      </c>
      <c r="P23" s="114">
        <f>Overview!B21</f>
        <v>2.3268190542662711E-2</v>
      </c>
      <c r="Q23" s="114">
        <f>Overview!D21</f>
        <v>3.1909090909090908E-2</v>
      </c>
      <c r="R23" s="114">
        <f t="shared" si="5"/>
        <v>0.37136107986501687</v>
      </c>
      <c r="S23" s="114">
        <f>Overview!C25</f>
        <v>3.4299723455352593E-2</v>
      </c>
      <c r="T23" s="114">
        <f>Overview!E25</f>
        <v>2.675983370933702E-2</v>
      </c>
      <c r="U23" s="114">
        <f t="shared" si="20"/>
        <v>0.21982363081819387</v>
      </c>
      <c r="V23" s="114">
        <f>Overview!C50</f>
        <v>3.9020390811229357E-2</v>
      </c>
      <c r="W23" s="114">
        <f>Overview!F50</f>
        <v>2.219061544142191E-2</v>
      </c>
      <c r="X23" s="114">
        <f t="shared" si="6"/>
        <v>0.43130719656872696</v>
      </c>
      <c r="Y23" s="114">
        <f>Overview!C24</f>
        <v>1.7780441971421951E-2</v>
      </c>
      <c r="Z23" s="114">
        <f>Overview!G24</f>
        <v>1.6927057579567518E-2</v>
      </c>
      <c r="AA23" s="114">
        <f t="shared" si="7"/>
        <v>4.7995679366466586E-2</v>
      </c>
      <c r="AB23" s="114">
        <f>Overview!C24</f>
        <v>1.7780441971421951E-2</v>
      </c>
      <c r="AC23" s="114">
        <f>Overview!H24</f>
        <v>1.9006479481641469E-2</v>
      </c>
      <c r="AD23" s="114">
        <f t="shared" si="8"/>
        <v>6.8954276400445921E-2</v>
      </c>
      <c r="AE23" s="114">
        <f>Overview!C21</f>
        <v>4.3930021868166212E-2</v>
      </c>
      <c r="AF23" s="114">
        <f>Overview!D21</f>
        <v>3.1909090909090908E-2</v>
      </c>
      <c r="AG23" s="114">
        <f t="shared" si="9"/>
        <v>0.27363817380173544</v>
      </c>
      <c r="AH23" s="114"/>
      <c r="AI23" s="114" t="s">
        <v>236</v>
      </c>
      <c r="AJ23" s="114" t="s">
        <v>229</v>
      </c>
      <c r="AK23" s="114">
        <f>Overview!E27</f>
        <v>2.4249042145593872E-2</v>
      </c>
      <c r="AL23" s="114">
        <f>Overview!G27</f>
        <v>2.550425584500297E-2</v>
      </c>
      <c r="AM23" s="114">
        <f t="shared" si="11"/>
        <v>5.1763434278049386E-2</v>
      </c>
      <c r="AN23" s="114">
        <f>Overview!E28</f>
        <v>2.490612393785941E-2</v>
      </c>
      <c r="AO23" s="114">
        <f>Overview!H28</f>
        <v>2.2393442622950819E-2</v>
      </c>
      <c r="AP23" s="114">
        <f t="shared" si="12"/>
        <v>0.10088608412845421</v>
      </c>
      <c r="AQ23" s="114">
        <f>Overview!E25</f>
        <v>2.675983370933702E-2</v>
      </c>
      <c r="AR23" s="114">
        <f>Overview!D25</f>
        <v>3.09375E-2</v>
      </c>
      <c r="AS23" s="114">
        <f t="shared" si="13"/>
        <v>0.15611704975600471</v>
      </c>
      <c r="AT23" s="114"/>
      <c r="AU23" s="114"/>
      <c r="AV23" s="114"/>
      <c r="AW23" s="114"/>
      <c r="AX23" s="114"/>
      <c r="AY23" s="114"/>
      <c r="AZ23" s="114">
        <f>Overview!F50</f>
        <v>2.219061544142191E-2</v>
      </c>
      <c r="BA23" s="114">
        <f>Overview!D50</f>
        <v>2.4020618556701033E-2</v>
      </c>
      <c r="BB23" s="114">
        <f t="shared" si="16"/>
        <v>8.2467434042553175E-2</v>
      </c>
      <c r="BC23" s="114">
        <f>Overview!G27</f>
        <v>2.550425584500297E-2</v>
      </c>
      <c r="BD23" s="114">
        <f>Overview!H27</f>
        <v>2.0500359971202305E-2</v>
      </c>
      <c r="BE23" s="114">
        <f t="shared" si="17"/>
        <v>0.19619846602115523</v>
      </c>
      <c r="BF23" s="114">
        <f>Overview!G24</f>
        <v>1.6927057579567518E-2</v>
      </c>
      <c r="BG23" s="114">
        <f>Overview!D24</f>
        <v>1.3785310734463277E-2</v>
      </c>
      <c r="BH23" s="114">
        <f t="shared" si="18"/>
        <v>0.18560501908474702</v>
      </c>
      <c r="BI23" s="114">
        <f>Overview!H24</f>
        <v>1.9006479481641469E-2</v>
      </c>
      <c r="BJ23" s="114">
        <f>Overview!D24</f>
        <v>1.3785310734463277E-2</v>
      </c>
      <c r="BK23" s="114">
        <f t="shared" si="19"/>
        <v>0.27470467385721625</v>
      </c>
    </row>
    <row r="24" spans="1:63" x14ac:dyDescent="0.5">
      <c r="A24" s="114">
        <v>2.0794985497545739E-2</v>
      </c>
      <c r="B24" s="114">
        <v>2.9463719898605838E-2</v>
      </c>
      <c r="C24" s="114">
        <f t="shared" si="0"/>
        <v>0.4168665759388579</v>
      </c>
      <c r="D24" s="114">
        <f>Overview!B26</f>
        <v>2.1864877371587231E-2</v>
      </c>
      <c r="E24" s="114">
        <f>Overview!E26</f>
        <v>2.4276556352696134E-2</v>
      </c>
      <c r="F24" s="114">
        <f t="shared" si="1"/>
        <v>0.11029922281854684</v>
      </c>
      <c r="G24" s="114"/>
      <c r="H24" s="114"/>
      <c r="I24" s="114"/>
      <c r="J24" s="114">
        <f>Overview!B25</f>
        <v>2.2613256308908484E-2</v>
      </c>
      <c r="K24" s="114">
        <f>Overview!G25</f>
        <v>3.0998428062404364E-2</v>
      </c>
      <c r="L24" s="114">
        <f t="shared" si="3"/>
        <v>0.37080779693778754</v>
      </c>
      <c r="M24" s="114">
        <f>Overview!B25</f>
        <v>2.2613256308908484E-2</v>
      </c>
      <c r="N24" s="114">
        <f>Overview!H25</f>
        <v>2.6700863930885527E-2</v>
      </c>
      <c r="O24" s="114">
        <f t="shared" si="4"/>
        <v>0.1807615659654789</v>
      </c>
      <c r="P24" s="114">
        <f>Overview!B22</f>
        <v>2.0794985497545739E-2</v>
      </c>
      <c r="Q24" s="114">
        <f>Overview!D22</f>
        <v>2.328125E-2</v>
      </c>
      <c r="R24" s="114">
        <f t="shared" si="5"/>
        <v>0.11956077116512988</v>
      </c>
      <c r="S24" s="114">
        <f>Overview!C26</f>
        <v>2.9391344596158289E-2</v>
      </c>
      <c r="T24" s="114">
        <f>Overview!E26</f>
        <v>2.4276556352696134E-2</v>
      </c>
      <c r="U24" s="114">
        <f t="shared" si="20"/>
        <v>0.17402362204724392</v>
      </c>
      <c r="V24" s="114"/>
      <c r="W24" s="114"/>
      <c r="X24" s="114"/>
      <c r="Y24" s="114">
        <f>Overview!C25</f>
        <v>3.4299723455352593E-2</v>
      </c>
      <c r="Z24" s="114">
        <f>Overview!G25</f>
        <v>3.0998428062404364E-2</v>
      </c>
      <c r="AA24" s="114">
        <f t="shared" si="7"/>
        <v>9.6248455100387986E-2</v>
      </c>
      <c r="AB24" s="114">
        <f>Overview!C25</f>
        <v>3.4299723455352593E-2</v>
      </c>
      <c r="AC24" s="114">
        <f>Overview!H25</f>
        <v>2.6700863930885527E-2</v>
      </c>
      <c r="AD24" s="114">
        <f t="shared" si="8"/>
        <v>0.22154288020305415</v>
      </c>
      <c r="AE24" s="114">
        <f>Overview!C22</f>
        <v>2.9463719898605838E-2</v>
      </c>
      <c r="AF24" s="114">
        <f>Overview!D22</f>
        <v>2.328125E-2</v>
      </c>
      <c r="AG24" s="114">
        <f t="shared" si="9"/>
        <v>0.20983331092888852</v>
      </c>
      <c r="AH24" s="114"/>
      <c r="AI24" s="114"/>
      <c r="AJ24" s="114"/>
      <c r="AK24" s="114">
        <f>Overview!E28</f>
        <v>2.490612393785941E-2</v>
      </c>
      <c r="AL24" s="114">
        <f>Overview!G28</f>
        <v>2.7022516690302818E-2</v>
      </c>
      <c r="AM24" s="114">
        <f t="shared" si="11"/>
        <v>8.4974794059637371E-2</v>
      </c>
      <c r="AN24" s="114">
        <f>Overview!E29</f>
        <v>2.5031396470139716E-2</v>
      </c>
      <c r="AO24" s="114">
        <f>Overview!H29</f>
        <v>2.3122923588039867E-2</v>
      </c>
      <c r="AP24" s="114">
        <f t="shared" si="12"/>
        <v>7.6243164634322014E-2</v>
      </c>
      <c r="AQ24" s="114">
        <f>Overview!E26</f>
        <v>2.4276556352696134E-2</v>
      </c>
      <c r="AR24" s="114">
        <f>Overview!D26</f>
        <v>2.3700000000000002E-2</v>
      </c>
      <c r="AS24" s="114">
        <f t="shared" si="13"/>
        <v>2.3749511434808575E-2</v>
      </c>
      <c r="AT24" s="114"/>
      <c r="AU24" s="114"/>
      <c r="AV24" s="114"/>
      <c r="AW24" s="114"/>
      <c r="AX24" s="114"/>
      <c r="AY24" s="114"/>
      <c r="AZ24" s="114"/>
      <c r="BA24" s="114"/>
      <c r="BB24" s="114"/>
      <c r="BC24" s="114">
        <f>Overview!G28</f>
        <v>2.7022516690302818E-2</v>
      </c>
      <c r="BD24" s="114">
        <f>Overview!H28</f>
        <v>2.2393442622950819E-2</v>
      </c>
      <c r="BE24" s="114">
        <f t="shared" si="17"/>
        <v>0.17130432817951291</v>
      </c>
      <c r="BF24" s="114">
        <f>Overview!G25</f>
        <v>3.0998428062404364E-2</v>
      </c>
      <c r="BG24" s="114">
        <f>Overview!D25</f>
        <v>3.09375E-2</v>
      </c>
      <c r="BH24" s="114">
        <f t="shared" si="18"/>
        <v>1.9655210348636905E-3</v>
      </c>
      <c r="BI24" s="114">
        <f>Overview!H25</f>
        <v>2.6700863930885527E-2</v>
      </c>
      <c r="BJ24" s="114">
        <f>Overview!D25</f>
        <v>3.09375E-2</v>
      </c>
      <c r="BK24" s="114">
        <f t="shared" si="19"/>
        <v>0.15867037411526805</v>
      </c>
    </row>
    <row r="25" spans="1:63" x14ac:dyDescent="0.5">
      <c r="A25" s="114">
        <v>1.8957909029192123E-2</v>
      </c>
      <c r="B25" s="114">
        <v>2.7139999999999991E-2</v>
      </c>
      <c r="C25" s="114">
        <f t="shared" si="0"/>
        <v>0.4315924798567588</v>
      </c>
      <c r="D25" s="114">
        <f>Overview!B27</f>
        <v>1.8771550362775787E-2</v>
      </c>
      <c r="E25" s="114">
        <f>Overview!E27</f>
        <v>2.4249042145593872E-2</v>
      </c>
      <c r="F25" s="114">
        <f t="shared" si="1"/>
        <v>0.29179751682524946</v>
      </c>
      <c r="G25" s="114"/>
      <c r="H25" s="124">
        <f>RSQ(G5:G23,H5:H23)</f>
        <v>2.2865841313669165E-2</v>
      </c>
      <c r="I25" s="124">
        <f>AVERAGE(I5:I23)</f>
        <v>0.26581295447529113</v>
      </c>
      <c r="J25" s="114">
        <f>Overview!B26</f>
        <v>2.1864877371587231E-2</v>
      </c>
      <c r="K25" s="114">
        <f>Overview!G26</f>
        <v>2.1869181912474379E-2</v>
      </c>
      <c r="L25" s="114">
        <f t="shared" si="3"/>
        <v>1.9687011337833109E-4</v>
      </c>
      <c r="M25" s="114">
        <f>Overview!B26</f>
        <v>2.1864877371587231E-2</v>
      </c>
      <c r="N25" s="114">
        <f>Overview!H26</f>
        <v>1.8574514038876888E-2</v>
      </c>
      <c r="O25" s="114">
        <f t="shared" si="4"/>
        <v>0.15048624681454073</v>
      </c>
      <c r="P25" s="114">
        <f>Overview!B23</f>
        <v>1.8957909029192123E-2</v>
      </c>
      <c r="Q25" s="114">
        <f>Overview!D23</f>
        <v>2.1187500000000001E-2</v>
      </c>
      <c r="R25" s="114">
        <f t="shared" si="5"/>
        <v>0.11760743061772624</v>
      </c>
      <c r="S25" s="114">
        <f>Overview!C27</f>
        <v>2.9373302394186319E-2</v>
      </c>
      <c r="T25" s="114">
        <f>Overview!E27</f>
        <v>2.4249042145593872E-2</v>
      </c>
      <c r="U25" s="114">
        <f t="shared" si="20"/>
        <v>0.17445298386355976</v>
      </c>
      <c r="V25" s="114"/>
      <c r="W25" s="124">
        <f>RSQ(V5:V23,W5:W23)</f>
        <v>2.4153669147860442E-2</v>
      </c>
      <c r="X25" s="124">
        <f>AVERAGE(X5:X23)</f>
        <v>0.3919897400594109</v>
      </c>
      <c r="Y25" s="114">
        <f>Overview!C26</f>
        <v>2.9391344596158289E-2</v>
      </c>
      <c r="Z25" s="114">
        <f>Overview!G26</f>
        <v>2.1869181912474379E-2</v>
      </c>
      <c r="AA25" s="114">
        <f t="shared" si="7"/>
        <v>0.25593122012754477</v>
      </c>
      <c r="AB25" s="114">
        <f>Overview!C26</f>
        <v>2.9391344596158289E-2</v>
      </c>
      <c r="AC25" s="114">
        <f>Overview!H26</f>
        <v>1.8574514038876888E-2</v>
      </c>
      <c r="AD25" s="114">
        <f t="shared" si="8"/>
        <v>0.36802775463002319</v>
      </c>
      <c r="AE25" s="114">
        <f>Overview!C23</f>
        <v>2.7139999999999991E-2</v>
      </c>
      <c r="AF25" s="114">
        <f>Overview!D23</f>
        <v>2.1187500000000001E-2</v>
      </c>
      <c r="AG25" s="114">
        <f t="shared" si="9"/>
        <v>0.21932571849668353</v>
      </c>
      <c r="AH25" s="114"/>
      <c r="AI25" s="114"/>
      <c r="AJ25" s="114"/>
      <c r="AK25" s="114">
        <f>Overview!E29</f>
        <v>2.5031396470139716E-2</v>
      </c>
      <c r="AL25" s="114">
        <f>Overview!G29</f>
        <v>2.6621315134700074E-2</v>
      </c>
      <c r="AM25" s="114">
        <f t="shared" si="11"/>
        <v>6.3516978226004786E-2</v>
      </c>
      <c r="AN25" s="114">
        <f>Overview!E30</f>
        <v>2.6364108106420914E-2</v>
      </c>
      <c r="AO25" s="114">
        <f>Overview!H30</f>
        <v>2.1814254859611231E-2</v>
      </c>
      <c r="AP25" s="114">
        <f t="shared" si="12"/>
        <v>0.17257755234669128</v>
      </c>
      <c r="AQ25" s="114">
        <f>Overview!E27</f>
        <v>2.4249042145593872E-2</v>
      </c>
      <c r="AR25" s="114">
        <f>Overview!D27</f>
        <v>2.3409961685823755E-2</v>
      </c>
      <c r="AS25" s="114">
        <f t="shared" si="13"/>
        <v>3.4602622847211321E-2</v>
      </c>
      <c r="AT25" s="114"/>
      <c r="AU25" s="114"/>
      <c r="AV25" s="114"/>
      <c r="AW25" s="114"/>
      <c r="AX25" s="114"/>
      <c r="AY25" s="114"/>
      <c r="AZ25" s="114"/>
      <c r="BA25" s="124">
        <f>RSQ(AZ5:AZ23,BA5:BA23)</f>
        <v>0.36724369730459738</v>
      </c>
      <c r="BB25" s="124">
        <f>AVERAGE(BB5:BB23)</f>
        <v>0.33905282054816077</v>
      </c>
      <c r="BC25" s="114">
        <f>Overview!G29</f>
        <v>2.6621315134700074E-2</v>
      </c>
      <c r="BD25" s="114">
        <f>Overview!H29</f>
        <v>2.3122923588039867E-2</v>
      </c>
      <c r="BE25" s="114">
        <f t="shared" si="17"/>
        <v>0.13141317508015071</v>
      </c>
      <c r="BF25" s="114">
        <f>Overview!G26</f>
        <v>2.1869181912474379E-2</v>
      </c>
      <c r="BG25" s="114">
        <f>Overview!D26</f>
        <v>2.3700000000000002E-2</v>
      </c>
      <c r="BH25" s="114">
        <f t="shared" si="18"/>
        <v>8.3716807279439587E-2</v>
      </c>
      <c r="BI25" s="114">
        <f>Overview!H26</f>
        <v>1.8574514038876888E-2</v>
      </c>
      <c r="BJ25" s="114">
        <f>Overview!D26</f>
        <v>2.3700000000000002E-2</v>
      </c>
      <c r="BK25" s="114">
        <f t="shared" si="19"/>
        <v>0.27594186046511654</v>
      </c>
    </row>
    <row r="26" spans="1:63" x14ac:dyDescent="0.5">
      <c r="A26" s="114">
        <v>1.7824956503039901E-2</v>
      </c>
      <c r="B26" s="114">
        <v>1.7780441971421951E-2</v>
      </c>
      <c r="C26" s="114">
        <f t="shared" si="0"/>
        <v>2.4973150206766804E-3</v>
      </c>
      <c r="D26" s="114">
        <f>Overview!B28</f>
        <v>2.0865347769781356E-2</v>
      </c>
      <c r="E26" s="114">
        <f>Overview!E28</f>
        <v>2.490612393785941E-2</v>
      </c>
      <c r="F26" s="114">
        <f t="shared" si="1"/>
        <v>0.19365966063264886</v>
      </c>
      <c r="G26" s="114"/>
      <c r="H26" s="114" t="s">
        <v>236</v>
      </c>
      <c r="I26" s="114" t="s">
        <v>229</v>
      </c>
      <c r="J26" s="114">
        <f>Overview!B27</f>
        <v>1.8771550362775787E-2</v>
      </c>
      <c r="K26" s="114">
        <f>Overview!G27</f>
        <v>2.550425584500297E-2</v>
      </c>
      <c r="L26" s="114">
        <f t="shared" si="3"/>
        <v>0.3586653926879807</v>
      </c>
      <c r="M26" s="114">
        <f>Overview!B27</f>
        <v>1.8771550362775787E-2</v>
      </c>
      <c r="N26" s="114">
        <f>Overview!H27</f>
        <v>2.0500359971202305E-2</v>
      </c>
      <c r="O26" s="114">
        <f t="shared" si="4"/>
        <v>9.2097326806568375E-2</v>
      </c>
      <c r="P26" s="114">
        <f>Overview!B24</f>
        <v>1.7824956503039901E-2</v>
      </c>
      <c r="Q26" s="114">
        <f>Overview!D24</f>
        <v>1.3785310734463277E-2</v>
      </c>
      <c r="R26" s="114">
        <f t="shared" si="5"/>
        <v>0.22662864663303359</v>
      </c>
      <c r="S26" s="114">
        <f>Overview!C28</f>
        <v>2.7980430864303487E-2</v>
      </c>
      <c r="T26" s="114">
        <f>Overview!E28</f>
        <v>2.490612393785941E-2</v>
      </c>
      <c r="U26" s="114">
        <f t="shared" si="20"/>
        <v>0.10987346625766854</v>
      </c>
      <c r="V26" s="114"/>
      <c r="W26" s="114" t="s">
        <v>236</v>
      </c>
      <c r="X26" s="114" t="s">
        <v>229</v>
      </c>
      <c r="Y26" s="114">
        <f>Overview!C27</f>
        <v>2.9373302394186319E-2</v>
      </c>
      <c r="Z26" s="114">
        <f>Overview!G27</f>
        <v>2.550425584500297E-2</v>
      </c>
      <c r="AA26" s="114">
        <f t="shared" si="7"/>
        <v>0.13171983515034136</v>
      </c>
      <c r="AB26" s="114">
        <f>Overview!C27</f>
        <v>2.9373302394186319E-2</v>
      </c>
      <c r="AC26" s="114">
        <f>Overview!H27</f>
        <v>2.0500359971202305E-2</v>
      </c>
      <c r="AD26" s="114">
        <f t="shared" si="8"/>
        <v>0.30207507157044017</v>
      </c>
      <c r="AE26" s="114">
        <f>Overview!C24</f>
        <v>1.7780441971421951E-2</v>
      </c>
      <c r="AF26" s="114">
        <f>Overview!D24</f>
        <v>1.3785310734463277E-2</v>
      </c>
      <c r="AG26" s="114">
        <f t="shared" si="9"/>
        <v>0.22469245946641517</v>
      </c>
      <c r="AH26" s="114"/>
      <c r="AI26" s="114"/>
      <c r="AJ26" s="114"/>
      <c r="AK26" s="114">
        <f>Overview!E30</f>
        <v>2.6364108106420914E-2</v>
      </c>
      <c r="AL26" s="114">
        <f>Overview!G30</f>
        <v>2.7091113995536553E-2</v>
      </c>
      <c r="AM26" s="114">
        <f t="shared" si="11"/>
        <v>2.7575592020068283E-2</v>
      </c>
      <c r="AN26" s="114">
        <f>Overview!E31</f>
        <v>2.2908286044854953E-2</v>
      </c>
      <c r="AO26" s="114">
        <f>Overview!H31</f>
        <v>2.1451372125524074E-2</v>
      </c>
      <c r="AP26" s="114">
        <f t="shared" si="12"/>
        <v>6.3597683234712904E-2</v>
      </c>
      <c r="AQ26" s="114">
        <f>Overview!E28</f>
        <v>2.490612393785941E-2</v>
      </c>
      <c r="AR26" s="114">
        <f>Overview!D28</f>
        <v>2.3704918032786886E-2</v>
      </c>
      <c r="AS26" s="114">
        <f t="shared" si="13"/>
        <v>4.8229339421482192E-2</v>
      </c>
      <c r="AT26" s="114"/>
      <c r="AU26" s="114"/>
      <c r="AV26" s="114"/>
      <c r="AW26" s="114"/>
      <c r="AX26" s="114"/>
      <c r="AY26" s="114"/>
      <c r="AZ26" s="114"/>
      <c r="BA26" s="114" t="s">
        <v>236</v>
      </c>
      <c r="BB26" s="114" t="s">
        <v>229</v>
      </c>
      <c r="BC26" s="114">
        <f>Overview!G30</f>
        <v>2.7091113995536553E-2</v>
      </c>
      <c r="BD26" s="114">
        <f>Overview!H30</f>
        <v>2.1814254859611231E-2</v>
      </c>
      <c r="BE26" s="114">
        <f t="shared" si="17"/>
        <v>0.19478191767214595</v>
      </c>
      <c r="BF26" s="114">
        <f>Overview!G27</f>
        <v>2.550425584500297E-2</v>
      </c>
      <c r="BG26" s="114">
        <f>Overview!D27</f>
        <v>2.3409961685823755E-2</v>
      </c>
      <c r="BH26" s="114">
        <f t="shared" si="18"/>
        <v>8.2115477977748902E-2</v>
      </c>
      <c r="BI26" s="114">
        <f>Overview!H27</f>
        <v>2.0500359971202305E-2</v>
      </c>
      <c r="BJ26" s="114">
        <f>Overview!D27</f>
        <v>2.3409961685823755E-2</v>
      </c>
      <c r="BK26" s="114">
        <f t="shared" si="19"/>
        <v>0.14192929873956783</v>
      </c>
    </row>
    <row r="27" spans="1:63" x14ac:dyDescent="0.5">
      <c r="A27" s="114">
        <v>2.2613256308908484E-2</v>
      </c>
      <c r="B27" s="114">
        <v>3.4299723455352593E-2</v>
      </c>
      <c r="C27" s="114">
        <f t="shared" si="0"/>
        <v>0.51679718244913853</v>
      </c>
      <c r="D27" s="114">
        <f>Overview!B29</f>
        <v>2.0947588654360551E-2</v>
      </c>
      <c r="E27" s="114">
        <f>Overview!E29</f>
        <v>2.5031396470139716E-2</v>
      </c>
      <c r="F27" s="114">
        <f t="shared" si="1"/>
        <v>0.19495359982300681</v>
      </c>
      <c r="G27" s="114"/>
      <c r="H27" s="114"/>
      <c r="I27" s="114"/>
      <c r="J27" s="114">
        <f>Overview!B28</f>
        <v>2.0865347769781356E-2</v>
      </c>
      <c r="K27" s="114">
        <f>Overview!G28</f>
        <v>2.7022516690302818E-2</v>
      </c>
      <c r="L27" s="114">
        <f t="shared" si="3"/>
        <v>0.29509064447220484</v>
      </c>
      <c r="M27" s="114">
        <f>Overview!B28</f>
        <v>2.0865347769781356E-2</v>
      </c>
      <c r="N27" s="114">
        <f>Overview!H28</f>
        <v>2.2393442622950819E-2</v>
      </c>
      <c r="O27" s="114">
        <f t="shared" si="4"/>
        <v>7.3236011689321368E-2</v>
      </c>
      <c r="P27" s="114">
        <f>Overview!B25</f>
        <v>2.2613256308908484E-2</v>
      </c>
      <c r="Q27" s="114">
        <f>Overview!D25</f>
        <v>3.09375E-2</v>
      </c>
      <c r="R27" s="114">
        <f t="shared" si="5"/>
        <v>0.36811344537815116</v>
      </c>
      <c r="S27" s="114">
        <f>Overview!C29</f>
        <v>2.4164068982530103E-2</v>
      </c>
      <c r="T27" s="114">
        <f>Overview!E29</f>
        <v>2.5031396470139716E-2</v>
      </c>
      <c r="U27" s="114">
        <f t="shared" si="20"/>
        <v>3.5893271461717197E-2</v>
      </c>
      <c r="V27" s="114"/>
      <c r="W27" s="114"/>
      <c r="X27" s="114"/>
      <c r="Y27" s="114">
        <f>Overview!C28</f>
        <v>2.7980430864303487E-2</v>
      </c>
      <c r="Z27" s="114">
        <f>Overview!G28</f>
        <v>2.7022516690302818E-2</v>
      </c>
      <c r="AA27" s="114">
        <f>ABS(Y27-Z27)/Y27</f>
        <v>3.4235147365895072E-2</v>
      </c>
      <c r="AB27" s="114">
        <f>Overview!C28</f>
        <v>2.7980430864303487E-2</v>
      </c>
      <c r="AC27" s="114">
        <f>Overview!H28</f>
        <v>2.2393442622950819E-2</v>
      </c>
      <c r="AD27" s="114">
        <f t="shared" si="8"/>
        <v>0.19967484662576671</v>
      </c>
      <c r="AE27" s="114">
        <f>Overview!C25</f>
        <v>3.4299723455352593E-2</v>
      </c>
      <c r="AF27" s="114">
        <f>Overview!D25</f>
        <v>3.09375E-2</v>
      </c>
      <c r="AG27" s="114">
        <f t="shared" si="9"/>
        <v>9.8024797772178734E-2</v>
      </c>
      <c r="AH27" s="114"/>
      <c r="AI27" s="114"/>
      <c r="AJ27" s="114"/>
      <c r="AK27" s="114">
        <f>Overview!E31</f>
        <v>2.2908286044854953E-2</v>
      </c>
      <c r="AL27" s="114">
        <f>Overview!G31</f>
        <v>2.435066770491438E-2</v>
      </c>
      <c r="AM27" s="114">
        <f t="shared" si="11"/>
        <v>6.2963316296784935E-2</v>
      </c>
      <c r="AN27" s="114">
        <f>Overview!E32</f>
        <v>2.0555472726885477E-2</v>
      </c>
      <c r="AO27" s="114">
        <f>Overview!H32</f>
        <v>2.4673599331252519E-2</v>
      </c>
      <c r="AP27" s="114">
        <f t="shared" si="12"/>
        <v>0.20034210154557766</v>
      </c>
      <c r="AQ27" s="114">
        <f>Overview!E29</f>
        <v>2.5031396470139716E-2</v>
      </c>
      <c r="AR27" s="114">
        <f>Overview!D29</f>
        <v>2.0295081967213115E-2</v>
      </c>
      <c r="AS27" s="114">
        <f t="shared" si="13"/>
        <v>0.18921495285237536</v>
      </c>
      <c r="AT27" s="114"/>
      <c r="AU27" s="114"/>
      <c r="AV27" s="114"/>
      <c r="AW27" s="114"/>
      <c r="AX27" s="114"/>
      <c r="AY27" s="114"/>
      <c r="AZ27" s="114"/>
      <c r="BA27" s="114"/>
      <c r="BB27" s="114"/>
      <c r="BC27" s="114">
        <f>Overview!G31</f>
        <v>2.435066770491438E-2</v>
      </c>
      <c r="BD27" s="114">
        <f>Overview!H31</f>
        <v>2.1451372125524074E-2</v>
      </c>
      <c r="BE27" s="114">
        <f t="shared" si="17"/>
        <v>0.1190643153824147</v>
      </c>
      <c r="BF27" s="114">
        <f>Overview!G28</f>
        <v>2.7022516690302818E-2</v>
      </c>
      <c r="BG27" s="114">
        <f>Overview!D28</f>
        <v>2.3704918032786886E-2</v>
      </c>
      <c r="BH27" s="114">
        <f t="shared" si="18"/>
        <v>0.12277163876103631</v>
      </c>
      <c r="BI27" s="114">
        <f>Overview!H28</f>
        <v>2.2393442622950819E-2</v>
      </c>
      <c r="BJ27" s="114">
        <f>Overview!D28</f>
        <v>2.3704918032786886E-2</v>
      </c>
      <c r="BK27" s="114">
        <f t="shared" si="19"/>
        <v>5.8565153733528628E-2</v>
      </c>
    </row>
    <row r="28" spans="1:63" x14ac:dyDescent="0.5">
      <c r="A28" s="114">
        <v>2.1864877371587231E-2</v>
      </c>
      <c r="B28" s="114">
        <v>2.9391344596158289E-2</v>
      </c>
      <c r="C28" s="114">
        <f t="shared" si="0"/>
        <v>0.34422636343487945</v>
      </c>
      <c r="D28" s="114">
        <f>Overview!B30</f>
        <v>2.1158501129156581E-2</v>
      </c>
      <c r="E28" s="114">
        <f>Overview!E30</f>
        <v>2.6364108106420914E-2</v>
      </c>
      <c r="F28" s="114">
        <f t="shared" si="1"/>
        <v>0.24602909939073928</v>
      </c>
      <c r="G28" s="114"/>
      <c r="H28" s="114"/>
      <c r="I28" s="114"/>
      <c r="J28" s="114">
        <f>Overview!B29</f>
        <v>2.0947588654360551E-2</v>
      </c>
      <c r="K28" s="114">
        <f>Overview!G29</f>
        <v>2.6621315134700074E-2</v>
      </c>
      <c r="L28" s="114">
        <f t="shared" si="3"/>
        <v>0.27085344160405078</v>
      </c>
      <c r="M28" s="114">
        <f>Overview!B29</f>
        <v>2.0947588654360551E-2</v>
      </c>
      <c r="N28" s="114">
        <f>Overview!H29</f>
        <v>2.3122923588039867E-2</v>
      </c>
      <c r="O28" s="114">
        <f t="shared" si="4"/>
        <v>0.10384655578132555</v>
      </c>
      <c r="P28" s="114">
        <f>Overview!B26</f>
        <v>2.1864877371587231E-2</v>
      </c>
      <c r="Q28" s="114">
        <f>Overview!D26</f>
        <v>2.3700000000000002E-2</v>
      </c>
      <c r="R28" s="114">
        <f t="shared" si="5"/>
        <v>8.3930158730158688E-2</v>
      </c>
      <c r="S28" s="114">
        <f>Overview!C30</f>
        <v>2.9614167606309725E-2</v>
      </c>
      <c r="T28" s="114">
        <f>Overview!E30</f>
        <v>2.6364108106420914E-2</v>
      </c>
      <c r="U28" s="114">
        <f t="shared" si="20"/>
        <v>0.10974677874100836</v>
      </c>
      <c r="V28" s="114"/>
      <c r="W28" s="114"/>
      <c r="X28" s="114"/>
      <c r="Y28" s="114">
        <f>Overview!C29</f>
        <v>2.4164068982530103E-2</v>
      </c>
      <c r="Z28" s="114">
        <f>Overview!G29</f>
        <v>2.6621315134700074E-2</v>
      </c>
      <c r="AA28" s="114">
        <f t="shared" si="7"/>
        <v>0.10169008182961595</v>
      </c>
      <c r="AB28" s="114">
        <f>Overview!C29</f>
        <v>2.4164068982530103E-2</v>
      </c>
      <c r="AC28" s="114">
        <f>Overview!H29</f>
        <v>2.3122923588039867E-2</v>
      </c>
      <c r="AD28" s="114">
        <f t="shared" si="8"/>
        <v>4.3086509777924935E-2</v>
      </c>
      <c r="AE28" s="114">
        <f>Overview!C26</f>
        <v>2.9391344596158289E-2</v>
      </c>
      <c r="AF28" s="114">
        <f>Overview!D26</f>
        <v>2.3700000000000002E-2</v>
      </c>
      <c r="AG28" s="114">
        <f t="shared" si="9"/>
        <v>0.19364015748031468</v>
      </c>
      <c r="AH28" s="114"/>
      <c r="AI28" s="114"/>
      <c r="AJ28" s="114"/>
      <c r="AK28" s="114">
        <f>Overview!E32</f>
        <v>2.0555472726885477E-2</v>
      </c>
      <c r="AL28" s="114">
        <f>Overview!G32</f>
        <v>2.3010585738148896E-2</v>
      </c>
      <c r="AM28" s="114">
        <f t="shared" si="11"/>
        <v>0.11943841155510183</v>
      </c>
      <c r="AN28" s="114">
        <f>Overview!E37</f>
        <v>2.859005422868351E-2</v>
      </c>
      <c r="AO28" s="114">
        <f>Overview!H37</f>
        <v>3.3170583683490948E-2</v>
      </c>
      <c r="AP28" s="114">
        <f t="shared" si="12"/>
        <v>0.16021408767430514</v>
      </c>
      <c r="AQ28" s="114">
        <f>Overview!E30</f>
        <v>2.6364108106420914E-2</v>
      </c>
      <c r="AR28" s="114">
        <f>Overview!D30</f>
        <v>2.6602739726027398E-2</v>
      </c>
      <c r="AS28" s="114">
        <f t="shared" si="13"/>
        <v>9.0513822293258467E-3</v>
      </c>
      <c r="AT28" s="114"/>
      <c r="AU28" s="114"/>
      <c r="AV28" s="114"/>
      <c r="AW28" s="114"/>
      <c r="AX28" s="114"/>
      <c r="AY28" s="114"/>
      <c r="AZ28" s="114"/>
      <c r="BA28" s="114"/>
      <c r="BB28" s="114"/>
      <c r="BC28" s="114">
        <f>Overview!G32</f>
        <v>2.3010585738148896E-2</v>
      </c>
      <c r="BD28" s="114">
        <f>Overview!H32</f>
        <v>2.4673599331252519E-2</v>
      </c>
      <c r="BE28" s="114">
        <f t="shared" si="17"/>
        <v>7.2271675829031087E-2</v>
      </c>
      <c r="BF28" s="114">
        <f>Overview!G29</f>
        <v>2.6621315134700074E-2</v>
      </c>
      <c r="BG28" s="114">
        <f>Overview!D29</f>
        <v>2.0295081967213115E-2</v>
      </c>
      <c r="BH28" s="114">
        <f t="shared" si="18"/>
        <v>0.23763789037007066</v>
      </c>
      <c r="BI28" s="114">
        <f>Overview!H29</f>
        <v>2.3122923588039867E-2</v>
      </c>
      <c r="BJ28" s="114">
        <f>Overview!D29</f>
        <v>2.0295081967213115E-2</v>
      </c>
      <c r="BK28" s="114">
        <f t="shared" si="19"/>
        <v>0.12229602411908799</v>
      </c>
    </row>
    <row r="29" spans="1:63" x14ac:dyDescent="0.5">
      <c r="A29" s="114">
        <v>1.8771550362775787E-2</v>
      </c>
      <c r="B29" s="114">
        <v>2.9373302394186319E-2</v>
      </c>
      <c r="C29" s="114">
        <f t="shared" si="0"/>
        <v>0.56477764630639871</v>
      </c>
      <c r="D29" s="114">
        <f>Overview!B31</f>
        <v>1.9124641592174061E-2</v>
      </c>
      <c r="E29" s="114">
        <f>Overview!E31</f>
        <v>2.2908286044854953E-2</v>
      </c>
      <c r="F29" s="114">
        <f t="shared" si="1"/>
        <v>0.19784132604237592</v>
      </c>
      <c r="G29" s="114"/>
      <c r="H29" s="114"/>
      <c r="I29" s="114"/>
      <c r="J29" s="114">
        <f>Overview!B30</f>
        <v>2.1158501129156581E-2</v>
      </c>
      <c r="K29" s="114">
        <f>Overview!G30</f>
        <v>2.7091113995536553E-2</v>
      </c>
      <c r="L29" s="114">
        <f t="shared" si="3"/>
        <v>0.28038908948067143</v>
      </c>
      <c r="M29" s="114">
        <f>Overview!B30</f>
        <v>2.1158501129156581E-2</v>
      </c>
      <c r="N29" s="114">
        <f>Overview!H30</f>
        <v>2.1814254859611231E-2</v>
      </c>
      <c r="O29" s="114">
        <f t="shared" si="4"/>
        <v>3.0992447265133366E-2</v>
      </c>
      <c r="P29" s="114">
        <f>Overview!B27</f>
        <v>1.8771550362775787E-2</v>
      </c>
      <c r="Q29" s="114">
        <f>Overview!D27</f>
        <v>2.3409961685823755E-2</v>
      </c>
      <c r="R29" s="114">
        <f t="shared" si="5"/>
        <v>0.24709793455558127</v>
      </c>
      <c r="S29" s="114">
        <f>Overview!C31</f>
        <v>2.7141855698876925E-2</v>
      </c>
      <c r="T29" s="114">
        <f>Overview!E31</f>
        <v>2.2908286044854953E-2</v>
      </c>
      <c r="U29" s="114">
        <f t="shared" si="20"/>
        <v>0.1559793737388836</v>
      </c>
      <c r="V29" s="114"/>
      <c r="W29" s="114"/>
      <c r="X29" s="114"/>
      <c r="Y29" s="114">
        <f>Overview!C30</f>
        <v>2.9614167606309725E-2</v>
      </c>
      <c r="Z29" s="114">
        <f>Overview!G30</f>
        <v>2.7091113995536553E-2</v>
      </c>
      <c r="AA29" s="114">
        <f t="shared" si="7"/>
        <v>8.5197519117018825E-2</v>
      </c>
      <c r="AB29" s="114">
        <f>Overview!C30</f>
        <v>2.9614167606309725E-2</v>
      </c>
      <c r="AC29" s="114">
        <f>Overview!H30</f>
        <v>2.1814254859611231E-2</v>
      </c>
      <c r="AD29" s="114">
        <f t="shared" si="8"/>
        <v>0.26338450063464253</v>
      </c>
      <c r="AE29" s="114">
        <f>Overview!C27</f>
        <v>2.9373302394186319E-2</v>
      </c>
      <c r="AF29" s="114">
        <f>Overview!D27</f>
        <v>2.3409961685823755E-2</v>
      </c>
      <c r="AG29" s="114">
        <f t="shared" si="9"/>
        <v>0.20301907590556967</v>
      </c>
      <c r="AH29" s="114"/>
      <c r="AI29" s="114"/>
      <c r="AJ29" s="114"/>
      <c r="AK29" s="114">
        <f>Overview!E33</f>
        <v>3.0674194176674149E-2</v>
      </c>
      <c r="AL29" s="114">
        <f>Overview!G33</f>
        <v>2.2928504088358195E-2</v>
      </c>
      <c r="AM29" s="114">
        <f t="shared" si="11"/>
        <v>0.25251486783004323</v>
      </c>
      <c r="AN29" s="114">
        <f>Overview!E43</f>
        <v>3.2640867088167859E-2</v>
      </c>
      <c r="AO29" s="114">
        <f>Overview!H43</f>
        <v>3.3023342529235181E-2</v>
      </c>
      <c r="AP29" s="114">
        <f t="shared" si="12"/>
        <v>1.1717686299025035E-2</v>
      </c>
      <c r="AQ29" s="114">
        <f>Overview!E31</f>
        <v>2.2908286044854953E-2</v>
      </c>
      <c r="AR29" s="114">
        <f>Overview!D31</f>
        <v>2.4297520661157024E-2</v>
      </c>
      <c r="AS29" s="114">
        <f t="shared" si="13"/>
        <v>6.0643324148385351E-2</v>
      </c>
      <c r="AT29" s="114"/>
      <c r="AU29" s="114"/>
      <c r="AV29" s="114"/>
      <c r="AW29" s="114"/>
      <c r="AX29" s="114"/>
      <c r="AY29" s="114"/>
      <c r="AZ29" s="114"/>
      <c r="BA29" s="114"/>
      <c r="BB29" s="114"/>
      <c r="BC29" s="114">
        <f>Overview!G34</f>
        <v>1.8964041321593437E-2</v>
      </c>
      <c r="BD29" s="114">
        <f>Overview!H34</f>
        <v>3.7400000000000003E-2</v>
      </c>
      <c r="BE29" s="114">
        <f t="shared" si="17"/>
        <v>0.97215347539948838</v>
      </c>
      <c r="BF29" s="114">
        <f>Overview!G30</f>
        <v>2.7091113995536553E-2</v>
      </c>
      <c r="BG29" s="114">
        <f>Overview!D30</f>
        <v>2.6602739726027398E-2</v>
      </c>
      <c r="BH29" s="114">
        <f t="shared" si="18"/>
        <v>1.802710178657169E-2</v>
      </c>
      <c r="BI29" s="114">
        <f>Overview!H30</f>
        <v>2.1814254859611231E-2</v>
      </c>
      <c r="BJ29" s="114">
        <f>Overview!D30</f>
        <v>2.6602739726027398E-2</v>
      </c>
      <c r="BK29" s="114">
        <f t="shared" si="19"/>
        <v>0.21951173199511737</v>
      </c>
    </row>
    <row r="30" spans="1:63" ht="15" customHeight="1" x14ac:dyDescent="0.5">
      <c r="A30" s="114">
        <v>2.0865347769781356E-2</v>
      </c>
      <c r="B30" s="114">
        <v>2.7980430864303487E-2</v>
      </c>
      <c r="C30" s="114">
        <f t="shared" si="0"/>
        <v>0.34099997627773487</v>
      </c>
      <c r="D30" s="114">
        <f>Overview!B32</f>
        <v>1.822785285520246E-2</v>
      </c>
      <c r="E30" s="114">
        <f>Overview!E32</f>
        <v>2.0555472726885477E-2</v>
      </c>
      <c r="F30" s="114">
        <f t="shared" si="1"/>
        <v>0.1276957791009754</v>
      </c>
      <c r="G30" s="114"/>
      <c r="H30" s="114"/>
      <c r="I30" s="114"/>
      <c r="J30" s="114">
        <f>Overview!B31</f>
        <v>1.9124641592174061E-2</v>
      </c>
      <c r="K30" s="114">
        <f>Overview!G31</f>
        <v>2.435066770491438E-2</v>
      </c>
      <c r="L30" s="114">
        <f t="shared" si="3"/>
        <v>0.27326138832734231</v>
      </c>
      <c r="M30" s="114">
        <f>Overview!B31</f>
        <v>1.9124641592174061E-2</v>
      </c>
      <c r="N30" s="114">
        <f>Overview!H31</f>
        <v>2.1451372125524074E-2</v>
      </c>
      <c r="O30" s="114">
        <f t="shared" si="4"/>
        <v>0.12166139282328445</v>
      </c>
      <c r="P30" s="114">
        <f>Overview!B28</f>
        <v>2.0865347769781356E-2</v>
      </c>
      <c r="Q30" s="114">
        <f>Overview!D28</f>
        <v>2.3704918032786886E-2</v>
      </c>
      <c r="R30" s="114">
        <f t="shared" si="5"/>
        <v>0.1360902437062656</v>
      </c>
      <c r="S30" s="114">
        <f>Overview!C32</f>
        <v>2.5762319581407563E-2</v>
      </c>
      <c r="T30" s="114">
        <f>Overview!E32</f>
        <v>2.0555472726885477E-2</v>
      </c>
      <c r="U30" s="114">
        <f t="shared" si="20"/>
        <v>0.20211094882464781</v>
      </c>
      <c r="V30" s="114"/>
      <c r="W30" s="114"/>
      <c r="X30" s="114"/>
      <c r="Y30" s="114">
        <f>Overview!C31</f>
        <v>2.7141855698876925E-2</v>
      </c>
      <c r="Z30" s="114">
        <f>Overview!G31</f>
        <v>2.435066770491438E-2</v>
      </c>
      <c r="AA30" s="114">
        <f t="shared" si="7"/>
        <v>0.10283703608659442</v>
      </c>
      <c r="AB30" s="114">
        <f>Overview!C31</f>
        <v>2.7141855698876925E-2</v>
      </c>
      <c r="AC30" s="114">
        <f>Overview!H31</f>
        <v>2.1451372125524074E-2</v>
      </c>
      <c r="AD30" s="114">
        <f t="shared" si="8"/>
        <v>0.20965713017140208</v>
      </c>
      <c r="AE30" s="114">
        <f>Overview!C28</f>
        <v>2.7980430864303487E-2</v>
      </c>
      <c r="AF30" s="114">
        <f>Overview!D28</f>
        <v>2.3704918032786886E-2</v>
      </c>
      <c r="AG30" s="114">
        <f t="shared" si="9"/>
        <v>0.15280368098159486</v>
      </c>
      <c r="AH30" s="114"/>
      <c r="AI30" s="114"/>
      <c r="AJ30" s="114"/>
      <c r="AK30" s="114">
        <f>Overview!E37</f>
        <v>2.859005422868351E-2</v>
      </c>
      <c r="AL30" s="114">
        <f>Overview!G37</f>
        <v>1.8626311532869602E-2</v>
      </c>
      <c r="AM30" s="114">
        <f t="shared" si="11"/>
        <v>0.348503805418375</v>
      </c>
      <c r="AN30" s="114">
        <f>Overview!E44</f>
        <v>3.166066256975348E-2</v>
      </c>
      <c r="AO30" s="114">
        <f>Overview!H44</f>
        <v>3.1662780679049679E-2</v>
      </c>
      <c r="AP30" s="114">
        <f t="shared" si="12"/>
        <v>6.6900346495683748E-5</v>
      </c>
      <c r="AQ30" s="114">
        <f>Overview!E32</f>
        <v>2.0555472726885477E-2</v>
      </c>
      <c r="AR30" s="114">
        <f>Overview!D32</f>
        <v>2.296551724137931E-2</v>
      </c>
      <c r="AS30" s="114">
        <f t="shared" si="13"/>
        <v>0.11724588125582835</v>
      </c>
      <c r="AT30" s="114"/>
      <c r="AU30" s="114"/>
      <c r="AV30" s="114"/>
      <c r="AW30" s="114"/>
      <c r="AX30" s="114"/>
      <c r="AY30" s="114"/>
      <c r="AZ30" s="114"/>
      <c r="BA30" s="114"/>
      <c r="BB30" s="114"/>
      <c r="BC30" s="114">
        <f>Overview!G35</f>
        <v>1.8943503525986907E-2</v>
      </c>
      <c r="BD30" s="114">
        <f>Overview!H35</f>
        <v>3.6000000000000004E-2</v>
      </c>
      <c r="BE30" s="114">
        <f t="shared" si="17"/>
        <v>0.90038764216000522</v>
      </c>
      <c r="BF30" s="114">
        <f>Overview!G31</f>
        <v>2.435066770491438E-2</v>
      </c>
      <c r="BG30" s="114">
        <f>Overview!D31</f>
        <v>2.4297520661157024E-2</v>
      </c>
      <c r="BH30" s="114">
        <f t="shared" si="18"/>
        <v>2.1825702851930142E-3</v>
      </c>
      <c r="BI30" s="114">
        <f>Overview!H31</f>
        <v>2.1451372125524074E-2</v>
      </c>
      <c r="BJ30" s="114">
        <f>Overview!D31</f>
        <v>2.4297520661157024E-2</v>
      </c>
      <c r="BK30" s="114">
        <f t="shared" si="19"/>
        <v>0.13267909012899179</v>
      </c>
    </row>
    <row r="31" spans="1:63" x14ac:dyDescent="0.5">
      <c r="A31" s="114">
        <v>2.0947588654360551E-2</v>
      </c>
      <c r="B31" s="114">
        <v>2.4164068982530103E-2</v>
      </c>
      <c r="C31" s="114">
        <f t="shared" si="0"/>
        <v>0.15354895407018571</v>
      </c>
      <c r="D31" s="114">
        <f>Overview!B33</f>
        <v>1.937711609657311E-2</v>
      </c>
      <c r="E31" s="114">
        <f>Overview!E33</f>
        <v>3.0674194176674149E-2</v>
      </c>
      <c r="F31" s="114">
        <f t="shared" si="1"/>
        <v>0.58301132241752707</v>
      </c>
      <c r="G31" s="114"/>
      <c r="H31" s="114"/>
      <c r="I31" s="114"/>
      <c r="J31" s="114">
        <f>Overview!B32</f>
        <v>1.822785285520246E-2</v>
      </c>
      <c r="K31" s="114">
        <f>Overview!G32</f>
        <v>2.3010585738148896E-2</v>
      </c>
      <c r="L31" s="114">
        <f t="shared" si="3"/>
        <v>0.26238597167418892</v>
      </c>
      <c r="M31" s="114">
        <f>Overview!B32</f>
        <v>1.822785285520246E-2</v>
      </c>
      <c r="N31" s="114">
        <f>Overview!H32</f>
        <v>2.4673599331252519E-2</v>
      </c>
      <c r="O31" s="114">
        <f t="shared" si="4"/>
        <v>0.35362072139014233</v>
      </c>
      <c r="P31" s="114">
        <f>Overview!B29</f>
        <v>2.0947588654360551E-2</v>
      </c>
      <c r="Q31" s="114">
        <f>Overview!D29</f>
        <v>2.0295081967213115E-2</v>
      </c>
      <c r="R31" s="114">
        <f t="shared" si="5"/>
        <v>3.1149489228279641E-2</v>
      </c>
      <c r="S31" s="114">
        <f>Overview!C33</f>
        <v>3.3889803443408938E-2</v>
      </c>
      <c r="T31" s="114">
        <f>Overview!E33</f>
        <v>3.0674194176674149E-2</v>
      </c>
      <c r="U31" s="114">
        <f t="shared" si="20"/>
        <v>9.4884270193670198E-2</v>
      </c>
      <c r="V31" s="114"/>
      <c r="W31" s="114"/>
      <c r="X31" s="114"/>
      <c r="Y31" s="114">
        <f>Overview!C32</f>
        <v>2.5762319581407563E-2</v>
      </c>
      <c r="Z31" s="114">
        <f>Overview!G32</f>
        <v>2.3010585738148896E-2</v>
      </c>
      <c r="AA31" s="114">
        <f t="shared" si="7"/>
        <v>0.10681234795505638</v>
      </c>
      <c r="AB31" s="114">
        <f>Overview!C32</f>
        <v>2.5762319581407563E-2</v>
      </c>
      <c r="AC31" s="114">
        <f>Overview!H32</f>
        <v>2.4673599331252519E-2</v>
      </c>
      <c r="AD31" s="114">
        <f t="shared" si="8"/>
        <v>4.2260179511970794E-2</v>
      </c>
      <c r="AE31" s="114">
        <f>Overview!C29</f>
        <v>2.4164068982530103E-2</v>
      </c>
      <c r="AF31" s="114">
        <f>Overview!D29</f>
        <v>2.0295081967213115E-2</v>
      </c>
      <c r="AG31" s="114">
        <f t="shared" si="9"/>
        <v>0.16011322505800449</v>
      </c>
      <c r="AH31" s="114"/>
      <c r="AI31" s="114"/>
      <c r="AJ31" s="114"/>
      <c r="AK31" s="114">
        <f>Overview!E43</f>
        <v>3.2640867088167859E-2</v>
      </c>
      <c r="AL31" s="114">
        <f>Overview!G43</f>
        <v>2.0893849574731151E-2</v>
      </c>
      <c r="AM31" s="114">
        <f t="shared" si="11"/>
        <v>0.35988680943144857</v>
      </c>
      <c r="AN31" s="114">
        <f>Overview!E45</f>
        <v>3.2252082176568581E-2</v>
      </c>
      <c r="AO31" s="114">
        <f>Overview!H45</f>
        <v>2.8615069399156777E-2</v>
      </c>
      <c r="AP31" s="114">
        <f t="shared" si="12"/>
        <v>0.11276830926761451</v>
      </c>
      <c r="AQ31" s="114">
        <f>Overview!E33</f>
        <v>3.0674194176674149E-2</v>
      </c>
      <c r="AR31" s="114">
        <f>Overview!D33</f>
        <v>2.3636363636363636E-2</v>
      </c>
      <c r="AS31" s="114">
        <f t="shared" si="13"/>
        <v>0.22943815572708193</v>
      </c>
      <c r="AT31" s="114"/>
      <c r="AU31" s="114"/>
      <c r="AV31" s="114"/>
      <c r="AW31" s="114"/>
      <c r="AX31" s="114"/>
      <c r="AY31" s="114"/>
      <c r="AZ31" s="114"/>
      <c r="BA31" s="114"/>
      <c r="BB31" s="114"/>
      <c r="BC31" s="114">
        <f>Overview!G36</f>
        <v>1.8797915196435474E-2</v>
      </c>
      <c r="BD31" s="114">
        <f>Overview!H36</f>
        <v>3.5230057223718962E-2</v>
      </c>
      <c r="BE31" s="114">
        <f t="shared" si="17"/>
        <v>0.87414704532763332</v>
      </c>
      <c r="BF31" s="114">
        <f>Overview!G32</f>
        <v>2.3010585738148896E-2</v>
      </c>
      <c r="BG31" s="114">
        <f>Overview!D32</f>
        <v>2.296551724137931E-2</v>
      </c>
      <c r="BH31" s="114">
        <f t="shared" si="18"/>
        <v>1.9585984156356225E-3</v>
      </c>
      <c r="BI31" s="114">
        <f>Overview!H32</f>
        <v>2.4673599331252519E-2</v>
      </c>
      <c r="BJ31" s="114">
        <f>Overview!D32</f>
        <v>2.296551724137931E-2</v>
      </c>
      <c r="BK31" s="114">
        <f t="shared" si="19"/>
        <v>6.922711465569141E-2</v>
      </c>
    </row>
    <row r="32" spans="1:63" x14ac:dyDescent="0.5">
      <c r="A32" s="114">
        <v>2.1158501129156581E-2</v>
      </c>
      <c r="B32" s="114">
        <v>2.9614167606309725E-2</v>
      </c>
      <c r="C32" s="114">
        <f t="shared" si="0"/>
        <v>0.39963447436742905</v>
      </c>
      <c r="D32" s="114">
        <f>Overview!B37</f>
        <v>1.9816118935837245E-2</v>
      </c>
      <c r="E32" s="114">
        <f>Overview!E37</f>
        <v>2.859005422868351E-2</v>
      </c>
      <c r="F32" s="114">
        <f t="shared" si="1"/>
        <v>0.44276759345538108</v>
      </c>
      <c r="G32" s="114"/>
      <c r="H32" s="114"/>
      <c r="I32" s="114"/>
      <c r="J32" s="114">
        <f>Overview!B33</f>
        <v>1.937711609657311E-2</v>
      </c>
      <c r="K32" s="114">
        <f>Overview!G33</f>
        <v>2.2928504088358195E-2</v>
      </c>
      <c r="L32" s="114">
        <f t="shared" si="3"/>
        <v>0.18327742756380325</v>
      </c>
      <c r="M32" s="114">
        <f>Overview!B34</f>
        <v>2.1346886912325287E-2</v>
      </c>
      <c r="N32" s="114">
        <f>Overview!H34</f>
        <v>3.7400000000000003E-2</v>
      </c>
      <c r="O32" s="114">
        <f t="shared" si="4"/>
        <v>0.75201190476190483</v>
      </c>
      <c r="P32" s="114">
        <f>Overview!B30</f>
        <v>2.1158501129156581E-2</v>
      </c>
      <c r="Q32" s="114">
        <f>Overview!D30</f>
        <v>2.6602739726027398E-2</v>
      </c>
      <c r="R32" s="114">
        <f t="shared" si="5"/>
        <v>0.25730738503818751</v>
      </c>
      <c r="S32" s="114">
        <f>Overview!C37</f>
        <v>3.7942771431868014E-2</v>
      </c>
      <c r="T32" s="114">
        <f>Overview!E37</f>
        <v>2.859005422868351E-2</v>
      </c>
      <c r="U32" s="114">
        <f t="shared" si="20"/>
        <v>0.24649536262733793</v>
      </c>
      <c r="V32" s="114"/>
      <c r="W32" s="114"/>
      <c r="X32" s="114"/>
      <c r="Y32" s="114">
        <f>Overview!C33</f>
        <v>3.3889803443408938E-2</v>
      </c>
      <c r="Z32" s="114">
        <f>Overview!G33</f>
        <v>2.2928504088358195E-2</v>
      </c>
      <c r="AA32" s="114">
        <f t="shared" si="7"/>
        <v>0.32343944907660871</v>
      </c>
      <c r="AB32" s="114">
        <f>Overview!C34</f>
        <v>4.6732090284592728E-2</v>
      </c>
      <c r="AC32" s="114">
        <f>Overview!H34</f>
        <v>3.7400000000000003E-2</v>
      </c>
      <c r="AD32" s="114">
        <f t="shared" si="8"/>
        <v>0.19969340613187714</v>
      </c>
      <c r="AE32" s="114">
        <f>Overview!C30</f>
        <v>2.9614167606309725E-2</v>
      </c>
      <c r="AF32" s="114">
        <f>Overview!D30</f>
        <v>2.6602739726027398E-2</v>
      </c>
      <c r="AG32" s="114">
        <f t="shared" si="9"/>
        <v>0.10168875655450463</v>
      </c>
      <c r="AH32" s="114"/>
      <c r="AI32" s="114"/>
      <c r="AJ32" s="114"/>
      <c r="AK32" s="114">
        <f>Overview!E44</f>
        <v>3.166066256975348E-2</v>
      </c>
      <c r="AL32" s="114">
        <f>Overview!G44</f>
        <v>2.0982137857828265E-2</v>
      </c>
      <c r="AM32" s="114">
        <f t="shared" si="11"/>
        <v>0.3372805192689422</v>
      </c>
      <c r="AN32" s="114">
        <f>Overview!E46</f>
        <v>2.7900396151669497E-2</v>
      </c>
      <c r="AO32" s="114">
        <f>Overview!H46</f>
        <v>2.6515103919099139E-2</v>
      </c>
      <c r="AP32" s="114">
        <f t="shared" si="12"/>
        <v>4.9651346347907167E-2</v>
      </c>
      <c r="AQ32" s="114">
        <f>Overview!E37</f>
        <v>2.859005422868351E-2</v>
      </c>
      <c r="AR32" s="114">
        <f>Overview!D37</f>
        <v>2.2555555555555554E-2</v>
      </c>
      <c r="AS32" s="114">
        <f t="shared" si="13"/>
        <v>0.21106985754065941</v>
      </c>
      <c r="AT32" s="114"/>
      <c r="AU32" s="114"/>
      <c r="AV32" s="114"/>
      <c r="AW32" s="114"/>
      <c r="AX32" s="114"/>
      <c r="AY32" s="114"/>
      <c r="AZ32" s="114"/>
      <c r="BA32" s="114"/>
      <c r="BB32" s="114"/>
      <c r="BC32" s="114">
        <f>Overview!G37</f>
        <v>1.8626311532869602E-2</v>
      </c>
      <c r="BD32" s="114">
        <f>Overview!H37</f>
        <v>3.3170583683490948E-2</v>
      </c>
      <c r="BE32" s="114">
        <f t="shared" si="17"/>
        <v>0.78084553267324364</v>
      </c>
      <c r="BF32" s="114">
        <f>Overview!G33</f>
        <v>2.2928504088358195E-2</v>
      </c>
      <c r="BG32" s="114">
        <f>Overview!D33</f>
        <v>2.3636363636363636E-2</v>
      </c>
      <c r="BH32" s="114">
        <f t="shared" si="18"/>
        <v>3.0872469711831423E-2</v>
      </c>
      <c r="BI32" s="114">
        <f>Overview!H34</f>
        <v>3.7400000000000003E-2</v>
      </c>
      <c r="BJ32" s="114">
        <f>Overview!D34</f>
        <v>1.1399999999999999E-2</v>
      </c>
      <c r="BK32" s="114">
        <f t="shared" si="19"/>
        <v>0.69518716577540107</v>
      </c>
    </row>
    <row r="33" spans="1:63" x14ac:dyDescent="0.5">
      <c r="A33" s="114">
        <v>1.9124641592174061E-2</v>
      </c>
      <c r="B33" s="114">
        <v>2.7141855698876925E-2</v>
      </c>
      <c r="C33" s="114">
        <f t="shared" si="0"/>
        <v>0.41920859369116564</v>
      </c>
      <c r="D33" s="114">
        <f>Overview!B43</f>
        <v>2.2850469069351172E-2</v>
      </c>
      <c r="E33" s="114">
        <f>Overview!E43</f>
        <v>3.2640867088167859E-2</v>
      </c>
      <c r="F33" s="114">
        <f t="shared" si="1"/>
        <v>0.42845501285347048</v>
      </c>
      <c r="G33" s="114"/>
      <c r="H33" s="114"/>
      <c r="I33" s="114"/>
      <c r="J33" s="114">
        <f>Overview!B34</f>
        <v>2.1346886912325287E-2</v>
      </c>
      <c r="K33" s="114">
        <f>Overview!G34</f>
        <v>1.8964041321593437E-2</v>
      </c>
      <c r="L33" s="114">
        <f t="shared" si="3"/>
        <v>0.11162496904202179</v>
      </c>
      <c r="M33" s="114">
        <f>Overview!B35</f>
        <v>2.4224299065420559E-2</v>
      </c>
      <c r="N33" s="114">
        <f>Overview!H35</f>
        <v>3.6000000000000004E-2</v>
      </c>
      <c r="O33" s="114">
        <f t="shared" si="4"/>
        <v>0.48611111111111138</v>
      </c>
      <c r="P33" s="114">
        <f>Overview!B31</f>
        <v>1.9124641592174061E-2</v>
      </c>
      <c r="Q33" s="114">
        <f>Overview!D31</f>
        <v>2.4297520661157024E-2</v>
      </c>
      <c r="R33" s="114">
        <f t="shared" si="5"/>
        <v>0.2704824058558955</v>
      </c>
      <c r="S33" s="114">
        <f>Overview!C43</f>
        <v>4.4396581671645924E-2</v>
      </c>
      <c r="T33" s="114">
        <f>Overview!E43</f>
        <v>3.2640867088167859E-2</v>
      </c>
      <c r="U33" s="114">
        <f t="shared" ref="U33:U40" si="21">ABS(S33-T33)/S33</f>
        <v>0.26478873239436596</v>
      </c>
      <c r="V33" s="114"/>
      <c r="W33" s="114"/>
      <c r="X33" s="114"/>
      <c r="Y33" s="114">
        <f>Overview!C34</f>
        <v>4.6732090284592728E-2</v>
      </c>
      <c r="Z33" s="114">
        <f>Overview!G34</f>
        <v>1.8964041321593437E-2</v>
      </c>
      <c r="AA33" s="114">
        <f t="shared" si="7"/>
        <v>0.59419659582730544</v>
      </c>
      <c r="AB33" s="114">
        <f>Overview!C35</f>
        <v>4.4882186616399616E-2</v>
      </c>
      <c r="AC33" s="114">
        <f>Overview!H35</f>
        <v>3.6000000000000004E-2</v>
      </c>
      <c r="AD33" s="114">
        <f t="shared" si="8"/>
        <v>0.19790004199915981</v>
      </c>
      <c r="AE33" s="114">
        <f>Overview!C31</f>
        <v>2.7141855698876925E-2</v>
      </c>
      <c r="AF33" s="114">
        <f>Overview!D31</f>
        <v>2.4297520661157024E-2</v>
      </c>
      <c r="AG33" s="114">
        <f t="shared" si="9"/>
        <v>0.10479515731260751</v>
      </c>
      <c r="AH33" s="114"/>
      <c r="AI33" s="114"/>
      <c r="AJ33" s="114"/>
      <c r="AK33" s="114">
        <f>Overview!E45</f>
        <v>3.2252082176568581E-2</v>
      </c>
      <c r="AL33" s="114">
        <f>Overview!G45</f>
        <v>1.6655375787836733E-2</v>
      </c>
      <c r="AM33" s="114">
        <f t="shared" si="11"/>
        <v>0.48358758058923063</v>
      </c>
      <c r="AN33" s="114">
        <f>Overview!E47</f>
        <v>2.5626981004218858E-2</v>
      </c>
      <c r="AO33" s="114">
        <f>Overview!H47</f>
        <v>2.3257575757575755E-2</v>
      </c>
      <c r="AP33" s="114">
        <f t="shared" si="12"/>
        <v>9.245744733853116E-2</v>
      </c>
      <c r="AQ33" s="114">
        <f>Overview!E43</f>
        <v>3.2640867088167859E-2</v>
      </c>
      <c r="AR33" s="114">
        <f>Overview!D43</f>
        <v>2.662162162162162E-2</v>
      </c>
      <c r="AS33" s="114">
        <f t="shared" si="13"/>
        <v>0.18440825883354622</v>
      </c>
      <c r="AT33" s="114"/>
      <c r="AU33" s="114"/>
      <c r="AV33" s="114"/>
      <c r="AW33" s="114"/>
      <c r="AX33" s="114"/>
      <c r="AY33" s="114"/>
      <c r="AZ33" s="114"/>
      <c r="BA33" s="114"/>
      <c r="BB33" s="114"/>
      <c r="BC33" s="114">
        <f>Overview!G38</f>
        <v>1.7362786693673686E-2</v>
      </c>
      <c r="BD33" s="114">
        <f>Overview!H38</f>
        <v>2.6600000000000002E-2</v>
      </c>
      <c r="BE33" s="114">
        <f t="shared" si="17"/>
        <v>0.53201214006113384</v>
      </c>
      <c r="BF33" s="114">
        <f>Overview!G34</f>
        <v>1.8964041321593437E-2</v>
      </c>
      <c r="BG33" s="114">
        <f>Overview!D34</f>
        <v>1.1399999999999999E-2</v>
      </c>
      <c r="BH33" s="114">
        <f t="shared" si="18"/>
        <v>0.39886230963758923</v>
      </c>
      <c r="BI33" s="114">
        <f>Overview!H35</f>
        <v>3.6000000000000004E-2</v>
      </c>
      <c r="BJ33" s="114">
        <f>Overview!D35</f>
        <v>1.24E-2</v>
      </c>
      <c r="BK33" s="114">
        <f t="shared" si="19"/>
        <v>0.65555555555555556</v>
      </c>
    </row>
    <row r="34" spans="1:63" x14ac:dyDescent="0.5">
      <c r="A34" s="114">
        <v>1.822785285520246E-2</v>
      </c>
      <c r="B34" s="114">
        <v>2.5762319581407563E-2</v>
      </c>
      <c r="C34" s="114">
        <f t="shared" si="0"/>
        <v>0.41334910842527844</v>
      </c>
      <c r="D34" s="114">
        <f>Overview!B44</f>
        <v>2.2657754616517502E-2</v>
      </c>
      <c r="E34" s="114">
        <f>Overview!E44</f>
        <v>3.166066256975348E-2</v>
      </c>
      <c r="F34" s="114">
        <f t="shared" si="1"/>
        <v>0.39734334251606984</v>
      </c>
      <c r="G34" s="114"/>
      <c r="H34" s="114"/>
      <c r="I34" s="114"/>
      <c r="J34" s="114">
        <f>Overview!B35</f>
        <v>2.4224299065420559E-2</v>
      </c>
      <c r="K34" s="114">
        <f>Overview!G35</f>
        <v>1.8943503525986907E-2</v>
      </c>
      <c r="L34" s="114">
        <f t="shared" si="3"/>
        <v>0.21799580351828735</v>
      </c>
      <c r="M34" s="114">
        <f>Overview!B36</f>
        <v>2.0345707870697873E-2</v>
      </c>
      <c r="N34" s="114">
        <f>Overview!H36</f>
        <v>3.5230057223718962E-2</v>
      </c>
      <c r="O34" s="114">
        <f t="shared" si="4"/>
        <v>0.73157195845015077</v>
      </c>
      <c r="P34" s="114">
        <f>Overview!B32</f>
        <v>1.822785285520246E-2</v>
      </c>
      <c r="Q34" s="114">
        <f>Overview!D32</f>
        <v>2.296551724137931E-2</v>
      </c>
      <c r="R34" s="114">
        <f t="shared" si="5"/>
        <v>0.25991346451014719</v>
      </c>
      <c r="S34" s="114">
        <f>Overview!C44</f>
        <v>4.0969131878222771E-2</v>
      </c>
      <c r="T34" s="114">
        <f>Overview!E44</f>
        <v>3.166066256975348E-2</v>
      </c>
      <c r="U34" s="114">
        <f t="shared" si="21"/>
        <v>0.22720689655172382</v>
      </c>
      <c r="V34" s="114"/>
      <c r="W34" s="114"/>
      <c r="X34" s="114"/>
      <c r="Y34" s="114">
        <f>Overview!C35</f>
        <v>4.4882186616399616E-2</v>
      </c>
      <c r="Z34" s="114">
        <f>Overview!G35</f>
        <v>1.8943503525986907E-2</v>
      </c>
      <c r="AA34" s="114">
        <f t="shared" si="7"/>
        <v>0.57792823937269822</v>
      </c>
      <c r="AB34" s="114">
        <f>Overview!C36</f>
        <v>3.4518447252955498E-2</v>
      </c>
      <c r="AC34" s="114">
        <f>Overview!H36</f>
        <v>3.5230057223718962E-2</v>
      </c>
      <c r="AD34" s="114">
        <f t="shared" si="8"/>
        <v>2.0615352873456266E-2</v>
      </c>
      <c r="AE34" s="114">
        <f>Overview!C32</f>
        <v>2.5762319581407563E-2</v>
      </c>
      <c r="AF34" s="114">
        <f>Overview!D32</f>
        <v>2.296551724137931E-2</v>
      </c>
      <c r="AG34" s="114">
        <f t="shared" si="9"/>
        <v>0.1085617438752169</v>
      </c>
      <c r="AH34" s="114"/>
      <c r="AI34" s="114"/>
      <c r="AJ34" s="114"/>
      <c r="AK34" s="114">
        <f>Overview!E46</f>
        <v>2.7900396151669497E-2</v>
      </c>
      <c r="AL34" s="114">
        <f>Overview!G46</f>
        <v>1.3082963201166111E-2</v>
      </c>
      <c r="AM34" s="114">
        <f t="shared" si="11"/>
        <v>0.5310832459135798</v>
      </c>
      <c r="AN34" s="114">
        <f>Overview!E48</f>
        <v>5.822594661700807E-2</v>
      </c>
      <c r="AO34" s="114">
        <f>Overview!H48</f>
        <v>3.0912526997840167E-2</v>
      </c>
      <c r="AP34" s="114">
        <f t="shared" si="12"/>
        <v>0.46909361214557782</v>
      </c>
      <c r="AQ34" s="114">
        <f>Overview!E44</f>
        <v>3.166066256975348E-2</v>
      </c>
      <c r="AR34" s="114">
        <f>Overview!D44</f>
        <v>2.3461538461538461E-2</v>
      </c>
      <c r="AS34" s="114">
        <f t="shared" si="13"/>
        <v>0.25896880995939497</v>
      </c>
      <c r="AT34" s="114"/>
      <c r="AU34" s="114"/>
      <c r="AV34" s="114"/>
      <c r="AW34" s="114"/>
      <c r="AX34" s="114"/>
      <c r="AY34" s="114"/>
      <c r="AZ34" s="114"/>
      <c r="BA34" s="114"/>
      <c r="BB34" s="114"/>
      <c r="BC34" s="114">
        <f>Overview!G43</f>
        <v>2.0893849574731151E-2</v>
      </c>
      <c r="BD34" s="114">
        <f>Overview!H43</f>
        <v>3.3023342529235181E-2</v>
      </c>
      <c r="BE34" s="114">
        <f t="shared" si="17"/>
        <v>0.58052935200478029</v>
      </c>
      <c r="BF34" s="114">
        <f>Overview!G35</f>
        <v>1.8943503525986907E-2</v>
      </c>
      <c r="BG34" s="114">
        <f>Overview!D35</f>
        <v>1.24E-2</v>
      </c>
      <c r="BH34" s="114">
        <f t="shared" si="18"/>
        <v>0.34542203436710939</v>
      </c>
      <c r="BI34" s="114">
        <f>Overview!H36</f>
        <v>3.5230057223718962E-2</v>
      </c>
      <c r="BJ34" s="114">
        <f>Overview!D36</f>
        <v>1.9358974358974358E-2</v>
      </c>
      <c r="BK34" s="114">
        <f t="shared" si="19"/>
        <v>0.4504983561042657</v>
      </c>
    </row>
    <row r="35" spans="1:63" x14ac:dyDescent="0.5">
      <c r="A35" s="114">
        <v>1.937711609657311E-2</v>
      </c>
      <c r="B35" s="114">
        <v>3.3889803443408938E-2</v>
      </c>
      <c r="C35" s="114">
        <f t="shared" si="0"/>
        <v>0.74896012773554221</v>
      </c>
      <c r="D35" s="114">
        <f>Overview!B45</f>
        <v>2.3912191297530382E-2</v>
      </c>
      <c r="E35" s="114">
        <f>Overview!E45</f>
        <v>3.2252082176568581E-2</v>
      </c>
      <c r="F35" s="114">
        <f t="shared" si="1"/>
        <v>0.34877150217092534</v>
      </c>
      <c r="G35" s="114"/>
      <c r="H35" s="114"/>
      <c r="I35" s="114"/>
      <c r="J35" s="114">
        <f>Overview!B36</f>
        <v>2.0345707870697873E-2</v>
      </c>
      <c r="K35" s="114">
        <f>Overview!G36</f>
        <v>1.8797915196435474E-2</v>
      </c>
      <c r="L35" s="114">
        <f t="shared" si="3"/>
        <v>7.6074653391222033E-2</v>
      </c>
      <c r="M35" s="114">
        <f>Overview!B37</f>
        <v>1.9816118935837245E-2</v>
      </c>
      <c r="N35" s="114">
        <f>Overview!H37</f>
        <v>3.3170583683490948E-2</v>
      </c>
      <c r="O35" s="114">
        <f t="shared" si="4"/>
        <v>0.67391928716688776</v>
      </c>
      <c r="P35" s="114">
        <f>Overview!B33</f>
        <v>1.937711609657311E-2</v>
      </c>
      <c r="Q35" s="114">
        <f>Overview!D33</f>
        <v>2.3636363636363636E-2</v>
      </c>
      <c r="R35" s="114">
        <f t="shared" si="5"/>
        <v>0.21980812410696057</v>
      </c>
      <c r="S35" s="114">
        <f>Overview!C45</f>
        <v>3.8811771238200996E-2</v>
      </c>
      <c r="T35" s="114">
        <f>Overview!E45</f>
        <v>3.2252082176568581E-2</v>
      </c>
      <c r="U35" s="114">
        <f t="shared" si="21"/>
        <v>0.16901287553648039</v>
      </c>
      <c r="V35" s="114"/>
      <c r="W35" s="114"/>
      <c r="X35" s="114"/>
      <c r="Y35" s="114">
        <f>Overview!C36</f>
        <v>3.4518447252955498E-2</v>
      </c>
      <c r="Z35" s="114">
        <f>Overview!G36</f>
        <v>1.8797915196435474E-2</v>
      </c>
      <c r="AA35" s="114">
        <f t="shared" si="7"/>
        <v>0.45542407922691303</v>
      </c>
      <c r="AB35" s="114">
        <f>Overview!C37</f>
        <v>3.7942771431868014E-2</v>
      </c>
      <c r="AC35" s="114">
        <f>Overview!H37</f>
        <v>3.3170583683490948E-2</v>
      </c>
      <c r="AD35" s="114">
        <f t="shared" si="8"/>
        <v>0.12577330459231875</v>
      </c>
      <c r="AE35" s="114">
        <f>Overview!C33</f>
        <v>3.3889803443408938E-2</v>
      </c>
      <c r="AF35" s="114">
        <f>Overview!D33</f>
        <v>2.3636363636363636E-2</v>
      </c>
      <c r="AG35" s="114">
        <f t="shared" si="9"/>
        <v>0.30255235396000629</v>
      </c>
      <c r="AH35" s="114"/>
      <c r="AI35" s="114"/>
      <c r="AJ35" s="114"/>
      <c r="AK35" s="114">
        <f>Overview!E47</f>
        <v>2.5626981004218858E-2</v>
      </c>
      <c r="AL35" s="114">
        <f>Overview!G47</f>
        <v>1.8428636458143025E-2</v>
      </c>
      <c r="AM35" s="114">
        <f t="shared" si="11"/>
        <v>0.28088929183233874</v>
      </c>
      <c r="AN35" s="114">
        <f>Overview!E49</f>
        <v>3.6604889141557705E-2</v>
      </c>
      <c r="AO35" s="114">
        <f>Overview!H49</f>
        <v>3.1229503662361938E-2</v>
      </c>
      <c r="AP35" s="114">
        <f t="shared" si="12"/>
        <v>0.14684883919216862</v>
      </c>
      <c r="AQ35" s="114">
        <f>Overview!E45</f>
        <v>3.2252082176568581E-2</v>
      </c>
      <c r="AR35" s="114">
        <f>Overview!D45</f>
        <v>2.2099999999999998E-2</v>
      </c>
      <c r="AS35" s="114">
        <f t="shared" si="13"/>
        <v>0.31477292290741338</v>
      </c>
      <c r="AT35" s="114"/>
      <c r="AU35" s="114"/>
      <c r="AV35" s="114"/>
      <c r="AW35" s="114"/>
      <c r="AX35" s="114"/>
      <c r="AY35" s="114"/>
      <c r="AZ35" s="114"/>
      <c r="BA35" s="114"/>
      <c r="BB35" s="114"/>
      <c r="BC35" s="114">
        <f>Overview!G44</f>
        <v>2.0982137857828265E-2</v>
      </c>
      <c r="BD35" s="114">
        <f>Overview!H44</f>
        <v>3.1662780679049679E-2</v>
      </c>
      <c r="BE35" s="114">
        <f t="shared" si="17"/>
        <v>0.50903501319035294</v>
      </c>
      <c r="BF35" s="114">
        <f>Overview!G36</f>
        <v>1.8797915196435474E-2</v>
      </c>
      <c r="BG35" s="114">
        <f>Overview!D36</f>
        <v>1.9358974358974358E-2</v>
      </c>
      <c r="BH35" s="114">
        <f t="shared" si="18"/>
        <v>2.9846882309867762E-2</v>
      </c>
      <c r="BI35" s="114">
        <f>Overview!H37</f>
        <v>3.3170583683490948E-2</v>
      </c>
      <c r="BJ35" s="114">
        <f>Overview!D37</f>
        <v>2.2555555555555554E-2</v>
      </c>
      <c r="BK35" s="114">
        <f t="shared" si="19"/>
        <v>0.32001330544022083</v>
      </c>
    </row>
    <row r="36" spans="1:63" x14ac:dyDescent="0.5">
      <c r="A36" s="114">
        <v>2.1346886912325287E-2</v>
      </c>
      <c r="B36" s="114">
        <v>4.6732090284592728E-2</v>
      </c>
      <c r="C36" s="114">
        <f t="shared" si="0"/>
        <v>1.1891758960699093</v>
      </c>
      <c r="D36" s="114">
        <f>Overview!B46</f>
        <v>1.9107564347532878E-2</v>
      </c>
      <c r="E36" s="114">
        <f>Overview!E46</f>
        <v>2.7900396151669497E-2</v>
      </c>
      <c r="F36" s="114">
        <f t="shared" si="1"/>
        <v>0.46017543859649113</v>
      </c>
      <c r="G36" s="114"/>
      <c r="H36" s="114"/>
      <c r="I36" s="114"/>
      <c r="J36" s="114">
        <f>Overview!B37</f>
        <v>1.9816118935837245E-2</v>
      </c>
      <c r="K36" s="114">
        <f>Overview!G37</f>
        <v>1.8626311532869602E-2</v>
      </c>
      <c r="L36" s="114">
        <f t="shared" si="3"/>
        <v>6.0042403198130215E-2</v>
      </c>
      <c r="M36" s="114">
        <f>Overview!B38</f>
        <v>1.743908265647396E-2</v>
      </c>
      <c r="N36" s="114">
        <f>Overview!H38</f>
        <v>2.6600000000000002E-2</v>
      </c>
      <c r="O36" s="114">
        <f t="shared" si="4"/>
        <v>0.52530958904109604</v>
      </c>
      <c r="P36" s="114">
        <f>Overview!B34</f>
        <v>2.1346886912325287E-2</v>
      </c>
      <c r="Q36" s="114">
        <f>Overview!D34</f>
        <v>1.1399999999999999E-2</v>
      </c>
      <c r="R36" s="114">
        <f t="shared" si="5"/>
        <v>0.46596428571428583</v>
      </c>
      <c r="S36" s="114">
        <f>Overview!C46</f>
        <v>3.4227939575987125E-2</v>
      </c>
      <c r="T36" s="114">
        <f>Overview!E46</f>
        <v>2.7900396151669497E-2</v>
      </c>
      <c r="U36" s="114">
        <f t="shared" si="21"/>
        <v>0.18486486486486509</v>
      </c>
      <c r="V36" s="114"/>
      <c r="W36" s="114"/>
      <c r="X36" s="114"/>
      <c r="Y36" s="114">
        <f>Overview!C37</f>
        <v>3.7942771431868014E-2</v>
      </c>
      <c r="Z36" s="114">
        <f>Overview!G37</f>
        <v>1.8626311532869602E-2</v>
      </c>
      <c r="AA36" s="114">
        <f t="shared" si="7"/>
        <v>0.5090945961521034</v>
      </c>
      <c r="AB36" s="114">
        <f>Overview!C38</f>
        <v>2.8071557155715562E-2</v>
      </c>
      <c r="AC36" s="114">
        <f>Overview!H38</f>
        <v>2.6600000000000002E-2</v>
      </c>
      <c r="AD36" s="114">
        <f t="shared" si="8"/>
        <v>5.2421643286572762E-2</v>
      </c>
      <c r="AE36" s="114">
        <f>Overview!C34</f>
        <v>4.6732090284592728E-2</v>
      </c>
      <c r="AF36" s="114">
        <f>Overview!D34</f>
        <v>1.1399999999999999E-2</v>
      </c>
      <c r="AG36" s="114">
        <f t="shared" si="9"/>
        <v>0.7560562788744225</v>
      </c>
      <c r="AH36" s="114"/>
      <c r="AI36" s="114"/>
      <c r="AJ36" s="114"/>
      <c r="AK36" s="114">
        <f>Overview!E49</f>
        <v>3.6604889141557705E-2</v>
      </c>
      <c r="AL36" s="114">
        <f>Overview!G49</f>
        <v>1.9206750491913904E-2</v>
      </c>
      <c r="AM36" s="114">
        <f t="shared" si="11"/>
        <v>0.47529548805248562</v>
      </c>
      <c r="AN36" s="114"/>
      <c r="AO36" s="114"/>
      <c r="AP36" s="114"/>
      <c r="AQ36" s="114">
        <f>Overview!E46</f>
        <v>2.7900396151669497E-2</v>
      </c>
      <c r="AR36" s="114">
        <f>Overview!D46</f>
        <v>1.6451612903225808E-2</v>
      </c>
      <c r="AS36" s="114">
        <f t="shared" si="13"/>
        <v>0.41034482758620688</v>
      </c>
      <c r="AT36" s="114"/>
      <c r="AU36" s="114"/>
      <c r="AV36" s="114"/>
      <c r="AW36" s="114"/>
      <c r="AX36" s="114"/>
      <c r="AY36" s="114"/>
      <c r="AZ36" s="114"/>
      <c r="BA36" s="114"/>
      <c r="BB36" s="114"/>
      <c r="BC36" s="114">
        <f>Overview!G45</f>
        <v>1.6655375787836733E-2</v>
      </c>
      <c r="BD36" s="114">
        <f>Overview!H45</f>
        <v>2.8615069399156777E-2</v>
      </c>
      <c r="BE36" s="114">
        <f t="shared" si="17"/>
        <v>0.71806807385601568</v>
      </c>
      <c r="BF36" s="114">
        <f>Overview!G37</f>
        <v>1.8626311532869602E-2</v>
      </c>
      <c r="BG36" s="114">
        <f>Overview!D37</f>
        <v>2.2555555555555554E-2</v>
      </c>
      <c r="BH36" s="114">
        <f t="shared" si="18"/>
        <v>0.21095126728402819</v>
      </c>
      <c r="BI36" s="114">
        <f>Overview!H38</f>
        <v>2.6600000000000002E-2</v>
      </c>
      <c r="BJ36" s="114">
        <f>Overview!D38</f>
        <v>1.8173076923076924E-2</v>
      </c>
      <c r="BK36" s="114">
        <f t="shared" si="19"/>
        <v>0.3168016194331984</v>
      </c>
    </row>
    <row r="37" spans="1:63" x14ac:dyDescent="0.5">
      <c r="A37" s="114">
        <v>2.4224299065420559E-2</v>
      </c>
      <c r="B37" s="114">
        <v>4.4882186616399616E-2</v>
      </c>
      <c r="C37" s="114">
        <f t="shared" si="0"/>
        <v>0.85277545059982995</v>
      </c>
      <c r="D37" s="114">
        <f>Overview!B47</f>
        <v>1.8508486818345972E-2</v>
      </c>
      <c r="E37" s="114">
        <f>Overview!E47</f>
        <v>2.5626981004218858E-2</v>
      </c>
      <c r="F37" s="114">
        <f t="shared" si="1"/>
        <v>0.38460703220842973</v>
      </c>
      <c r="G37" s="114"/>
      <c r="H37" s="114"/>
      <c r="I37" s="114"/>
      <c r="J37" s="114">
        <f>Overview!B38</f>
        <v>1.743908265647396E-2</v>
      </c>
      <c r="K37" s="114">
        <f>Overview!G38</f>
        <v>1.7362786693673686E-2</v>
      </c>
      <c r="L37" s="114">
        <f t="shared" si="3"/>
        <v>4.3749986339992773E-3</v>
      </c>
      <c r="M37" s="114">
        <f>Overview!B41</f>
        <v>1.7078213511287424E-2</v>
      </c>
      <c r="N37" s="114">
        <f>Overview!H41</f>
        <v>2.231707317073171E-2</v>
      </c>
      <c r="O37" s="114">
        <f t="shared" si="4"/>
        <v>0.30675688976377952</v>
      </c>
      <c r="P37" s="114">
        <f>Overview!B35</f>
        <v>2.4224299065420559E-2</v>
      </c>
      <c r="Q37" s="114">
        <f>Overview!D35</f>
        <v>1.24E-2</v>
      </c>
      <c r="R37" s="114">
        <f t="shared" si="5"/>
        <v>0.48811728395061726</v>
      </c>
      <c r="S37" s="114">
        <f>Overview!C47</f>
        <v>2.6367849257874824E-2</v>
      </c>
      <c r="T37" s="114">
        <f>Overview!E47</f>
        <v>2.5626981004218858E-2</v>
      </c>
      <c r="U37" s="114">
        <f t="shared" si="21"/>
        <v>2.8097409326424464E-2</v>
      </c>
      <c r="V37" s="114"/>
      <c r="W37" s="114"/>
      <c r="X37" s="114"/>
      <c r="Y37" s="114">
        <f>Overview!C38</f>
        <v>2.8071557155715562E-2</v>
      </c>
      <c r="Z37" s="114">
        <f>Overview!G38</f>
        <v>1.7362786693673686E-2</v>
      </c>
      <c r="AA37" s="114">
        <f t="shared" si="7"/>
        <v>0.38148116980612518</v>
      </c>
      <c r="AB37" s="114">
        <f>Overview!C41</f>
        <v>2.9719057935565032E-2</v>
      </c>
      <c r="AC37" s="114">
        <f>Overview!H41</f>
        <v>2.231707317073171E-2</v>
      </c>
      <c r="AD37" s="114">
        <f t="shared" si="8"/>
        <v>0.2490652557319224</v>
      </c>
      <c r="AE37" s="114">
        <f>Overview!C35</f>
        <v>4.4882186616399616E-2</v>
      </c>
      <c r="AF37" s="114">
        <f>Overview!D35</f>
        <v>1.24E-2</v>
      </c>
      <c r="AG37" s="114">
        <f t="shared" si="9"/>
        <v>0.72372112557748836</v>
      </c>
      <c r="AH37" s="114"/>
      <c r="AI37" s="114"/>
      <c r="AJ37" s="114"/>
      <c r="AK37" s="114">
        <f>Overview!E50</f>
        <v>3.3925471559651602E-2</v>
      </c>
      <c r="AL37" s="114">
        <f>Overview!G50</f>
        <v>2.3379662989747387E-2</v>
      </c>
      <c r="AM37" s="114">
        <f t="shared" si="11"/>
        <v>0.31085223241072363</v>
      </c>
      <c r="AN37" s="114"/>
      <c r="AO37" s="124">
        <f>RSQ(AN5:AN35,AO5:AO35)</f>
        <v>0.35258605055753744</v>
      </c>
      <c r="AP37" s="124">
        <f>AVERAGE(AP5:AP35)</f>
        <v>0.12926567762411587</v>
      </c>
      <c r="AQ37" s="114">
        <f>Overview!E47</f>
        <v>2.5626981004218858E-2</v>
      </c>
      <c r="AR37" s="114">
        <f>Overview!D47</f>
        <v>2.0192307692307693E-2</v>
      </c>
      <c r="AS37" s="114">
        <f t="shared" si="13"/>
        <v>0.2120684176968203</v>
      </c>
      <c r="AT37" s="114"/>
      <c r="AU37" s="114"/>
      <c r="AV37" s="114"/>
      <c r="AW37" s="114"/>
      <c r="AX37" s="114"/>
      <c r="AY37" s="114"/>
      <c r="AZ37" s="114"/>
      <c r="BA37" s="114"/>
      <c r="BB37" s="114"/>
      <c r="BC37" s="114">
        <f>Overview!G46</f>
        <v>1.3082963201166111E-2</v>
      </c>
      <c r="BD37" s="114">
        <f>Overview!H46</f>
        <v>2.6515103919099139E-2</v>
      </c>
      <c r="BE37" s="114">
        <f t="shared" si="17"/>
        <v>1.026689482451177</v>
      </c>
      <c r="BF37" s="114">
        <f>Overview!G38</f>
        <v>1.7362786693673686E-2</v>
      </c>
      <c r="BG37" s="114">
        <f>Overview!D38</f>
        <v>1.8173076923076924E-2</v>
      </c>
      <c r="BH37" s="114">
        <f t="shared" si="18"/>
        <v>4.6668213098446661E-2</v>
      </c>
      <c r="BI37" s="114">
        <f>Overview!H41</f>
        <v>2.231707317073171E-2</v>
      </c>
      <c r="BJ37" s="114">
        <f>Overview!D41</f>
        <v>1.3414634146341465E-2</v>
      </c>
      <c r="BK37" s="114">
        <f t="shared" si="19"/>
        <v>0.39890710382513661</v>
      </c>
    </row>
    <row r="38" spans="1:63" x14ac:dyDescent="0.5">
      <c r="A38" s="114">
        <v>2.0345707870697873E-2</v>
      </c>
      <c r="B38" s="114">
        <v>3.4518447252955498E-2</v>
      </c>
      <c r="C38" s="114">
        <f t="shared" si="0"/>
        <v>0.69659603255531699</v>
      </c>
      <c r="D38" s="114">
        <f>Overview!B48</f>
        <v>2.2059439095856007E-2</v>
      </c>
      <c r="E38" s="114">
        <f>Overview!E48</f>
        <v>5.822594661700807E-2</v>
      </c>
      <c r="F38" s="114">
        <f t="shared" si="1"/>
        <v>1.6395025895262294</v>
      </c>
      <c r="G38" s="114"/>
      <c r="H38" s="114"/>
      <c r="I38" s="114"/>
      <c r="J38" s="114">
        <f>Overview!B43</f>
        <v>2.2850469069351172E-2</v>
      </c>
      <c r="K38" s="114">
        <f>Overview!G43</f>
        <v>2.0893849574731151E-2</v>
      </c>
      <c r="L38" s="114">
        <f t="shared" si="3"/>
        <v>8.5627104138723875E-2</v>
      </c>
      <c r="M38" s="114">
        <f>Overview!B43</f>
        <v>2.2850469069351172E-2</v>
      </c>
      <c r="N38" s="114">
        <f>Overview!H43</f>
        <v>3.3023342529235181E-2</v>
      </c>
      <c r="O38" s="114">
        <f t="shared" si="4"/>
        <v>0.44519320058635725</v>
      </c>
      <c r="P38" s="114">
        <f>Overview!B36</f>
        <v>2.0345707870697873E-2</v>
      </c>
      <c r="Q38" s="114">
        <f>Overview!D36</f>
        <v>1.9358974358974358E-2</v>
      </c>
      <c r="R38" s="114">
        <f t="shared" si="5"/>
        <v>4.8498362307886053E-2</v>
      </c>
      <c r="S38" s="114">
        <f>Overview!C48</f>
        <v>6.2073246430788369E-2</v>
      </c>
      <c r="T38" s="114">
        <f>Overview!E48</f>
        <v>5.822594661700807E-2</v>
      </c>
      <c r="U38" s="114">
        <f t="shared" si="21"/>
        <v>6.1980000000000569E-2</v>
      </c>
      <c r="V38" s="114"/>
      <c r="W38" s="114"/>
      <c r="X38" s="114"/>
      <c r="Y38" s="114">
        <f>Overview!C43</f>
        <v>4.4396581671645924E-2</v>
      </c>
      <c r="Z38" s="114">
        <f>Overview!G43</f>
        <v>2.0893849574731151E-2</v>
      </c>
      <c r="AA38" s="114">
        <f t="shared" si="7"/>
        <v>0.52938156975100847</v>
      </c>
      <c r="AB38" s="114">
        <f>Overview!C43</f>
        <v>4.4396581671645924E-2</v>
      </c>
      <c r="AC38" s="114">
        <f>Overview!H43</f>
        <v>3.3023342529235181E-2</v>
      </c>
      <c r="AD38" s="114">
        <f t="shared" si="8"/>
        <v>0.25617375739705461</v>
      </c>
      <c r="AE38" s="114">
        <f>Overview!C36</f>
        <v>3.4518447252955498E-2</v>
      </c>
      <c r="AF38" s="114">
        <f>Overview!D36</f>
        <v>1.9358974358974358E-2</v>
      </c>
      <c r="AG38" s="114">
        <f t="shared" si="9"/>
        <v>0.43917018581081085</v>
      </c>
      <c r="AH38" s="114"/>
      <c r="AI38" s="114"/>
      <c r="AJ38" s="114"/>
      <c r="AK38" s="114"/>
      <c r="AL38" s="114"/>
      <c r="AM38" s="114"/>
      <c r="AN38" s="114"/>
      <c r="AO38" s="114" t="s">
        <v>236</v>
      </c>
      <c r="AP38" s="114" t="s">
        <v>229</v>
      </c>
      <c r="AQ38" s="114">
        <f>Overview!E48</f>
        <v>5.822594661700807E-2</v>
      </c>
      <c r="AR38" s="114">
        <f>Overview!D48</f>
        <v>1.4333333333333333E-2</v>
      </c>
      <c r="AS38" s="114">
        <f t="shared" si="13"/>
        <v>0.75383254088398965</v>
      </c>
      <c r="AT38" s="114"/>
      <c r="AU38" s="114"/>
      <c r="AV38" s="114"/>
      <c r="AW38" s="114"/>
      <c r="AX38" s="114"/>
      <c r="AY38" s="114"/>
      <c r="AZ38" s="114"/>
      <c r="BA38" s="114"/>
      <c r="BB38" s="114"/>
      <c r="BC38" s="114">
        <f>Overview!G47</f>
        <v>1.8428636458143025E-2</v>
      </c>
      <c r="BD38" s="114">
        <f>Overview!H47</f>
        <v>2.3257575757575755E-2</v>
      </c>
      <c r="BE38" s="114">
        <f t="shared" si="17"/>
        <v>0.26203454120985581</v>
      </c>
      <c r="BF38" s="114">
        <f>Overview!G43</f>
        <v>2.0893849574731151E-2</v>
      </c>
      <c r="BG38" s="114">
        <f>Overview!D43</f>
        <v>2.662162162162162E-2</v>
      </c>
      <c r="BH38" s="114">
        <f t="shared" si="18"/>
        <v>0.27413675141117078</v>
      </c>
      <c r="BI38" s="114">
        <f>Overview!H43</f>
        <v>3.3023342529235181E-2</v>
      </c>
      <c r="BJ38" s="114">
        <f>Overview!D43</f>
        <v>2.662162162162162E-2</v>
      </c>
      <c r="BK38" s="114">
        <f t="shared" si="19"/>
        <v>0.19385441985305368</v>
      </c>
    </row>
    <row r="39" spans="1:63" x14ac:dyDescent="0.5">
      <c r="A39" s="114">
        <v>1.9816118935837245E-2</v>
      </c>
      <c r="B39" s="114">
        <v>3.7942771431868014E-2</v>
      </c>
      <c r="C39" s="114">
        <f t="shared" si="0"/>
        <v>0.91474281895073339</v>
      </c>
      <c r="D39" s="114">
        <f>Overview!B49</f>
        <v>2.8077753779697626E-2</v>
      </c>
      <c r="E39" s="114">
        <f>Overview!E49</f>
        <v>3.6604889141557705E-2</v>
      </c>
      <c r="F39" s="114">
        <f t="shared" si="1"/>
        <v>0.30369720558009355</v>
      </c>
      <c r="G39" s="114"/>
      <c r="H39" s="114"/>
      <c r="I39" s="114"/>
      <c r="J39" s="114">
        <f>Overview!B44</f>
        <v>2.2657754616517502E-2</v>
      </c>
      <c r="K39" s="114">
        <f>Overview!G44</f>
        <v>2.0982137857828265E-2</v>
      </c>
      <c r="L39" s="114">
        <f t="shared" si="3"/>
        <v>7.3953345644749507E-2</v>
      </c>
      <c r="M39" s="114">
        <f>Overview!B44</f>
        <v>2.2657754616517502E-2</v>
      </c>
      <c r="N39" s="114">
        <f>Overview!H44</f>
        <v>3.1662780679049679E-2</v>
      </c>
      <c r="O39" s="114">
        <f t="shared" si="4"/>
        <v>0.39743682526985763</v>
      </c>
      <c r="P39" s="114">
        <f>Overview!B37</f>
        <v>1.9816118935837245E-2</v>
      </c>
      <c r="Q39" s="114">
        <f>Overview!D37</f>
        <v>2.2555555555555554E-2</v>
      </c>
      <c r="R39" s="114">
        <f t="shared" si="5"/>
        <v>0.13824284304047382</v>
      </c>
      <c r="S39" s="114">
        <f>Overview!C49</f>
        <v>3.9795338260375221E-2</v>
      </c>
      <c r="T39" s="114">
        <f>Overview!E49</f>
        <v>3.6604889141557705E-2</v>
      </c>
      <c r="U39" s="114">
        <f t="shared" si="21"/>
        <v>8.0171428571428713E-2</v>
      </c>
      <c r="V39" s="114"/>
      <c r="W39" s="114"/>
      <c r="X39" s="114"/>
      <c r="Y39" s="114">
        <f>Overview!C44</f>
        <v>4.0969131878222771E-2</v>
      </c>
      <c r="Z39" s="114">
        <f>Overview!G44</f>
        <v>2.0982137857828265E-2</v>
      </c>
      <c r="AA39" s="114">
        <f t="shared" si="7"/>
        <v>0.48785495577021576</v>
      </c>
      <c r="AB39" s="114">
        <f>Overview!C44</f>
        <v>4.0969131878222771E-2</v>
      </c>
      <c r="AC39" s="114">
        <f>Overview!H44</f>
        <v>3.1662780679049679E-2</v>
      </c>
      <c r="AD39" s="114">
        <f t="shared" si="8"/>
        <v>0.22715519642533366</v>
      </c>
      <c r="AE39" s="114">
        <f>Overview!C37</f>
        <v>3.7942771431868014E-2</v>
      </c>
      <c r="AF39" s="114">
        <f>Overview!D37</f>
        <v>2.2555555555555554E-2</v>
      </c>
      <c r="AG39" s="114">
        <f t="shared" si="9"/>
        <v>0.40553747909381194</v>
      </c>
      <c r="AH39" s="114"/>
      <c r="AI39" s="114"/>
      <c r="AJ39" s="114"/>
      <c r="AK39" s="114"/>
      <c r="AL39" s="124">
        <f>RSQ(AK5:AK37,AL5:AL37)</f>
        <v>2.5981488017478567E-3</v>
      </c>
      <c r="AM39" s="124">
        <f>AVERAGE(AM5:AM37)</f>
        <v>0.21277523699759593</v>
      </c>
      <c r="AN39" s="114"/>
      <c r="AO39" s="114"/>
      <c r="AP39" s="114"/>
      <c r="AQ39" s="114">
        <f>Overview!E49</f>
        <v>3.6604889141557705E-2</v>
      </c>
      <c r="AR39" s="114">
        <f>Overview!D49</f>
        <v>2.2200000000000001E-2</v>
      </c>
      <c r="AS39" s="114">
        <f t="shared" si="13"/>
        <v>0.3935236379449587</v>
      </c>
      <c r="AT39" s="114"/>
      <c r="AU39" s="114"/>
      <c r="AV39" s="114"/>
      <c r="AW39" s="114"/>
      <c r="AX39" s="114"/>
      <c r="AY39" s="114"/>
      <c r="AZ39" s="114"/>
      <c r="BA39" s="114"/>
      <c r="BB39" s="114"/>
      <c r="BC39" s="114">
        <f>Overview!G49</f>
        <v>1.9206750491913904E-2</v>
      </c>
      <c r="BD39" s="114">
        <f>Overview!H49</f>
        <v>3.1229503662361938E-2</v>
      </c>
      <c r="BE39" s="114">
        <f t="shared" si="17"/>
        <v>0.62596497911032101</v>
      </c>
      <c r="BF39" s="114">
        <f>Overview!G44</f>
        <v>2.0982137857828265E-2</v>
      </c>
      <c r="BG39" s="114">
        <f>Overview!D44</f>
        <v>2.3461538461538461E-2</v>
      </c>
      <c r="BH39" s="114">
        <f t="shared" si="18"/>
        <v>0.11816720586387491</v>
      </c>
      <c r="BI39" s="114">
        <f>Overview!H44</f>
        <v>3.1662780679049679E-2</v>
      </c>
      <c r="BJ39" s="114">
        <f>Overview!D44</f>
        <v>2.3461538461538461E-2</v>
      </c>
      <c r="BK39" s="114">
        <f t="shared" si="19"/>
        <v>0.2590183818863937</v>
      </c>
    </row>
    <row r="40" spans="1:63" x14ac:dyDescent="0.5">
      <c r="A40" s="114">
        <v>1.743908265647396E-2</v>
      </c>
      <c r="B40" s="114">
        <v>2.8071557155715562E-2</v>
      </c>
      <c r="C40" s="114">
        <f t="shared" si="0"/>
        <v>0.60969230484692261</v>
      </c>
      <c r="D40" s="114">
        <f>Overview!B50</f>
        <v>2.2077597957342241E-2</v>
      </c>
      <c r="E40" s="114">
        <f>Overview!E50</f>
        <v>3.3925471559651602E-2</v>
      </c>
      <c r="F40" s="114">
        <f t="shared" si="1"/>
        <v>0.53664685919190636</v>
      </c>
      <c r="G40" s="114"/>
      <c r="H40" s="114"/>
      <c r="I40" s="114"/>
      <c r="J40" s="114">
        <f>Overview!B45</f>
        <v>2.3912191297530382E-2</v>
      </c>
      <c r="K40" s="114">
        <f>Overview!G45</f>
        <v>1.6655375787836733E-2</v>
      </c>
      <c r="L40" s="114">
        <f t="shared" si="3"/>
        <v>0.3034776453316147</v>
      </c>
      <c r="M40" s="114">
        <f>Overview!B45</f>
        <v>2.3912191297530382E-2</v>
      </c>
      <c r="N40" s="114">
        <f>Overview!H45</f>
        <v>2.8615069399156777E-2</v>
      </c>
      <c r="O40" s="114">
        <f t="shared" si="4"/>
        <v>0.19667282028276942</v>
      </c>
      <c r="P40" s="114">
        <f>Overview!B38</f>
        <v>1.743908265647396E-2</v>
      </c>
      <c r="Q40" s="114">
        <f>Overview!D38</f>
        <v>1.8173076923076924E-2</v>
      </c>
      <c r="R40" s="114">
        <f t="shared" si="5"/>
        <v>4.2089041095890491E-2</v>
      </c>
      <c r="S40" s="114">
        <f>Overview!C50</f>
        <v>3.9020390811229357E-2</v>
      </c>
      <c r="T40" s="114">
        <f>Overview!E50</f>
        <v>3.3925471559651602E-2</v>
      </c>
      <c r="U40" s="114">
        <f t="shared" si="21"/>
        <v>0.1305706874189361</v>
      </c>
      <c r="V40" s="114"/>
      <c r="W40" s="114"/>
      <c r="X40" s="114"/>
      <c r="Y40" s="114">
        <f>Overview!C45</f>
        <v>3.8811771238200996E-2</v>
      </c>
      <c r="Z40" s="114">
        <f>Overview!G45</f>
        <v>1.6655375787836733E-2</v>
      </c>
      <c r="AA40" s="114">
        <f t="shared" si="7"/>
        <v>0.57086792855659574</v>
      </c>
      <c r="AB40" s="114">
        <f>Overview!C45</f>
        <v>3.8811771238200996E-2</v>
      </c>
      <c r="AC40" s="114">
        <f>Overview!H45</f>
        <v>2.8615069399156777E-2</v>
      </c>
      <c r="AD40" s="114">
        <f t="shared" si="8"/>
        <v>0.26272188858538825</v>
      </c>
      <c r="AE40" s="114">
        <f>Overview!C38</f>
        <v>2.8071557155715562E-2</v>
      </c>
      <c r="AF40" s="114">
        <f>Overview!D38</f>
        <v>1.8173076923076924E-2</v>
      </c>
      <c r="AG40" s="114">
        <f t="shared" si="9"/>
        <v>0.35261600123323544</v>
      </c>
      <c r="AH40" s="114"/>
      <c r="AI40" s="114"/>
      <c r="AJ40" s="114"/>
      <c r="AK40" s="114"/>
      <c r="AL40" s="114" t="s">
        <v>236</v>
      </c>
      <c r="AM40" s="114" t="s">
        <v>229</v>
      </c>
      <c r="AN40" s="114"/>
      <c r="AO40" s="114"/>
      <c r="AP40" s="114"/>
      <c r="AQ40" s="114">
        <f>Overview!E50</f>
        <v>3.3925471559651602E-2</v>
      </c>
      <c r="AR40" s="114">
        <f>Overview!D50</f>
        <v>2.4020618556701033E-2</v>
      </c>
      <c r="AS40" s="114">
        <f t="shared" si="13"/>
        <v>0.29195918428236833</v>
      </c>
      <c r="AT40" s="114"/>
      <c r="AU40" s="114"/>
      <c r="AV40" s="114"/>
      <c r="AW40" s="114"/>
      <c r="AX40" s="114"/>
      <c r="AY40" s="114"/>
      <c r="AZ40" s="114"/>
      <c r="BA40" s="114"/>
      <c r="BB40" s="114"/>
      <c r="BC40" s="114">
        <f>Overview!G52</f>
        <v>1.9923066893285987E-2</v>
      </c>
      <c r="BD40" s="114">
        <f>Overview!H52</f>
        <v>2.8673469387755102E-2</v>
      </c>
      <c r="BE40" s="114">
        <f t="shared" si="17"/>
        <v>0.43920961272373055</v>
      </c>
      <c r="BF40" s="114">
        <f>Overview!G45</f>
        <v>1.6655375787836733E-2</v>
      </c>
      <c r="BG40" s="114">
        <f>Overview!D45</f>
        <v>2.2099999999999998E-2</v>
      </c>
      <c r="BH40" s="114">
        <f t="shared" si="18"/>
        <v>0.3268989112896164</v>
      </c>
      <c r="BI40" s="114">
        <f>Overview!H45</f>
        <v>2.8615069399156777E-2</v>
      </c>
      <c r="BJ40" s="114">
        <f>Overview!D45</f>
        <v>2.2099999999999998E-2</v>
      </c>
      <c r="BK40" s="114">
        <f t="shared" si="19"/>
        <v>0.22767966445500787</v>
      </c>
    </row>
    <row r="41" spans="1:63" x14ac:dyDescent="0.5">
      <c r="A41" s="114">
        <v>2.6976272046694581E-2</v>
      </c>
      <c r="B41" s="114">
        <v>4.6377911388710544E-2</v>
      </c>
      <c r="C41" s="114">
        <f t="shared" si="0"/>
        <v>0.71921128717981098</v>
      </c>
      <c r="D41" s="114"/>
      <c r="E41" s="114"/>
      <c r="F41" s="114"/>
      <c r="G41" s="114"/>
      <c r="H41" s="114"/>
      <c r="I41" s="114"/>
      <c r="J41" s="114">
        <f>Overview!B46</f>
        <v>1.9107564347532878E-2</v>
      </c>
      <c r="K41" s="114">
        <f>Overview!G46</f>
        <v>1.3082963201166111E-2</v>
      </c>
      <c r="L41" s="114">
        <f t="shared" si="3"/>
        <v>0.31529927293661836</v>
      </c>
      <c r="M41" s="114">
        <f>Overview!B46</f>
        <v>1.9107564347532878E-2</v>
      </c>
      <c r="N41" s="114">
        <f>Overview!H46</f>
        <v>2.6515103919099139E-2</v>
      </c>
      <c r="O41" s="114">
        <f t="shared" si="4"/>
        <v>0.3876757621660295</v>
      </c>
      <c r="P41" s="114">
        <f>Overview!B39</f>
        <v>2.6976272046694581E-2</v>
      </c>
      <c r="Q41" s="114">
        <f>Overview!D39</f>
        <v>7.8378378378378376E-3</v>
      </c>
      <c r="R41" s="114">
        <f t="shared" si="5"/>
        <v>0.7094543744120414</v>
      </c>
      <c r="S41" s="114"/>
      <c r="T41" s="114"/>
      <c r="U41" s="114"/>
      <c r="V41" s="114"/>
      <c r="W41" s="114"/>
      <c r="X41" s="114"/>
      <c r="Y41" s="114">
        <f>Overview!C46</f>
        <v>3.4227939575987125E-2</v>
      </c>
      <c r="Z41" s="114">
        <f>Overview!G46</f>
        <v>1.3082963201166111E-2</v>
      </c>
      <c r="AA41" s="114">
        <f t="shared" si="7"/>
        <v>0.617769478290637</v>
      </c>
      <c r="AB41" s="114">
        <f>Overview!C46</f>
        <v>3.4227939575987125E-2</v>
      </c>
      <c r="AC41" s="114">
        <f>Overview!H46</f>
        <v>2.6515103919099139E-2</v>
      </c>
      <c r="AD41" s="114">
        <f t="shared" si="8"/>
        <v>0.22533742177980778</v>
      </c>
      <c r="AE41" s="114">
        <f>Overview!C39</f>
        <v>4.6377911388710544E-2</v>
      </c>
      <c r="AF41" s="114">
        <f>Overview!D39</f>
        <v>7.8378378378378376E-3</v>
      </c>
      <c r="AG41" s="114">
        <f t="shared" si="9"/>
        <v>0.83100062932662055</v>
      </c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  <c r="AX41" s="114"/>
      <c r="AY41" s="114"/>
      <c r="AZ41" s="114"/>
      <c r="BA41" s="114"/>
      <c r="BB41" s="114"/>
      <c r="BC41" s="114"/>
      <c r="BD41" s="114"/>
      <c r="BE41" s="114"/>
      <c r="BF41" s="114">
        <f>Overview!G46</f>
        <v>1.3082963201166111E-2</v>
      </c>
      <c r="BG41" s="114">
        <f>Overview!D46</f>
        <v>1.6451612903225808E-2</v>
      </c>
      <c r="BH41" s="114">
        <f t="shared" si="18"/>
        <v>0.25748369465408583</v>
      </c>
      <c r="BI41" s="114">
        <f>Overview!H46</f>
        <v>2.6515103919099139E-2</v>
      </c>
      <c r="BJ41" s="114">
        <f>Overview!D46</f>
        <v>1.6451612903225808E-2</v>
      </c>
      <c r="BK41" s="114">
        <f t="shared" si="19"/>
        <v>0.37953805674600738</v>
      </c>
    </row>
    <row r="42" spans="1:63" x14ac:dyDescent="0.5">
      <c r="A42" s="114">
        <v>1.8964467005076143E-2</v>
      </c>
      <c r="B42" s="114">
        <v>4.4195804195804191E-2</v>
      </c>
      <c r="C42" s="114">
        <f t="shared" si="0"/>
        <v>1.3304532726374265</v>
      </c>
      <c r="D42" s="114"/>
      <c r="E42" s="124">
        <f>RSQ(D5:D40,E5:E40)</f>
        <v>0.39468055174423317</v>
      </c>
      <c r="F42" s="124">
        <f>AVERAGE(F5:F40)</f>
        <v>0.32704048589447177</v>
      </c>
      <c r="G42" s="114"/>
      <c r="H42" s="114"/>
      <c r="I42" s="114"/>
      <c r="J42" s="114">
        <f>Overview!B47</f>
        <v>1.8508486818345972E-2</v>
      </c>
      <c r="K42" s="114">
        <f>Overview!G47</f>
        <v>1.8428636458143025E-2</v>
      </c>
      <c r="L42" s="114">
        <f t="shared" si="3"/>
        <v>4.3142565346723791E-3</v>
      </c>
      <c r="M42" s="114">
        <f>Overview!B47</f>
        <v>1.8508486818345972E-2</v>
      </c>
      <c r="N42" s="114">
        <f>Overview!H47</f>
        <v>2.3257575757575755E-2</v>
      </c>
      <c r="O42" s="114">
        <f t="shared" si="4"/>
        <v>0.25658980044345892</v>
      </c>
      <c r="P42" s="114">
        <f>Overview!B40</f>
        <v>1.8964467005076143E-2</v>
      </c>
      <c r="Q42" s="114">
        <f>Overview!D40</f>
        <v>3.4000000000000002E-3</v>
      </c>
      <c r="R42" s="114">
        <f t="shared" si="5"/>
        <v>0.82071734475374736</v>
      </c>
      <c r="S42" s="114"/>
      <c r="T42" s="124">
        <f>RSQ(S5:S40,T5:T40)</f>
        <v>0.85449603467422108</v>
      </c>
      <c r="U42" s="124">
        <f>AVERAGE(U5:U40)</f>
        <v>0.1560274990119804</v>
      </c>
      <c r="V42" s="114"/>
      <c r="W42" s="114"/>
      <c r="X42" s="114"/>
      <c r="Y42" s="114">
        <f>Overview!C47</f>
        <v>2.6367849257874824E-2</v>
      </c>
      <c r="Z42" s="114">
        <f>Overview!G47</f>
        <v>1.8428636458143025E-2</v>
      </c>
      <c r="AA42" s="114">
        <f t="shared" si="7"/>
        <v>0.30109443975074052</v>
      </c>
      <c r="AB42" s="114">
        <f>Overview!C47</f>
        <v>2.6367849257874824E-2</v>
      </c>
      <c r="AC42" s="114">
        <f>Overview!H47</f>
        <v>2.3257575757575755E-2</v>
      </c>
      <c r="AD42" s="114">
        <f t="shared" si="8"/>
        <v>0.11795704192180857</v>
      </c>
      <c r="AE42" s="114">
        <f>Overview!C40</f>
        <v>4.4195804195804191E-2</v>
      </c>
      <c r="AF42" s="114">
        <f>Overview!D40</f>
        <v>3.4000000000000002E-3</v>
      </c>
      <c r="AG42" s="114">
        <f t="shared" si="9"/>
        <v>0.92306962025316452</v>
      </c>
      <c r="AH42" s="114"/>
      <c r="AI42" s="114"/>
      <c r="AJ42" s="114"/>
      <c r="AK42" s="114"/>
      <c r="AL42" s="114"/>
      <c r="AM42" s="114"/>
      <c r="AN42" s="114"/>
      <c r="AO42" s="114"/>
      <c r="AP42" s="114"/>
      <c r="AQ42" s="114"/>
      <c r="AR42" s="124">
        <f>RSQ(AQ5:AQ40,AR5:AR40)</f>
        <v>1.3386944416902454E-3</v>
      </c>
      <c r="AS42" s="124">
        <f>AVERAGE(AS5:AS40)</f>
        <v>0.17057943811041143</v>
      </c>
      <c r="AT42" s="114"/>
      <c r="AU42" s="114"/>
      <c r="AV42" s="114"/>
      <c r="AW42" s="114"/>
      <c r="AX42" s="114"/>
      <c r="AY42" s="114"/>
      <c r="AZ42" s="114"/>
      <c r="BA42" s="114"/>
      <c r="BB42" s="114"/>
      <c r="BC42" s="114"/>
      <c r="BD42" s="124">
        <f>RSQ(BC5:BC40,BD5:BD40)</f>
        <v>1.5764267593410368E-2</v>
      </c>
      <c r="BE42" s="124">
        <f>AVERAGE(BE5:BE40)</f>
        <v>0.31479863620314535</v>
      </c>
      <c r="BF42" s="114">
        <f>Overview!G47</f>
        <v>1.8428636458143025E-2</v>
      </c>
      <c r="BG42" s="114">
        <f>Overview!D47</f>
        <v>2.0192307692307693E-2</v>
      </c>
      <c r="BH42" s="114">
        <f t="shared" si="18"/>
        <v>9.5702752516199224E-2</v>
      </c>
      <c r="BI42" s="114">
        <f>Overview!H47</f>
        <v>2.3257575757575755E-2</v>
      </c>
      <c r="BJ42" s="114">
        <f>Overview!D47</f>
        <v>2.0192307692307693E-2</v>
      </c>
      <c r="BK42" s="114">
        <f t="shared" si="19"/>
        <v>0.13179654221999484</v>
      </c>
    </row>
    <row r="43" spans="1:63" x14ac:dyDescent="0.5">
      <c r="A43" s="114">
        <v>1.7078213511287424E-2</v>
      </c>
      <c r="B43" s="114">
        <v>2.9719057935565032E-2</v>
      </c>
      <c r="C43" s="114">
        <f t="shared" si="0"/>
        <v>0.74017369650068809</v>
      </c>
      <c r="D43" s="114"/>
      <c r="E43" s="114" t="s">
        <v>236</v>
      </c>
      <c r="F43" s="114" t="s">
        <v>229</v>
      </c>
      <c r="G43" s="114"/>
      <c r="H43" s="114"/>
      <c r="I43" s="114"/>
      <c r="J43" s="114">
        <f>Overview!B49</f>
        <v>2.8077753779697626E-2</v>
      </c>
      <c r="K43" s="114">
        <f>Overview!G49</f>
        <v>1.9206750491913904E-2</v>
      </c>
      <c r="L43" s="114">
        <f t="shared" si="3"/>
        <v>0.31594419401875873</v>
      </c>
      <c r="M43" s="114">
        <f>Overview!B48</f>
        <v>2.2059439095856007E-2</v>
      </c>
      <c r="N43" s="114">
        <f>Overview!H48</f>
        <v>3.0912526997840167E-2</v>
      </c>
      <c r="O43" s="114">
        <f t="shared" si="4"/>
        <v>0.40132878553776391</v>
      </c>
      <c r="P43" s="114">
        <f>Overview!B41</f>
        <v>1.7078213511287424E-2</v>
      </c>
      <c r="Q43" s="114">
        <f>Overview!D41</f>
        <v>1.3414634146341465E-2</v>
      </c>
      <c r="R43" s="114">
        <f t="shared" si="5"/>
        <v>0.21451771653543308</v>
      </c>
      <c r="S43" s="114"/>
      <c r="T43" s="114" t="s">
        <v>236</v>
      </c>
      <c r="U43" s="114" t="s">
        <v>229</v>
      </c>
      <c r="V43" s="114"/>
      <c r="W43" s="114"/>
      <c r="X43" s="114"/>
      <c r="Y43" s="114">
        <f>Overview!C49</f>
        <v>3.9795338260375221E-2</v>
      </c>
      <c r="Z43" s="114">
        <f>Overview!G49</f>
        <v>1.9206750491913904E-2</v>
      </c>
      <c r="AA43" s="114">
        <f t="shared" si="7"/>
        <v>0.51736179835319218</v>
      </c>
      <c r="AB43" s="114">
        <f>Overview!C48</f>
        <v>6.2073246430788369E-2</v>
      </c>
      <c r="AC43" s="114">
        <f>Overview!H48</f>
        <v>3.0912526997840167E-2</v>
      </c>
      <c r="AD43" s="114">
        <f t="shared" si="8"/>
        <v>0.50199919006479521</v>
      </c>
      <c r="AE43" s="114">
        <f>Overview!C41</f>
        <v>2.9719057935565032E-2</v>
      </c>
      <c r="AF43" s="114">
        <f>Overview!D41</f>
        <v>1.3414634146341465E-2</v>
      </c>
      <c r="AG43" s="114">
        <f t="shared" si="9"/>
        <v>0.5486184597295708</v>
      </c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114" t="s">
        <v>236</v>
      </c>
      <c r="AS43" s="114" t="s">
        <v>229</v>
      </c>
      <c r="AT43" s="114"/>
      <c r="AU43" s="114"/>
      <c r="AV43" s="114"/>
      <c r="AW43" s="114"/>
      <c r="AX43" s="114"/>
      <c r="AY43" s="114"/>
      <c r="AZ43" s="114"/>
      <c r="BA43" s="114"/>
      <c r="BB43" s="114"/>
      <c r="BC43" s="114"/>
      <c r="BD43" s="114" t="s">
        <v>236</v>
      </c>
      <c r="BE43" s="114" t="s">
        <v>229</v>
      </c>
      <c r="BF43" s="114">
        <f>Overview!G49</f>
        <v>1.9206750491913904E-2</v>
      </c>
      <c r="BG43" s="114">
        <f>Overview!D49</f>
        <v>2.2200000000000001E-2</v>
      </c>
      <c r="BH43" s="114">
        <f t="shared" si="18"/>
        <v>0.15584361911434544</v>
      </c>
      <c r="BI43" s="114">
        <f>Overview!H48</f>
        <v>3.0912526997840167E-2</v>
      </c>
      <c r="BJ43" s="114">
        <f>Overview!D48</f>
        <v>1.4333333333333333E-2</v>
      </c>
      <c r="BK43" s="114">
        <f t="shared" si="19"/>
        <v>0.53632605531295474</v>
      </c>
    </row>
    <row r="44" spans="1:63" x14ac:dyDescent="0.5">
      <c r="A44" s="114">
        <v>5.1343260960175822E-2</v>
      </c>
      <c r="B44" s="114">
        <v>0.61896100943503474</v>
      </c>
      <c r="C44" s="114">
        <f t="shared" si="0"/>
        <v>11.055350553505535</v>
      </c>
      <c r="D44" s="114"/>
      <c r="E44" s="114"/>
      <c r="F44" s="114"/>
      <c r="G44" s="114"/>
      <c r="H44" s="114"/>
      <c r="I44" s="114"/>
      <c r="J44" s="114">
        <f>Overview!B50</f>
        <v>2.2077597957342241E-2</v>
      </c>
      <c r="K44" s="114">
        <f>Overview!G50</f>
        <v>2.3379662989747387E-2</v>
      </c>
      <c r="L44" s="114">
        <f t="shared" si="3"/>
        <v>5.8976752585175353E-2</v>
      </c>
      <c r="M44" s="114">
        <f>Overview!B49</f>
        <v>2.8077753779697626E-2</v>
      </c>
      <c r="N44" s="114">
        <f>Overview!H49</f>
        <v>3.1229503662361938E-2</v>
      </c>
      <c r="O44" s="114">
        <f t="shared" si="4"/>
        <v>0.1122507842825828</v>
      </c>
      <c r="P44" s="114">
        <f>Overview!B43</f>
        <v>2.2850469069351172E-2</v>
      </c>
      <c r="Q44" s="114">
        <f>Overview!D43</f>
        <v>2.662162162162162E-2</v>
      </c>
      <c r="R44" s="114">
        <f t="shared" si="5"/>
        <v>0.16503611111111111</v>
      </c>
      <c r="S44" s="114"/>
      <c r="T44" s="114"/>
      <c r="U44" s="114"/>
      <c r="V44" s="114"/>
      <c r="W44" s="114"/>
      <c r="X44" s="114"/>
      <c r="Y44" s="114">
        <f>Overview!C50</f>
        <v>3.9020390811229357E-2</v>
      </c>
      <c r="Z44" s="114">
        <f>Overview!G50</f>
        <v>2.3379662989747387E-2</v>
      </c>
      <c r="AA44" s="114">
        <f t="shared" si="7"/>
        <v>0.40083473015808069</v>
      </c>
      <c r="AB44" s="114">
        <f>Overview!C49</f>
        <v>3.9795338260375221E-2</v>
      </c>
      <c r="AC44" s="114">
        <f>Overview!H49</f>
        <v>3.1229503662361938E-2</v>
      </c>
      <c r="AD44" s="114">
        <f t="shared" si="8"/>
        <v>0.21524718654150515</v>
      </c>
      <c r="AE44" s="114">
        <f>Overview!C43</f>
        <v>4.4396581671645924E-2</v>
      </c>
      <c r="AF44" s="114">
        <f>Overview!D43</f>
        <v>2.662162162162162E-2</v>
      </c>
      <c r="AG44" s="114">
        <f t="shared" ref="AG44:AG53" si="22">ABS(AE44-AF44)/AE44</f>
        <v>0.40036776212832531</v>
      </c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  <c r="BF44" s="114">
        <f>Overview!G50</f>
        <v>2.3379662989747387E-2</v>
      </c>
      <c r="BG44" s="114">
        <f>Overview!D50</f>
        <v>2.4020618556701033E-2</v>
      </c>
      <c r="BH44" s="114">
        <f t="shared" si="18"/>
        <v>2.7415090082124886E-2</v>
      </c>
      <c r="BI44" s="114">
        <f>Overview!H49</f>
        <v>3.1229503662361938E-2</v>
      </c>
      <c r="BJ44" s="114">
        <f>Overview!D49</f>
        <v>2.2200000000000001E-2</v>
      </c>
      <c r="BK44" s="114">
        <f t="shared" si="19"/>
        <v>0.28913375505369854</v>
      </c>
    </row>
    <row r="45" spans="1:63" x14ac:dyDescent="0.5">
      <c r="A45" s="114">
        <v>2.2850469069351172E-2</v>
      </c>
      <c r="B45" s="114">
        <v>4.4396581671645924E-2</v>
      </c>
      <c r="C45" s="114">
        <f t="shared" si="0"/>
        <v>0.94291773778920251</v>
      </c>
      <c r="D45" s="114"/>
      <c r="E45" s="114"/>
      <c r="F45" s="114"/>
      <c r="G45" s="114"/>
      <c r="H45" s="114"/>
      <c r="I45" s="114"/>
      <c r="J45" s="114">
        <f>Overview!B52</f>
        <v>1.7717478052673583E-2</v>
      </c>
      <c r="K45" s="114">
        <f>Overview!G52</f>
        <v>1.9923066893285987E-2</v>
      </c>
      <c r="L45" s="114">
        <f t="shared" si="3"/>
        <v>0.12448661339132172</v>
      </c>
      <c r="M45" s="114">
        <f>Overview!B51</f>
        <v>2.6780615158684833E-2</v>
      </c>
      <c r="N45" s="114">
        <f>Overview!H51</f>
        <v>2.9805615550755941E-2</v>
      </c>
      <c r="O45" s="114">
        <f t="shared" si="4"/>
        <v>0.11295485089296442</v>
      </c>
      <c r="P45" s="114">
        <f>Overview!B44</f>
        <v>2.2657754616517502E-2</v>
      </c>
      <c r="Q45" s="114">
        <f>Overview!D44</f>
        <v>2.3461538461538461E-2</v>
      </c>
      <c r="R45" s="114">
        <f t="shared" si="5"/>
        <v>3.5475E-2</v>
      </c>
      <c r="S45" s="114"/>
      <c r="T45" s="114"/>
      <c r="U45" s="114"/>
      <c r="V45" s="114"/>
      <c r="W45" s="114"/>
      <c r="X45" s="114"/>
      <c r="Y45" s="114">
        <f>Overview!C52</f>
        <v>4.0692041522491333E-2</v>
      </c>
      <c r="Z45" s="114">
        <f>Overview!G52</f>
        <v>1.9923066893285987E-2</v>
      </c>
      <c r="AA45" s="114">
        <f t="shared" si="7"/>
        <v>0.51039401937417916</v>
      </c>
      <c r="AB45" s="114">
        <f>Overview!C51</f>
        <v>1.313676835498466E-2</v>
      </c>
      <c r="AC45" s="114">
        <f>Overview!H51</f>
        <v>2.9805615550755941E-2</v>
      </c>
      <c r="AD45" s="114">
        <f t="shared" si="8"/>
        <v>1.2688696904247685</v>
      </c>
      <c r="AE45" s="114">
        <f>Overview!C44</f>
        <v>4.0969131878222771E-2</v>
      </c>
      <c r="AF45" s="114">
        <f>Overview!D44</f>
        <v>2.3461538461538461E-2</v>
      </c>
      <c r="AG45" s="114">
        <f t="shared" si="22"/>
        <v>0.4273362068965515</v>
      </c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4"/>
      <c r="AZ45" s="114"/>
      <c r="BA45" s="114"/>
      <c r="BB45" s="114"/>
      <c r="BC45" s="114"/>
      <c r="BD45" s="114"/>
      <c r="BE45" s="114"/>
      <c r="BF45" s="114">
        <f>Overview!G52</f>
        <v>1.9923066893285987E-2</v>
      </c>
      <c r="BG45" s="114">
        <f>Overview!D52</f>
        <v>1.9E-2</v>
      </c>
      <c r="BH45" s="114">
        <f t="shared" si="18"/>
        <v>4.6331566230752241E-2</v>
      </c>
      <c r="BI45" s="114">
        <f>Overview!H51</f>
        <v>2.9805615550755941E-2</v>
      </c>
      <c r="BJ45" s="114">
        <f>Overview!D51</f>
        <v>1.4705882352941176E-3</v>
      </c>
      <c r="BK45" s="114">
        <f t="shared" si="19"/>
        <v>0.95066069906223349</v>
      </c>
    </row>
    <row r="46" spans="1:63" x14ac:dyDescent="0.5">
      <c r="A46" s="114">
        <v>2.2657754616517502E-2</v>
      </c>
      <c r="B46" s="114">
        <v>4.0969131878222771E-2</v>
      </c>
      <c r="C46" s="114">
        <f t="shared" si="0"/>
        <v>0.80817263544536211</v>
      </c>
      <c r="D46" s="114"/>
      <c r="E46" s="114"/>
      <c r="F46" s="114"/>
      <c r="G46" s="114"/>
      <c r="H46" s="114"/>
      <c r="I46" s="114"/>
      <c r="J46" s="114"/>
      <c r="K46" s="114"/>
      <c r="L46" s="114"/>
      <c r="M46" s="114">
        <f>Overview!B52</f>
        <v>1.7717478052673583E-2</v>
      </c>
      <c r="N46" s="114">
        <f>Overview!H52</f>
        <v>2.8673469387755102E-2</v>
      </c>
      <c r="O46" s="114">
        <f t="shared" si="4"/>
        <v>0.61837194337194346</v>
      </c>
      <c r="P46" s="114">
        <f>Overview!B45</f>
        <v>2.3912191297530382E-2</v>
      </c>
      <c r="Q46" s="114">
        <f>Overview!D45</f>
        <v>2.2099999999999998E-2</v>
      </c>
      <c r="R46" s="114">
        <f t="shared" si="5"/>
        <v>7.5785245901639472E-2</v>
      </c>
      <c r="S46" s="114"/>
      <c r="T46" s="114"/>
      <c r="U46" s="114"/>
      <c r="V46" s="114"/>
      <c r="W46" s="114"/>
      <c r="X46" s="114"/>
      <c r="Y46" s="114"/>
      <c r="Z46" s="114"/>
      <c r="AA46" s="114"/>
      <c r="AB46" s="114">
        <f>Overview!C52</f>
        <v>4.0692041522491333E-2</v>
      </c>
      <c r="AC46" s="114">
        <f>Overview!H52</f>
        <v>2.8673469387755102E-2</v>
      </c>
      <c r="AD46" s="114">
        <f t="shared" si="8"/>
        <v>0.29535436623629013</v>
      </c>
      <c r="AE46" s="114">
        <f>Overview!C45</f>
        <v>3.8811771238200996E-2</v>
      </c>
      <c r="AF46" s="114">
        <f>Overview!D45</f>
        <v>2.2099999999999998E-2</v>
      </c>
      <c r="AG46" s="114">
        <f t="shared" si="22"/>
        <v>0.43058512160228896</v>
      </c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  <c r="BB46" s="114"/>
      <c r="BC46" s="114"/>
      <c r="BD46" s="114"/>
      <c r="BE46" s="114"/>
      <c r="BF46" s="114"/>
      <c r="BG46" s="114"/>
      <c r="BH46" s="114"/>
      <c r="BI46" s="114">
        <f>Overview!H52</f>
        <v>2.8673469387755102E-2</v>
      </c>
      <c r="BJ46" s="114">
        <f>Overview!D52</f>
        <v>1.9E-2</v>
      </c>
      <c r="BK46" s="114">
        <f t="shared" si="19"/>
        <v>0.33736654804270466</v>
      </c>
    </row>
    <row r="47" spans="1:63" x14ac:dyDescent="0.5">
      <c r="A47" s="114">
        <v>2.3912191297530382E-2</v>
      </c>
      <c r="B47" s="114">
        <v>3.8811771238200996E-2</v>
      </c>
      <c r="C47" s="114">
        <f t="shared" si="0"/>
        <v>0.6230955480106678</v>
      </c>
      <c r="D47" s="114"/>
      <c r="E47" s="114"/>
      <c r="F47" s="114"/>
      <c r="G47" s="114"/>
      <c r="H47" s="114"/>
      <c r="I47" s="114"/>
      <c r="J47" s="114"/>
      <c r="K47" s="124">
        <f>RSQ(J5:J45,K5:K45)</f>
        <v>6.4477643859618142E-2</v>
      </c>
      <c r="L47" s="124">
        <f>AVERAGE(L5:L45)</f>
        <v>0.18352580992061573</v>
      </c>
      <c r="M47" s="114"/>
      <c r="N47" s="114"/>
      <c r="O47" s="114"/>
      <c r="P47" s="114">
        <f>Overview!B46</f>
        <v>1.9107564347532878E-2</v>
      </c>
      <c r="Q47" s="114">
        <f>Overview!D46</f>
        <v>1.6451612903225808E-2</v>
      </c>
      <c r="R47" s="114">
        <f t="shared" si="5"/>
        <v>0.13900000000000001</v>
      </c>
      <c r="S47" s="114"/>
      <c r="T47" s="114"/>
      <c r="U47" s="114"/>
      <c r="V47" s="114"/>
      <c r="W47" s="114"/>
      <c r="X47" s="114"/>
      <c r="Y47" s="114"/>
      <c r="Z47" s="124">
        <f>RSQ(Y5:Y45,Z5:Z45)</f>
        <v>7.0606248581140006E-3</v>
      </c>
      <c r="AA47" s="124">
        <f>AVERAGE(AA5:AA45)</f>
        <v>0.29516054166450578</v>
      </c>
      <c r="AB47" s="114"/>
      <c r="AC47" s="114"/>
      <c r="AD47" s="114"/>
      <c r="AE47" s="114">
        <f>Overview!C46</f>
        <v>3.4227939575987125E-2</v>
      </c>
      <c r="AF47" s="114">
        <f>Overview!D46</f>
        <v>1.6451612903225808E-2</v>
      </c>
      <c r="AG47" s="114">
        <f t="shared" si="22"/>
        <v>0.51935135135135146</v>
      </c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4"/>
      <c r="BB47" s="114"/>
      <c r="BC47" s="114"/>
      <c r="BD47" s="114"/>
      <c r="BE47" s="114"/>
      <c r="BF47" s="114"/>
      <c r="BG47" s="124">
        <f>RSQ(BF5:BF45,BG5:BG45)</f>
        <v>0.44782069230292804</v>
      </c>
      <c r="BH47" s="124">
        <f>AVERAGE(BH5:BH45)</f>
        <v>0.14738779645164904</v>
      </c>
      <c r="BI47" s="114"/>
      <c r="BJ47" s="114"/>
      <c r="BK47" s="114"/>
    </row>
    <row r="48" spans="1:63" x14ac:dyDescent="0.5">
      <c r="A48" s="114">
        <v>1.9107564347532878E-2</v>
      </c>
      <c r="B48" s="114">
        <v>3.4227939575987125E-2</v>
      </c>
      <c r="C48" s="114">
        <f t="shared" si="0"/>
        <v>0.79132928475033781</v>
      </c>
      <c r="D48" s="114"/>
      <c r="E48" s="114"/>
      <c r="F48" s="114"/>
      <c r="G48" s="114"/>
      <c r="H48" s="114"/>
      <c r="I48" s="114"/>
      <c r="J48" s="114"/>
      <c r="K48" s="114" t="s">
        <v>236</v>
      </c>
      <c r="L48" s="114" t="s">
        <v>229</v>
      </c>
      <c r="M48" s="114"/>
      <c r="N48" s="124">
        <f>RSQ(M5:M46,N5:N46)</f>
        <v>0.51384860966671198</v>
      </c>
      <c r="O48" s="124">
        <f>AVERAGE(O5:O46)</f>
        <v>0.29702566918511114</v>
      </c>
      <c r="P48" s="114">
        <f>Overview!B47</f>
        <v>1.8508486818345972E-2</v>
      </c>
      <c r="Q48" s="114">
        <f>Overview!D47</f>
        <v>2.0192307692307693E-2</v>
      </c>
      <c r="R48" s="114">
        <f t="shared" si="5"/>
        <v>9.0975609756097697E-2</v>
      </c>
      <c r="S48" s="114"/>
      <c r="T48" s="114"/>
      <c r="U48" s="114"/>
      <c r="V48" s="114"/>
      <c r="W48" s="114"/>
      <c r="X48" s="114"/>
      <c r="Y48" s="114"/>
      <c r="Z48" s="114" t="s">
        <v>236</v>
      </c>
      <c r="AA48" s="114" t="s">
        <v>229</v>
      </c>
      <c r="AB48" s="114"/>
      <c r="AC48" s="124">
        <f>RSQ(AB5:AB46,AC5:AC46)</f>
        <v>0.66660347679103571</v>
      </c>
      <c r="AD48" s="124">
        <f>AVERAGE(AD5:AD46)</f>
        <v>0.21051209850050634</v>
      </c>
      <c r="AE48" s="114">
        <f>Overview!C47</f>
        <v>2.6367849257874824E-2</v>
      </c>
      <c r="AF48" s="114">
        <f>Overview!D47</f>
        <v>2.0192307692307693E-2</v>
      </c>
      <c r="AG48" s="114">
        <f t="shared" si="22"/>
        <v>0.23420725388601007</v>
      </c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 t="s">
        <v>236</v>
      </c>
      <c r="BH48" s="114" t="s">
        <v>229</v>
      </c>
      <c r="BI48" s="114"/>
      <c r="BJ48" s="124">
        <f>RSQ(BI5:BI46,BJ5:BJ46)</f>
        <v>5.8958088630726871E-4</v>
      </c>
      <c r="BK48" s="124">
        <f>AVERAGE(BK5:BK46)</f>
        <v>0.23012778721880359</v>
      </c>
    </row>
    <row r="49" spans="1:63" x14ac:dyDescent="0.5">
      <c r="A49" s="114">
        <v>1.8508486818345972E-2</v>
      </c>
      <c r="B49" s="114">
        <v>2.6367849257874824E-2</v>
      </c>
      <c r="C49" s="114">
        <f t="shared" si="0"/>
        <v>0.42463560185473942</v>
      </c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 t="s">
        <v>236</v>
      </c>
      <c r="O49" s="114" t="s">
        <v>229</v>
      </c>
      <c r="P49" s="114">
        <f>Overview!B48</f>
        <v>2.2059439095856007E-2</v>
      </c>
      <c r="Q49" s="114">
        <f>Overview!D48</f>
        <v>1.4333333333333333E-2</v>
      </c>
      <c r="R49" s="114">
        <f t="shared" si="5"/>
        <v>0.35024035420619865</v>
      </c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 t="s">
        <v>236</v>
      </c>
      <c r="AD49" s="114" t="s">
        <v>229</v>
      </c>
      <c r="AE49" s="114">
        <f>Overview!C48</f>
        <v>6.2073246430788369E-2</v>
      </c>
      <c r="AF49" s="114">
        <f>Overview!D48</f>
        <v>1.4333333333333333E-2</v>
      </c>
      <c r="AG49" s="114">
        <f t="shared" si="22"/>
        <v>0.76909000000000016</v>
      </c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  <c r="AR49" s="114"/>
      <c r="AS49" s="114"/>
      <c r="AT49" s="114"/>
      <c r="AU49" s="114"/>
      <c r="AV49" s="114"/>
      <c r="AW49" s="114"/>
      <c r="AX49" s="114"/>
      <c r="AY49" s="114"/>
      <c r="AZ49" s="114"/>
      <c r="BA49" s="114"/>
      <c r="BB49" s="114"/>
      <c r="BC49" s="114"/>
      <c r="BD49" s="114"/>
      <c r="BE49" s="114"/>
      <c r="BF49" s="114"/>
      <c r="BG49" s="114"/>
      <c r="BH49" s="114"/>
      <c r="BI49" s="114"/>
      <c r="BJ49" s="114" t="s">
        <v>236</v>
      </c>
      <c r="BK49" s="114" t="s">
        <v>229</v>
      </c>
    </row>
    <row r="50" spans="1:63" x14ac:dyDescent="0.5">
      <c r="A50" s="114">
        <v>2.2059439095856007E-2</v>
      </c>
      <c r="B50" s="114">
        <v>6.2073246430788369E-2</v>
      </c>
      <c r="C50" s="114">
        <f t="shared" si="0"/>
        <v>1.8139086474981669</v>
      </c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>
        <f>Overview!B49</f>
        <v>2.8077753779697626E-2</v>
      </c>
      <c r="Q50" s="114">
        <f>Overview!D49</f>
        <v>2.2200000000000001E-2</v>
      </c>
      <c r="R50" s="114">
        <f t="shared" si="5"/>
        <v>0.20933846153846156</v>
      </c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>
        <f>Overview!C49</f>
        <v>3.9795338260375221E-2</v>
      </c>
      <c r="AF50" s="114">
        <f>Overview!D49</f>
        <v>2.2200000000000001E-2</v>
      </c>
      <c r="AG50" s="114">
        <f t="shared" si="22"/>
        <v>0.44214571428571436</v>
      </c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  <c r="AT50" s="114"/>
      <c r="AU50" s="114"/>
      <c r="AV50" s="114"/>
      <c r="AW50" s="114"/>
      <c r="AX50" s="114"/>
      <c r="AY50" s="114"/>
      <c r="AZ50" s="114"/>
      <c r="BA50" s="114"/>
      <c r="BB50" s="114"/>
      <c r="BC50" s="114"/>
      <c r="BD50" s="114"/>
      <c r="BE50" s="114"/>
      <c r="BF50" s="114"/>
      <c r="BG50" s="114"/>
      <c r="BH50" s="114"/>
      <c r="BI50" s="114"/>
      <c r="BJ50" s="114"/>
      <c r="BK50" s="114"/>
    </row>
    <row r="51" spans="1:63" x14ac:dyDescent="0.5">
      <c r="A51" s="114">
        <v>2.8077753779697626E-2</v>
      </c>
      <c r="B51" s="114">
        <v>3.9795338260375221E-2</v>
      </c>
      <c r="C51" s="114">
        <f t="shared" si="0"/>
        <v>0.41732627804259431</v>
      </c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>
        <f>Overview!B50</f>
        <v>2.2077597957342241E-2</v>
      </c>
      <c r="Q51" s="114">
        <f>Overview!D50</f>
        <v>2.4020618556701033E-2</v>
      </c>
      <c r="R51" s="114">
        <f t="shared" si="5"/>
        <v>8.8008695652174007E-2</v>
      </c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>
        <f>Overview!C50</f>
        <v>3.9020390811229357E-2</v>
      </c>
      <c r="AF51" s="114">
        <f>Overview!D50</f>
        <v>2.4020618556701033E-2</v>
      </c>
      <c r="AG51" s="114">
        <f t="shared" si="22"/>
        <v>0.38440856031128379</v>
      </c>
      <c r="AH51" s="114"/>
      <c r="AI51" s="114"/>
      <c r="AJ51" s="114"/>
      <c r="AK51" s="114"/>
      <c r="AL51" s="114"/>
      <c r="AM51" s="114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/>
      <c r="BH51" s="114"/>
      <c r="BI51" s="114"/>
      <c r="BJ51" s="114"/>
      <c r="BK51" s="114"/>
    </row>
    <row r="52" spans="1:63" x14ac:dyDescent="0.5">
      <c r="A52" s="114">
        <v>2.2077597957342241E-2</v>
      </c>
      <c r="B52" s="114">
        <v>3.9020390811229357E-2</v>
      </c>
      <c r="C52" s="114">
        <f t="shared" si="0"/>
        <v>0.76742011910097907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>
        <f>Overview!B51</f>
        <v>2.6780615158684833E-2</v>
      </c>
      <c r="Q52" s="114">
        <f>Overview!D51</f>
        <v>1.4705882352941176E-3</v>
      </c>
      <c r="R52" s="114">
        <f t="shared" si="5"/>
        <v>0.94508758568164519</v>
      </c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>
        <f>Overview!C51</f>
        <v>1.313676835498466E-2</v>
      </c>
      <c r="AF52" s="114">
        <f>Overview!D51</f>
        <v>1.4705882352941176E-3</v>
      </c>
      <c r="AG52" s="114">
        <f t="shared" si="22"/>
        <v>0.88805555555555549</v>
      </c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</row>
    <row r="53" spans="1:63" x14ac:dyDescent="0.5">
      <c r="A53" s="114">
        <v>2.6780615158684833E-2</v>
      </c>
      <c r="B53" s="114">
        <v>1.313676835498466E-2</v>
      </c>
      <c r="C53" s="114">
        <f t="shared" si="0"/>
        <v>0.50946726663504349</v>
      </c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>
        <f>Overview!B52</f>
        <v>1.7717478052673583E-2</v>
      </c>
      <c r="Q53" s="114">
        <f>Overview!D52</f>
        <v>1.9E-2</v>
      </c>
      <c r="R53" s="114">
        <f t="shared" si="5"/>
        <v>7.2387387387387411E-2</v>
      </c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>
        <f>Overview!C52</f>
        <v>4.0692041522491333E-2</v>
      </c>
      <c r="AF53" s="114">
        <f>Overview!D52</f>
        <v>1.9E-2</v>
      </c>
      <c r="AG53" s="114">
        <f t="shared" si="22"/>
        <v>0.53307823129251686</v>
      </c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14"/>
      <c r="BB53" s="114"/>
      <c r="BC53" s="114"/>
      <c r="BD53" s="114"/>
      <c r="BE53" s="114"/>
      <c r="BF53" s="114"/>
      <c r="BG53" s="114"/>
      <c r="BH53" s="114"/>
      <c r="BI53" s="114"/>
      <c r="BJ53" s="114"/>
      <c r="BK53" s="114"/>
    </row>
    <row r="54" spans="1:63" x14ac:dyDescent="0.5">
      <c r="A54" s="114">
        <v>1.7717478052673583E-2</v>
      </c>
      <c r="B54" s="114">
        <v>4.0692041522491333E-2</v>
      </c>
      <c r="C54" s="114">
        <f t="shared" si="0"/>
        <v>1.2967174787243982</v>
      </c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114"/>
      <c r="BA54" s="114"/>
      <c r="BB54" s="114"/>
      <c r="BC54" s="114"/>
      <c r="BD54" s="114"/>
      <c r="BE54" s="114"/>
      <c r="BF54" s="114"/>
      <c r="BG54" s="114"/>
      <c r="BH54" s="114"/>
      <c r="BI54" s="114"/>
      <c r="BJ54" s="114"/>
      <c r="BK54" s="114"/>
    </row>
    <row r="55" spans="1:63" x14ac:dyDescent="0.5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24">
        <f>RSQ(P5:P53,Q5:Q53)</f>
        <v>3.5890341221742044E-3</v>
      </c>
      <c r="R55" s="124">
        <f>AVERAGE(R5:R53)</f>
        <v>0.24238557258841725</v>
      </c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24">
        <f>RSQ(AE5:AE53,AF5:AF53)</f>
        <v>4.2729780731921201E-3</v>
      </c>
      <c r="AG55" s="124">
        <f>AVERAGE(AG5:AG53)</f>
        <v>0.3336683998739729</v>
      </c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B55" s="114"/>
      <c r="BC55" s="114"/>
      <c r="BD55" s="114"/>
      <c r="BE55" s="114"/>
      <c r="BF55" s="114"/>
      <c r="BG55" s="114"/>
      <c r="BH55" s="114"/>
      <c r="BI55" s="114"/>
      <c r="BJ55" s="114"/>
      <c r="BK55" s="114"/>
    </row>
    <row r="56" spans="1:63" x14ac:dyDescent="0.5">
      <c r="A56" s="114"/>
      <c r="B56" s="124">
        <f>RSQ(A5:A54,B5:B54)</f>
        <v>0.64803684380917925</v>
      </c>
      <c r="C56" s="124">
        <f>AVERAGE(C5:C54)</f>
        <v>0.83572315985713541</v>
      </c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 t="s">
        <v>236</v>
      </c>
      <c r="R56" s="114" t="s">
        <v>229</v>
      </c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 t="s">
        <v>236</v>
      </c>
      <c r="AG56" s="114" t="s">
        <v>229</v>
      </c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</row>
    <row r="57" spans="1:63" x14ac:dyDescent="0.5">
      <c r="A57" s="114"/>
      <c r="B57" s="114" t="s">
        <v>236</v>
      </c>
      <c r="C57" s="114" t="s">
        <v>229</v>
      </c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4"/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  <c r="BB57" s="114"/>
      <c r="BC57" s="114"/>
      <c r="BD57" s="114"/>
      <c r="BE57" s="114"/>
      <c r="BF57" s="114"/>
      <c r="BG57" s="114"/>
      <c r="BH57" s="114"/>
      <c r="BI57" s="114"/>
      <c r="BJ57" s="114"/>
      <c r="BK57" s="114"/>
    </row>
    <row r="58" spans="1:63" x14ac:dyDescent="0.5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  <c r="AX58" s="114"/>
      <c r="AY58" s="114"/>
      <c r="AZ58" s="114"/>
      <c r="BA58" s="114"/>
      <c r="BB58" s="114"/>
      <c r="BC58" s="114"/>
      <c r="BD58" s="114"/>
      <c r="BE58" s="114"/>
      <c r="BF58" s="114"/>
      <c r="BG58" s="114"/>
      <c r="BH58" s="114"/>
      <c r="BI58" s="114"/>
      <c r="BJ58" s="114"/>
      <c r="BK58" s="114"/>
    </row>
    <row r="59" spans="1:63" x14ac:dyDescent="0.5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4"/>
      <c r="BC59" s="114"/>
      <c r="BD59" s="114"/>
      <c r="BE59" s="114"/>
      <c r="BF59" s="114"/>
      <c r="BG59" s="114"/>
      <c r="BH59" s="114"/>
      <c r="BI59" s="114"/>
      <c r="BJ59" s="114"/>
      <c r="BK59" s="114"/>
    </row>
    <row r="60" spans="1:63" x14ac:dyDescent="0.5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4"/>
      <c r="BJ60" s="114"/>
      <c r="BK60" s="114"/>
    </row>
    <row r="61" spans="1:63" x14ac:dyDescent="0.5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  <c r="BB61" s="114"/>
      <c r="BC61" s="114"/>
      <c r="BD61" s="114"/>
      <c r="BE61" s="114"/>
      <c r="BF61" s="114"/>
      <c r="BG61" s="114"/>
      <c r="BH61" s="114"/>
      <c r="BI61" s="114"/>
      <c r="BJ61" s="114"/>
      <c r="BK61" s="114"/>
    </row>
    <row r="62" spans="1:63" x14ac:dyDescent="0.5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4"/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  <c r="AX62" s="114"/>
      <c r="AY62" s="114"/>
      <c r="AZ62" s="114"/>
      <c r="BA62" s="114"/>
      <c r="BB62" s="114"/>
      <c r="BC62" s="114"/>
      <c r="BD62" s="114"/>
      <c r="BE62" s="114"/>
      <c r="BF62" s="114"/>
      <c r="BG62" s="114"/>
      <c r="BH62" s="114"/>
      <c r="BI62" s="114"/>
      <c r="BJ62" s="114"/>
      <c r="BK62" s="114"/>
    </row>
    <row r="63" spans="1:63" x14ac:dyDescent="0.5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  <c r="BA63" s="114"/>
      <c r="BB63" s="114"/>
      <c r="BC63" s="114"/>
      <c r="BD63" s="114"/>
      <c r="BE63" s="114"/>
      <c r="BF63" s="114"/>
      <c r="BG63" s="114"/>
      <c r="BH63" s="114"/>
      <c r="BI63" s="114"/>
      <c r="BJ63" s="114"/>
      <c r="BK63" s="114"/>
    </row>
    <row r="64" spans="1:63" x14ac:dyDescent="0.5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4"/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/>
      <c r="AX64" s="114"/>
      <c r="AY64" s="114"/>
      <c r="AZ64" s="114"/>
      <c r="BA64" s="114"/>
      <c r="BB64" s="114"/>
      <c r="BC64" s="114"/>
      <c r="BD64" s="114"/>
      <c r="BE64" s="114"/>
      <c r="BF64" s="114"/>
      <c r="BG64" s="114"/>
      <c r="BH64" s="114"/>
      <c r="BI64" s="114"/>
      <c r="BJ64" s="114"/>
      <c r="BK64" s="114"/>
    </row>
    <row r="65" spans="1:63" x14ac:dyDescent="0.5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4"/>
      <c r="AH65" s="114"/>
      <c r="AI65" s="114"/>
      <c r="AJ65" s="114"/>
      <c r="AK65" s="114"/>
      <c r="AL65" s="114"/>
      <c r="AM65" s="114"/>
      <c r="AN65" s="114"/>
      <c r="AO65" s="114"/>
      <c r="AP65" s="114"/>
      <c r="AQ65" s="114"/>
      <c r="AR65" s="114"/>
      <c r="AS65" s="114"/>
      <c r="AT65" s="114"/>
      <c r="AU65" s="114"/>
      <c r="AV65" s="114"/>
      <c r="AW65" s="114"/>
      <c r="AX65" s="114"/>
      <c r="AY65" s="114"/>
      <c r="AZ65" s="114"/>
      <c r="BA65" s="114"/>
      <c r="BB65" s="114"/>
      <c r="BC65" s="114"/>
      <c r="BD65" s="114"/>
      <c r="BE65" s="114"/>
      <c r="BF65" s="114"/>
      <c r="BG65" s="114"/>
      <c r="BH65" s="114"/>
      <c r="BI65" s="114"/>
      <c r="BJ65" s="114"/>
      <c r="BK65" s="114"/>
    </row>
    <row r="66" spans="1:63" x14ac:dyDescent="0.5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  <c r="BA66" s="114"/>
      <c r="BB66" s="114"/>
      <c r="BC66" s="114"/>
      <c r="BD66" s="114"/>
      <c r="BE66" s="114"/>
      <c r="BF66" s="114"/>
      <c r="BG66" s="114"/>
      <c r="BH66" s="114"/>
      <c r="BI66" s="114"/>
      <c r="BJ66" s="114"/>
      <c r="BK66" s="114"/>
    </row>
    <row r="67" spans="1:63" x14ac:dyDescent="0.5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  <c r="BI67" s="114"/>
      <c r="BJ67" s="114"/>
      <c r="BK67" s="114"/>
    </row>
    <row r="68" spans="1:63" x14ac:dyDescent="0.5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4"/>
      <c r="AH68" s="114"/>
      <c r="AI68" s="114"/>
      <c r="AJ68" s="114"/>
      <c r="AK68" s="114"/>
      <c r="AL68" s="11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  <c r="AX68" s="114"/>
      <c r="AY68" s="114"/>
      <c r="AZ68" s="114"/>
      <c r="BA68" s="114"/>
      <c r="BB68" s="114"/>
      <c r="BC68" s="114"/>
      <c r="BD68" s="114"/>
      <c r="BE68" s="114"/>
      <c r="BF68" s="114"/>
      <c r="BG68" s="114"/>
      <c r="BH68" s="114"/>
      <c r="BI68" s="114"/>
      <c r="BJ68" s="114"/>
      <c r="BK68" s="114"/>
    </row>
    <row r="69" spans="1:63" x14ac:dyDescent="0.5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  <c r="AA69" s="114"/>
      <c r="AB69" s="114"/>
      <c r="AC69" s="114"/>
      <c r="AD69" s="114"/>
      <c r="AE69" s="114"/>
      <c r="AF69" s="114"/>
      <c r="AG69" s="114"/>
      <c r="AH69" s="114"/>
      <c r="AI69" s="114"/>
      <c r="AJ69" s="114"/>
      <c r="AK69" s="114"/>
      <c r="AL69" s="114"/>
      <c r="AM69" s="114"/>
      <c r="AN69" s="114"/>
      <c r="AO69" s="114"/>
      <c r="AP69" s="114"/>
      <c r="AQ69" s="114"/>
      <c r="AR69" s="114"/>
      <c r="AS69" s="114"/>
      <c r="AT69" s="114"/>
      <c r="AU69" s="114"/>
      <c r="AV69" s="114"/>
      <c r="AW69" s="114"/>
      <c r="AX69" s="114"/>
      <c r="AY69" s="114"/>
      <c r="AZ69" s="114"/>
      <c r="BA69" s="114"/>
      <c r="BB69" s="114"/>
      <c r="BC69" s="114"/>
      <c r="BD69" s="114"/>
      <c r="BE69" s="114"/>
      <c r="BF69" s="114"/>
      <c r="BG69" s="114"/>
      <c r="BH69" s="114"/>
      <c r="BI69" s="114"/>
      <c r="BJ69" s="114"/>
      <c r="BK69" s="114"/>
    </row>
    <row r="70" spans="1:63" x14ac:dyDescent="0.5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  <c r="BA70" s="114"/>
      <c r="BB70" s="114"/>
      <c r="BC70" s="114"/>
      <c r="BD70" s="114"/>
      <c r="BE70" s="114"/>
      <c r="BF70" s="114"/>
      <c r="BG70" s="114"/>
      <c r="BH70" s="114"/>
      <c r="BI70" s="114"/>
      <c r="BJ70" s="114"/>
      <c r="BK70" s="114"/>
    </row>
    <row r="71" spans="1:63" x14ac:dyDescent="0.5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  <c r="BB71" s="114"/>
      <c r="BC71" s="114"/>
      <c r="BD71" s="114"/>
      <c r="BE71" s="114"/>
      <c r="BF71" s="114"/>
      <c r="BG71" s="114"/>
      <c r="BH71" s="114"/>
      <c r="BI71" s="114"/>
      <c r="BJ71" s="114"/>
      <c r="BK71" s="114"/>
    </row>
    <row r="72" spans="1:63" x14ac:dyDescent="0.5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114"/>
      <c r="AC72" s="114"/>
      <c r="AD72" s="114"/>
      <c r="AE72" s="114"/>
      <c r="AF72" s="114"/>
      <c r="AG72" s="114"/>
      <c r="AH72" s="114"/>
      <c r="AI72" s="114"/>
      <c r="AJ72" s="114"/>
      <c r="AK72" s="114"/>
      <c r="AL72" s="114"/>
      <c r="AM72" s="114"/>
      <c r="AN72" s="114"/>
      <c r="AO72" s="114"/>
      <c r="AP72" s="114"/>
      <c r="AQ72" s="114"/>
      <c r="AR72" s="114"/>
      <c r="AS72" s="114"/>
      <c r="AT72" s="114"/>
      <c r="AU72" s="114"/>
      <c r="AV72" s="114"/>
      <c r="AW72" s="114"/>
      <c r="AX72" s="114"/>
      <c r="AY72" s="114"/>
      <c r="AZ72" s="114"/>
      <c r="BA72" s="114"/>
      <c r="BB72" s="114"/>
      <c r="BC72" s="114"/>
      <c r="BD72" s="114"/>
      <c r="BE72" s="114"/>
      <c r="BF72" s="114"/>
      <c r="BG72" s="114"/>
      <c r="BH72" s="114"/>
      <c r="BI72" s="114"/>
      <c r="BJ72" s="114"/>
      <c r="BK72" s="114"/>
    </row>
    <row r="73" spans="1:63" x14ac:dyDescent="0.5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4"/>
      <c r="AJ73" s="114"/>
      <c r="AK73" s="114"/>
      <c r="AL73" s="11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  <c r="BH73" s="114"/>
      <c r="BI73" s="114"/>
      <c r="BJ73" s="114"/>
      <c r="BK73" s="114"/>
    </row>
    <row r="74" spans="1:63" x14ac:dyDescent="0.5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4"/>
      <c r="AH74" s="114"/>
      <c r="AI74" s="114"/>
      <c r="AJ74" s="114"/>
      <c r="AK74" s="114"/>
      <c r="AL74" s="114"/>
      <c r="AM74" s="114"/>
      <c r="AN74" s="114"/>
      <c r="AO74" s="114"/>
      <c r="AP74" s="114"/>
      <c r="AQ74" s="114"/>
      <c r="AR74" s="114"/>
      <c r="AS74" s="114"/>
      <c r="AT74" s="114"/>
      <c r="AU74" s="114"/>
      <c r="AV74" s="114"/>
      <c r="AW74" s="114"/>
      <c r="AX74" s="114"/>
      <c r="AY74" s="114"/>
      <c r="AZ74" s="114"/>
      <c r="BA74" s="114"/>
      <c r="BB74" s="114"/>
      <c r="BC74" s="114"/>
      <c r="BD74" s="114"/>
      <c r="BE74" s="114"/>
      <c r="BF74" s="114"/>
      <c r="BG74" s="114"/>
      <c r="BH74" s="114"/>
      <c r="BI74" s="114"/>
      <c r="BJ74" s="114"/>
      <c r="BK74" s="114"/>
    </row>
    <row r="75" spans="1:63" x14ac:dyDescent="0.5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14"/>
      <c r="AD75" s="114"/>
      <c r="AE75" s="114"/>
      <c r="AF75" s="114"/>
      <c r="AG75" s="114"/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4"/>
      <c r="BB75" s="114"/>
      <c r="BC75" s="114"/>
      <c r="BD75" s="114"/>
      <c r="BE75" s="114"/>
      <c r="BF75" s="114"/>
      <c r="BG75" s="114"/>
      <c r="BH75" s="114"/>
      <c r="BI75" s="114"/>
      <c r="BJ75" s="114"/>
      <c r="BK75" s="114"/>
    </row>
    <row r="76" spans="1:63" x14ac:dyDescent="0.5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4"/>
      <c r="Z76" s="114"/>
      <c r="AA76" s="114"/>
      <c r="AB76" s="114"/>
      <c r="AC76" s="114"/>
      <c r="AD76" s="114"/>
      <c r="AE76" s="114"/>
      <c r="AF76" s="114"/>
      <c r="AG76" s="114"/>
      <c r="AH76" s="114"/>
      <c r="AI76" s="114"/>
      <c r="AJ76" s="114"/>
      <c r="AK76" s="114"/>
      <c r="AL76" s="114"/>
      <c r="AM76" s="114"/>
      <c r="AN76" s="114"/>
      <c r="AO76" s="114"/>
      <c r="AP76" s="114"/>
      <c r="AQ76" s="114"/>
      <c r="AR76" s="114"/>
      <c r="AS76" s="114"/>
      <c r="AT76" s="114"/>
      <c r="AU76" s="114"/>
      <c r="AV76" s="114"/>
      <c r="AW76" s="114"/>
      <c r="AX76" s="114"/>
      <c r="AY76" s="114"/>
      <c r="AZ76" s="114"/>
      <c r="BA76" s="114"/>
      <c r="BB76" s="114"/>
      <c r="BC76" s="114"/>
      <c r="BD76" s="114"/>
      <c r="BE76" s="114"/>
      <c r="BF76" s="114"/>
      <c r="BG76" s="114"/>
      <c r="BH76" s="114"/>
      <c r="BI76" s="114"/>
      <c r="BJ76" s="114"/>
      <c r="BK76" s="114"/>
    </row>
    <row r="77" spans="1:63" x14ac:dyDescent="0.5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14"/>
      <c r="AF77" s="114"/>
      <c r="AG77" s="114"/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AS77" s="114"/>
      <c r="AT77" s="114"/>
      <c r="AU77" s="114"/>
      <c r="AV77" s="114"/>
      <c r="AW77" s="114"/>
      <c r="AX77" s="114"/>
      <c r="AY77" s="114"/>
      <c r="AZ77" s="114"/>
      <c r="BA77" s="114"/>
      <c r="BB77" s="114"/>
      <c r="BC77" s="114"/>
      <c r="BD77" s="114"/>
      <c r="BE77" s="114"/>
      <c r="BF77" s="114"/>
      <c r="BG77" s="114"/>
      <c r="BH77" s="114"/>
      <c r="BI77" s="114"/>
      <c r="BJ77" s="114"/>
      <c r="BK77" s="114"/>
    </row>
    <row r="78" spans="1:63" x14ac:dyDescent="0.5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4"/>
      <c r="Z78" s="114"/>
      <c r="AA78" s="114"/>
      <c r="AB78" s="114"/>
      <c r="AC78" s="114"/>
      <c r="AD78" s="114"/>
      <c r="AE78" s="114"/>
      <c r="AF78" s="114"/>
      <c r="AG78" s="114"/>
      <c r="AH78" s="114"/>
      <c r="AI78" s="114"/>
      <c r="AJ78" s="114"/>
      <c r="AK78" s="114"/>
      <c r="AL78" s="114"/>
      <c r="AM78" s="114"/>
      <c r="AN78" s="114"/>
      <c r="AO78" s="114"/>
      <c r="AP78" s="114"/>
      <c r="AQ78" s="114"/>
      <c r="AR78" s="114"/>
      <c r="AS78" s="114"/>
      <c r="AT78" s="114"/>
      <c r="AU78" s="114"/>
      <c r="AV78" s="114"/>
      <c r="AW78" s="114"/>
      <c r="AX78" s="114"/>
      <c r="AY78" s="114"/>
      <c r="AZ78" s="114"/>
      <c r="BA78" s="114"/>
      <c r="BB78" s="114"/>
      <c r="BC78" s="114"/>
      <c r="BD78" s="114"/>
      <c r="BE78" s="114"/>
      <c r="BF78" s="114"/>
      <c r="BG78" s="114"/>
      <c r="BH78" s="114"/>
      <c r="BI78" s="114"/>
      <c r="BJ78" s="114"/>
      <c r="BK78" s="114"/>
    </row>
    <row r="79" spans="1:63" x14ac:dyDescent="0.5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4"/>
      <c r="Z79" s="114"/>
      <c r="AA79" s="114"/>
      <c r="AB79" s="114"/>
      <c r="AC79" s="114"/>
      <c r="AD79" s="114"/>
      <c r="AE79" s="114"/>
      <c r="AF79" s="114"/>
      <c r="AG79" s="114"/>
      <c r="AH79" s="114"/>
      <c r="AI79" s="114"/>
      <c r="AJ79" s="114"/>
      <c r="AK79" s="114"/>
      <c r="AL79" s="114"/>
      <c r="AM79" s="114"/>
      <c r="AN79" s="114"/>
      <c r="AO79" s="114"/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  <c r="BB79" s="114"/>
      <c r="BC79" s="114"/>
      <c r="BD79" s="114"/>
      <c r="BE79" s="114"/>
      <c r="BF79" s="114"/>
      <c r="BG79" s="114"/>
      <c r="BH79" s="114"/>
      <c r="BI79" s="114"/>
      <c r="BJ79" s="114"/>
      <c r="BK79" s="114"/>
    </row>
    <row r="80" spans="1:63" x14ac:dyDescent="0.5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4"/>
      <c r="Z80" s="114"/>
      <c r="AA80" s="114"/>
      <c r="AB80" s="114"/>
      <c r="AC80" s="114"/>
      <c r="AD80" s="114"/>
      <c r="AE80" s="114"/>
      <c r="AF80" s="114"/>
      <c r="AG80" s="114"/>
      <c r="AH80" s="114"/>
      <c r="AI80" s="114"/>
      <c r="AJ80" s="114"/>
      <c r="AK80" s="114"/>
      <c r="AL80" s="114"/>
      <c r="AM80" s="114"/>
      <c r="AN80" s="114"/>
      <c r="AO80" s="114"/>
      <c r="AP80" s="114"/>
      <c r="AQ80" s="114"/>
      <c r="AR80" s="114"/>
      <c r="AS80" s="114"/>
      <c r="AT80" s="114"/>
      <c r="AU80" s="114"/>
      <c r="AV80" s="114"/>
      <c r="AW80" s="114"/>
      <c r="AX80" s="114"/>
      <c r="AY80" s="114"/>
      <c r="AZ80" s="114"/>
      <c r="BA80" s="114"/>
      <c r="BB80" s="114"/>
      <c r="BC80" s="114"/>
      <c r="BD80" s="114"/>
      <c r="BE80" s="114"/>
      <c r="BF80" s="114"/>
      <c r="BG80" s="114"/>
      <c r="BH80" s="114"/>
      <c r="BI80" s="114"/>
      <c r="BJ80" s="114"/>
      <c r="BK80" s="114"/>
    </row>
    <row r="81" spans="1:63" x14ac:dyDescent="0.5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114"/>
      <c r="AF81" s="114"/>
      <c r="AG81" s="114"/>
      <c r="AH81" s="114"/>
      <c r="AI81" s="114"/>
      <c r="AJ81" s="114"/>
      <c r="AK81" s="114"/>
      <c r="AL81" s="114"/>
      <c r="AM81" s="114"/>
      <c r="AN81" s="114"/>
      <c r="AO81" s="114"/>
      <c r="AP81" s="114"/>
      <c r="AQ81" s="114"/>
      <c r="AR81" s="114"/>
      <c r="AS81" s="114"/>
      <c r="AT81" s="114"/>
      <c r="AU81" s="114"/>
      <c r="AV81" s="114"/>
      <c r="AW81" s="114"/>
      <c r="AX81" s="114"/>
      <c r="AY81" s="114"/>
      <c r="AZ81" s="114"/>
      <c r="BA81" s="114"/>
      <c r="BB81" s="114"/>
      <c r="BC81" s="114"/>
      <c r="BD81" s="114"/>
      <c r="BE81" s="114"/>
      <c r="BF81" s="114"/>
      <c r="BG81" s="114"/>
      <c r="BH81" s="114"/>
      <c r="BI81" s="114"/>
      <c r="BJ81" s="114"/>
      <c r="BK81" s="114"/>
    </row>
    <row r="82" spans="1:63" x14ac:dyDescent="0.5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  <c r="Z82" s="114"/>
      <c r="AA82" s="114"/>
      <c r="AB82" s="114"/>
      <c r="AC82" s="114"/>
      <c r="AD82" s="114"/>
      <c r="AE82" s="114"/>
      <c r="AF82" s="114"/>
      <c r="AG82" s="114"/>
      <c r="AH82" s="114"/>
      <c r="AI82" s="114"/>
      <c r="AJ82" s="114"/>
      <c r="AK82" s="114"/>
      <c r="AL82" s="114"/>
      <c r="AM82" s="114"/>
      <c r="AN82" s="114"/>
      <c r="AO82" s="114"/>
      <c r="AP82" s="114"/>
      <c r="AQ82" s="114"/>
      <c r="AR82" s="114"/>
      <c r="AS82" s="114"/>
      <c r="AT82" s="114"/>
      <c r="AU82" s="114"/>
      <c r="AV82" s="114"/>
      <c r="AW82" s="114"/>
      <c r="AX82" s="114"/>
      <c r="AY82" s="114"/>
      <c r="AZ82" s="114"/>
      <c r="BA82" s="114"/>
      <c r="BB82" s="114"/>
      <c r="BC82" s="114"/>
      <c r="BD82" s="114"/>
      <c r="BE82" s="114"/>
      <c r="BF82" s="114"/>
      <c r="BG82" s="114"/>
      <c r="BH82" s="114"/>
      <c r="BI82" s="114"/>
      <c r="BJ82" s="114"/>
      <c r="BK82" s="114"/>
    </row>
    <row r="83" spans="1:63" x14ac:dyDescent="0.5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4"/>
      <c r="BC83" s="114"/>
      <c r="BD83" s="114"/>
      <c r="BE83" s="114"/>
      <c r="BF83" s="114"/>
      <c r="BG83" s="114"/>
      <c r="BH83" s="114"/>
      <c r="BI83" s="114"/>
      <c r="BJ83" s="114"/>
      <c r="BK83" s="114"/>
    </row>
    <row r="84" spans="1:63" x14ac:dyDescent="0.5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  <c r="AB84" s="114"/>
      <c r="AC84" s="114"/>
      <c r="AD84" s="114"/>
      <c r="AE84" s="114"/>
      <c r="AF84" s="114"/>
      <c r="AG84" s="114"/>
      <c r="AH84" s="114"/>
      <c r="AI84" s="114"/>
      <c r="AJ84" s="114"/>
      <c r="AK84" s="114"/>
      <c r="AL84" s="114"/>
      <c r="AM84" s="114"/>
      <c r="AN84" s="114"/>
      <c r="AO84" s="114"/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  <c r="BB84" s="114"/>
      <c r="BC84" s="114"/>
      <c r="BD84" s="114"/>
      <c r="BE84" s="114"/>
      <c r="BF84" s="114"/>
      <c r="BG84" s="114"/>
      <c r="BH84" s="114"/>
      <c r="BI84" s="114"/>
      <c r="BJ84" s="114"/>
      <c r="BK84" s="114"/>
    </row>
    <row r="85" spans="1:63" x14ac:dyDescent="0.5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14"/>
      <c r="Z85" s="114"/>
      <c r="AA85" s="114"/>
      <c r="AB85" s="114"/>
      <c r="AC85" s="114"/>
      <c r="AD85" s="114"/>
      <c r="AE85" s="114"/>
      <c r="AF85" s="114"/>
      <c r="AG85" s="114"/>
      <c r="AH85" s="114"/>
      <c r="AI85" s="114"/>
      <c r="AJ85" s="114"/>
      <c r="AK85" s="114"/>
      <c r="AL85" s="114"/>
      <c r="AM85" s="114"/>
      <c r="AN85" s="114"/>
      <c r="AO85" s="114"/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14"/>
      <c r="BB85" s="114"/>
      <c r="BC85" s="114"/>
      <c r="BD85" s="114"/>
      <c r="BE85" s="114"/>
      <c r="BF85" s="114"/>
      <c r="BG85" s="114"/>
      <c r="BH85" s="114"/>
      <c r="BI85" s="114"/>
      <c r="BJ85" s="114"/>
      <c r="BK85" s="114"/>
    </row>
    <row r="86" spans="1:63" x14ac:dyDescent="0.5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14"/>
      <c r="Z86" s="114"/>
      <c r="AA86" s="114"/>
      <c r="AB86" s="114"/>
      <c r="AC86" s="114"/>
      <c r="AD86" s="114"/>
      <c r="AE86" s="114"/>
      <c r="AF86" s="114"/>
      <c r="AG86" s="114"/>
      <c r="AH86" s="114"/>
      <c r="AI86" s="114"/>
      <c r="AJ86" s="114"/>
      <c r="AK86" s="114"/>
      <c r="AL86" s="114"/>
      <c r="AM86" s="114"/>
      <c r="AN86" s="114"/>
      <c r="AO86" s="114"/>
      <c r="AP86" s="114"/>
      <c r="AQ86" s="114"/>
      <c r="AR86" s="114"/>
      <c r="AS86" s="114"/>
      <c r="AT86" s="114"/>
      <c r="AU86" s="114"/>
      <c r="AV86" s="114"/>
      <c r="AW86" s="114"/>
      <c r="AX86" s="114"/>
      <c r="AY86" s="114"/>
      <c r="AZ86" s="114"/>
      <c r="BA86" s="114"/>
      <c r="BB86" s="114"/>
      <c r="BC86" s="114"/>
      <c r="BD86" s="114"/>
      <c r="BE86" s="114"/>
      <c r="BF86" s="114"/>
      <c r="BG86" s="114"/>
      <c r="BH86" s="114"/>
      <c r="BI86" s="114"/>
      <c r="BJ86" s="114"/>
      <c r="BK86" s="114"/>
    </row>
    <row r="87" spans="1:63" x14ac:dyDescent="0.5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4"/>
      <c r="Z87" s="114"/>
      <c r="AA87" s="114"/>
      <c r="AB87" s="114"/>
      <c r="AC87" s="114"/>
      <c r="AD87" s="114"/>
      <c r="AE87" s="114"/>
      <c r="AF87" s="114"/>
      <c r="AG87" s="114"/>
      <c r="AH87" s="114"/>
      <c r="AI87" s="114"/>
      <c r="AJ87" s="114"/>
      <c r="AK87" s="114"/>
      <c r="AL87" s="114"/>
      <c r="AM87" s="114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  <c r="BB87" s="114"/>
      <c r="BC87" s="114"/>
      <c r="BD87" s="114"/>
      <c r="BE87" s="114"/>
      <c r="BF87" s="114"/>
      <c r="BG87" s="114"/>
      <c r="BH87" s="114"/>
      <c r="BI87" s="114"/>
      <c r="BJ87" s="114"/>
      <c r="BK87" s="114"/>
    </row>
    <row r="88" spans="1:63" x14ac:dyDescent="0.5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114"/>
      <c r="AF88" s="114"/>
      <c r="AG88" s="114"/>
      <c r="AH88" s="114"/>
      <c r="AI88" s="114"/>
      <c r="AJ88" s="114"/>
      <c r="AK88" s="114"/>
      <c r="AL88" s="114"/>
      <c r="AM88" s="114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114"/>
      <c r="AY88" s="114"/>
      <c r="AZ88" s="114"/>
      <c r="BA88" s="114"/>
      <c r="BB88" s="114"/>
      <c r="BC88" s="114"/>
      <c r="BD88" s="114"/>
      <c r="BE88" s="114"/>
      <c r="BF88" s="114"/>
      <c r="BG88" s="114"/>
      <c r="BH88" s="114"/>
      <c r="BI88" s="114"/>
      <c r="BJ88" s="114"/>
      <c r="BK88" s="114"/>
    </row>
  </sheetData>
  <mergeCells count="42">
    <mergeCell ref="A3:A4"/>
    <mergeCell ref="B3:B4"/>
    <mergeCell ref="Z3:Z4"/>
    <mergeCell ref="AB3:AB4"/>
    <mergeCell ref="AC3:AC4"/>
    <mergeCell ref="AE3:AE4"/>
    <mergeCell ref="AF3:AF4"/>
    <mergeCell ref="N3:N4"/>
    <mergeCell ref="K3:K4"/>
    <mergeCell ref="D3:D4"/>
    <mergeCell ref="G3:G4"/>
    <mergeCell ref="J3:J4"/>
    <mergeCell ref="M3:M4"/>
    <mergeCell ref="H3:H4"/>
    <mergeCell ref="E3:E4"/>
    <mergeCell ref="AT3:AT4"/>
    <mergeCell ref="P3:P4"/>
    <mergeCell ref="Q3:Q4"/>
    <mergeCell ref="AH3:AH4"/>
    <mergeCell ref="AK3:AK4"/>
    <mergeCell ref="AN3:AN4"/>
    <mergeCell ref="AQ3:AQ4"/>
    <mergeCell ref="AI3:AI4"/>
    <mergeCell ref="AL3:AL4"/>
    <mergeCell ref="AO3:AO4"/>
    <mergeCell ref="AR3:AR4"/>
    <mergeCell ref="S3:S4"/>
    <mergeCell ref="T3:T4"/>
    <mergeCell ref="V3:V4"/>
    <mergeCell ref="W3:W4"/>
    <mergeCell ref="Y3:Y4"/>
    <mergeCell ref="AW3:AW4"/>
    <mergeCell ref="AZ3:AZ4"/>
    <mergeCell ref="AU3:AU4"/>
    <mergeCell ref="AX3:AX4"/>
    <mergeCell ref="BA3:BA4"/>
    <mergeCell ref="BI3:BI4"/>
    <mergeCell ref="BJ3:BJ4"/>
    <mergeCell ref="BC3:BC4"/>
    <mergeCell ref="BF3:BF4"/>
    <mergeCell ref="BD3:BD4"/>
    <mergeCell ref="BG3:BG4"/>
  </mergeCells>
  <phoneticPr fontId="12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Overview</vt:lpstr>
      <vt:lpstr>SAR</vt:lpstr>
      <vt:lpstr>Extended Payload Diagram</vt:lpstr>
      <vt:lpstr>Bathtub Curve</vt:lpstr>
      <vt:lpstr>EEA Master Emission Calculator</vt:lpstr>
      <vt:lpstr>BADA </vt:lpstr>
      <vt:lpstr>Handbook Method</vt:lpstr>
      <vt:lpstr>Literature review</vt:lpstr>
      <vt:lpstr>Deviation</vt:lpstr>
      <vt:lpstr>Matrix</vt:lpstr>
      <vt:lpstr>Fuel Consumption Analysis</vt:lpstr>
      <vt:lpstr>Fuel Consumption CO2 MV A330neo</vt:lpstr>
      <vt:lpstr>Hurtecant</vt:lpstr>
      <vt:lpstr>TOP 50 Most Used Aircraft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aero-1</cp:lastModifiedBy>
  <dcterms:created xsi:type="dcterms:W3CDTF">2023-02-23T07:06:31Z</dcterms:created>
  <dcterms:modified xsi:type="dcterms:W3CDTF">2023-09-05T13:15:10Z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2023-04-12T10:36:36Z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9bcf3237-2dc4-4c78-980d-e29606d7a2e8</vt:lpwstr>
  </property>
  <property fmtid="{D5CDD505-2E9C-101B-9397-08002B2CF9AE}" pid="8" name="MSIP_Label_defa4170-0d19-0005-0004-bc88714345d2_ContentBits">
    <vt:lpwstr>0</vt:lpwstr>
  </property>
</Properties>
</file>