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uskuhn/Documents/"/>
    </mc:Choice>
  </mc:AlternateContent>
  <xr:revisionPtr revIDLastSave="0" documentId="13_ncr:1_{7A661709-0188-BB47-86BD-473ECD1B5D85}" xr6:coauthVersionLast="47" xr6:coauthVersionMax="47" xr10:uidLastSave="{00000000-0000-0000-0000-000000000000}"/>
  <bookViews>
    <workbookView xWindow="0" yWindow="760" windowWidth="30240" windowHeight="17680" xr2:uid="{00000000-000D-0000-FFFF-FFFF00000000}"/>
  </bookViews>
  <sheets>
    <sheet name="Overview" sheetId="16" r:id="rId1"/>
    <sheet name="SAR" sheetId="17" r:id="rId2"/>
    <sheet name="Extended Payload Diagram" sheetId="18" r:id="rId3"/>
    <sheet name="Bathtub Curve" sheetId="13" r:id="rId4"/>
    <sheet name="EEA Master Emission Calculator" sheetId="19" r:id="rId5"/>
    <sheet name="BADA " sheetId="11" r:id="rId6"/>
    <sheet name="Handbook Method" sheetId="8" r:id="rId7"/>
    <sheet name="Literature review" sheetId="15" r:id="rId8"/>
    <sheet name="Deviation" sheetId="12" r:id="rId9"/>
    <sheet name="Matrix" sheetId="14" r:id="rId10"/>
    <sheet name="Fuel Consumption Analysis" sheetId="20" r:id="rId11"/>
    <sheet name="Fuel Consumption CO2 MV A330neo" sheetId="7" r:id="rId12"/>
    <sheet name="Hurtecant" sheetId="2" r:id="rId13"/>
    <sheet name="TOP 50 Most Used Aircraft" sheetId="3" r:id="rId14"/>
  </sheets>
  <externalReferences>
    <externalReference r:id="rId15"/>
  </externalReferences>
  <definedNames>
    <definedName name="_xlnm._FilterDatabase" localSheetId="5" hidden="1">'BADA '!$A$1:$I$52</definedName>
    <definedName name="_xlnm._FilterDatabase" localSheetId="3" hidden="1">'Bathtub Curve'!$A$1:$H$52</definedName>
    <definedName name="_xlnm._FilterDatabase" localSheetId="4" hidden="1">'EEA Master Emission Calculator'!$A$1:$E$52</definedName>
    <definedName name="_xlnm._FilterDatabase" localSheetId="2" hidden="1">'Extended Payload Diagram'!$A$1:$H$52</definedName>
    <definedName name="_xlnm._FilterDatabase" localSheetId="10" hidden="1">'Fuel Consumption Analysis'!$A$1:$I$51</definedName>
    <definedName name="_xlnm._FilterDatabase" localSheetId="6" hidden="1">'Handbook Method'!$A$1:$V$52</definedName>
    <definedName name="_xlnm._FilterDatabase" localSheetId="12" hidden="1">Hurtecant!$A$4:$AI$78</definedName>
    <definedName name="_xlnm._FilterDatabase" localSheetId="7" hidden="1">'Literature review'!$A$1:$J$52</definedName>
    <definedName name="_xlnm._FilterDatabase" localSheetId="0" hidden="1">Overview!$A$1:$H$52</definedName>
    <definedName name="_xlnm._FilterDatabase" localSheetId="1" hidden="1">SAR!$A$1:$K$52</definedName>
    <definedName name="AircraftList">'[1]Auxiliary Data Sheet'!$A$1:OFFSET('[1]Auxiliary Data Sheet'!$A$1,(COUNTA('[1]Auxiliary Data Sheet'!$A:$A,"**")),0)</definedName>
    <definedName name="AircraftType">[1]Database!$B$4:OFFSET([1]Database!$B$4,(COUNTA([1]Database!$B:$B,"**")-3),0)</definedName>
    <definedName name="Airline">[1]Database!$C$4:OFFSET([1]Database!$C$4,(COUNTA([1]Database!$C:$C,"**")-3),0)</definedName>
    <definedName name="AirlineList">'[1]Auxiliary Data Sheet'!$B$1:OFFSET('[1]Auxiliary Data Sheet'!$B$1,(COUNTA('[1]Auxiliary Data Sheet'!$B:$B,)),0)</definedName>
    <definedName name="beta" localSheetId="13">#REF!</definedName>
    <definedName name="beta">#REF!</definedName>
    <definedName name="CFcloud">[1]Database!$BA$4:OFFSET([1]Database!$BA$4,(COUNTA([1]Database!$BA:$BA,"**")-3),0)</definedName>
    <definedName name="CFNOx">[1]Database!$AX$4:OFFSET([1]Database!$AX$4,(COUNTA([1]Database!$AX:$AX,"**")-3),0)</definedName>
    <definedName name="EINOx">[1]Database!$AT$4:OFFSET([1]Database!$AT$4,(COUNTA([1]Database!$AT:$AT,"**")-3),0)</definedName>
    <definedName name="EngineList">'[1]Auxiliary Data Sheet'!$C$1:OFFSET('[1]Auxiliary Data Sheet'!$C$1,(COUNTA('[1]Auxiliary Data Sheet'!$C:$C)),0)</definedName>
    <definedName name="EngineType">[1]Database!$D$4:OFFSET([1]Database!$D$4,(COUNTA([1]Database!$D:$D,"**")-3),0)</definedName>
    <definedName name="Fuel_App">[1]Database!$AP$4:OFFSET([1]Database!$AP$4,(COUNTA([1]Database!$AP:$AP,"**")-3),0)</definedName>
    <definedName name="Fuel_CO">[1]Database!$AO$4:OFFSET([1]Database!$AO$4,(COUNTA([1]Database!$AO:$AO,"**")-3),0)</definedName>
    <definedName name="Fuel_Idle">[1]Database!$AQ$4:OFFSET([1]Database!$AQ$4,(COUNTA([1]Database!$AQ:$AQ,"**")-3),0)</definedName>
    <definedName name="Fuel_LTO">[1]Database!$AH$4:OFFSET([1]Database!$AH$4,(COUNTA([1]Database!$AH:$AH,"**")-3),0)</definedName>
    <definedName name="Fuel_TO">[1]Database!$AN$4:OFFSET([1]Database!$AN$4,(COUNTA([1]Database!$AN:$AN,"**")-3),0)</definedName>
    <definedName name="g">'[1]Boeing FFM2'!$AL$5</definedName>
    <definedName name="H" localSheetId="13">#REF!</definedName>
    <definedName name="H">#REF!</definedName>
    <definedName name="L">'[1]Boeing FFM2'!$AL$7</definedName>
    <definedName name="Level_App">[1]Database!$W$4:OFFSET([1]Database!$W$4,(COUNTA([1]Database!$W:$W,"**")-3),0)</definedName>
    <definedName name="Level_Fly">[1]Database!$U$4:OFFSET([1]Database!$U$4,(COUNTA([1]Database!$U:$U,"**")-3),0)</definedName>
    <definedName name="Level_Lat">[1]Database!$S$4:OFFSET([1]Database!$S$4,(COUNTA([1]Database!$S:$S,"**")-3),0)</definedName>
    <definedName name="Limit_App">[1]Database!$X$4:OFFSET([1]Database!$X$4,(COUNTA([1]Database!$X:$X,"**")-3),0)</definedName>
    <definedName name="Limit_Fly">[1]Database!$V$4:OFFSET([1]Database!$V$4,(COUNTA([1]Database!$V:$V,"**")-3),0)</definedName>
    <definedName name="Limit_Lat">[1]Database!$T$4:OFFSET([1]Database!$T$4,(COUNTA([1]Database!$T:$T,"**")-3),0)</definedName>
    <definedName name="LTO_CO">[1]Database!$AF$4:OFFSET([1]Database!$AF$4,(COUNTA([1]Database!$AF:$AF,"**")-3),0)</definedName>
    <definedName name="LTO_HC">[1]Database!$AE$4:OFFSET([1]Database!$AE$4,(COUNTA([1]Database!$AE:$AE,"**")-3),0)</definedName>
    <definedName name="LTO_NOx">[1]Database!$AG$4:OFFSET([1]Database!$AG$4,(COUNTA([1]Database!$AG:$AG,"**")-3),0)</definedName>
    <definedName name="M" localSheetId="13">#REF!</definedName>
    <definedName name="M">#REF!</definedName>
    <definedName name="m_one" localSheetId="13">[1]Database!#REF!:OFFSET([1]Database!#REF!,(COUNTA([1]Database!#REF!,"**")-3),0)</definedName>
    <definedName name="m_one">[1]Database!#REF!:OFFSET([1]Database!#REF!,(COUNTA([1]Database!#REF!,"**")-3),0)</definedName>
    <definedName name="m_two" localSheetId="13">[1]Database!#REF!:OFFSET([1]Database!#REF!,(COUNTA([1]Database!#REF!,"**")-3),0)</definedName>
    <definedName name="m_two">[1]Database!#REF!:OFFSET([1]Database!#REF!,(COUNTA([1]Database!#REF!,"**")-3),0)</definedName>
    <definedName name="MTOW">[1]Database!$F$4:OFFSET([1]Database!$F$4,(COUNTA([1]Database!$F:$F,"**")-3),0)</definedName>
    <definedName name="NoAC" localSheetId="13">#REF!+#REF!</definedName>
    <definedName name="NoAC">#REF!+#REF!</definedName>
    <definedName name="NoBC">[1]Database!$O$4:OFFSET([1]Database!$O$4,(COUNTA([1]Database!$O:$O,"**")-3),0)</definedName>
    <definedName name="NoEC">[1]Database!$I$4:OFFSET([1]Database!$I$4,(COUNTA([1]Database!$I:$I,"**")-3),0)</definedName>
    <definedName name="NoFC">[1]Database!$R$4:OFFSET([1]Database!$R$4,(COUNTA([1]Database!$R:$R,"**")-3),0)</definedName>
    <definedName name="NoPE">[1]Database!$L$4:OFFSET([1]Database!$L$4,(COUNTA([1]Database!$L:$L,"**")-3),0)</definedName>
    <definedName name="p" localSheetId="13">#REF!</definedName>
    <definedName name="p">#REF!</definedName>
    <definedName name="p_t">'[1]Boeing FFM2'!$AL$12</definedName>
    <definedName name="p_v" localSheetId="13">#REF!</definedName>
    <definedName name="p_v">#REF!</definedName>
    <definedName name="p0">'[1]Boeing FFM2'!$AL$9</definedName>
    <definedName name="PitchBC">[1]Database!$M$4:OFFSET([1]Database!$M$4,(COUNTA([1]Database!$M:$M,"**")-3),0)</definedName>
    <definedName name="PitchEC">[1]Database!$G$4:OFFSET([1]Database!$G$4,(COUNTA([1]Database!$G:$G,"**")-3),0)</definedName>
    <definedName name="PitchFC">[1]Database!$P$4:OFFSET([1]Database!$P$4,(COUNTA([1]Database!$P:$P,"**")-3),0)</definedName>
    <definedName name="PitchPE">[1]Database!$J$4:OFFSET([1]Database!$J$4,(COUNTA([1]Database!$J:$J,"**")-3),0)</definedName>
    <definedName name="R_const">'[1]Boeing FFM2'!$AL$6</definedName>
    <definedName name="R_one" localSheetId="13">[1]Database!#REF!:OFFSET([1]Database!#REF!,(COUNTA([1]Database!#REF!,"**")-3),0)</definedName>
    <definedName name="R_one">[1]Database!#REF!:OFFSET([1]Database!#REF!,(COUNTA([1]Database!#REF!,"**")-3),0)</definedName>
    <definedName name="R_two" localSheetId="13">[1]Database!#REF!:OFFSET([1]Database!#REF!,(COUNTA([1]Database!#REF!,"**")-3),0)</definedName>
    <definedName name="R_two">[1]Database!#REF!:OFFSET([1]Database!#REF!,(COUNTA([1]Database!#REF!,"**")-3),0)</definedName>
    <definedName name="Rating" localSheetId="13">#REF!</definedName>
    <definedName name="Rating">#REF!</definedName>
    <definedName name="rho_t">'[1]Boeing FFM2'!$AL$13</definedName>
    <definedName name="rho0">'[1]Boeing FFM2'!$AL$10</definedName>
    <definedName name="sCH">[1]Database!$AW$4:OFFSET([1]Database!$AW$4,(COUNTA([1]Database!$AW:$AW,"**")-3),0)</definedName>
    <definedName name="scir">[1]Database!$AZ$4:OFFSET([1]Database!$AZ$4,(COUNTA([1]Database!$AZ:$AZ,"**")-3),0)</definedName>
    <definedName name="scon">[1]Database!$AY$4:OFFSET([1]Database!$AY$4,(COUNTA([1]Database!$AY:$AY,"**")-3),0)</definedName>
    <definedName name="Smoke_App">[1]Database!$AL$4:OFFSET([1]Database!$AL$4,(COUNTA([1]Database!$AL:$AL,"**")-3),0)</definedName>
    <definedName name="Smoke_CO">[1]Database!$AK$4:OFFSET([1]Database!$AK$4,(COUNTA([1]Database!$AK:$AK,"**")-3),0)</definedName>
    <definedName name="Smoke_Idle">[1]Database!$AM$4:OFFSET([1]Database!$AM$4,(COUNTA([1]Database!$AM:$AM,"**")-3),0)</definedName>
    <definedName name="Smoke_TO">[1]Database!$AJ$4:OFFSET([1]Database!$AJ$4,(COUNTA([1]Database!$AJ:$AJ,"**")-3),0)</definedName>
    <definedName name="sOL">[1]Database!$AV$4:OFFSET([1]Database!$AV$4,(COUNTA([1]Database!$AV:$AV,"**")-3),0)</definedName>
    <definedName name="sOS">[1]Database!$AU$4:OFFSET([1]Database!$AU$4,(COUNTA([1]Database!$AU:$AU,"**")-3),0)</definedName>
    <definedName name="T" localSheetId="13">#REF!</definedName>
    <definedName name="T">#REF!</definedName>
    <definedName name="T_t">'[1]Boeing FFM2'!$AL$11</definedName>
    <definedName name="T0">'[1]Boeing FFM2'!$AL$8</definedName>
    <definedName name="Thrust">[1]Database!C$4:OFFSET([1]Database!$E$4,(COUNTA([1]Database!$E:$E,"**")-3),0)</definedName>
    <definedName name="WidthBC">[1]Database!$N$4:OFFSET([1]Database!$N$4,(COUNTA([1]Database!$N:$N,"**")-3),0)</definedName>
    <definedName name="WidthEC">[1]Database!$H$4:OFFSET([1]Database!$H$4,(COUNTA([1]Database!$H:$H,"**")-3),0)</definedName>
    <definedName name="WidthFC">[1]Database!$Q$4:OFFSET([1]Database!$Q$4,(COUNTA([1]Database!$Q:$Q,"**")-3),0)</definedName>
    <definedName name="WidthPE">[1]Database!$K$4:OFFSET([1]Database!$K$4,(COUNTA([1]Database!$K:$K,"**")-3),0)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" i="14" l="1"/>
  <c r="W12" i="14"/>
  <c r="V12" i="14"/>
  <c r="U12" i="14"/>
  <c r="T12" i="14"/>
  <c r="S12" i="14"/>
  <c r="R12" i="14"/>
  <c r="Q12" i="14"/>
  <c r="C4" i="16" l="1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3" i="16"/>
  <c r="D4" i="14"/>
  <c r="E4" i="19" l="1"/>
  <c r="E4" i="16" s="1"/>
  <c r="T5" i="12" s="1"/>
  <c r="E5" i="19"/>
  <c r="E5" i="16" s="1"/>
  <c r="T6" i="12" s="1"/>
  <c r="E7" i="19"/>
  <c r="E7" i="16" s="1"/>
  <c r="T7" i="12" s="1"/>
  <c r="E9" i="19"/>
  <c r="E9" i="16" s="1"/>
  <c r="T8" i="12" s="1"/>
  <c r="E10" i="19"/>
  <c r="E10" i="16" s="1"/>
  <c r="T9" i="12" s="1"/>
  <c r="E11" i="19"/>
  <c r="E11" i="16" s="1"/>
  <c r="T10" i="12" s="1"/>
  <c r="E12" i="19"/>
  <c r="E12" i="16" s="1"/>
  <c r="T11" i="12" s="1"/>
  <c r="E13" i="19"/>
  <c r="E13" i="16" s="1"/>
  <c r="T12" i="12" s="1"/>
  <c r="E14" i="19"/>
  <c r="E14" i="16" s="1"/>
  <c r="T13" i="12" s="1"/>
  <c r="E16" i="19"/>
  <c r="E16" i="16" s="1"/>
  <c r="T14" i="12" s="1"/>
  <c r="E17" i="19"/>
  <c r="E17" i="16" s="1"/>
  <c r="T15" i="12" s="1"/>
  <c r="E18" i="19"/>
  <c r="E18" i="16" s="1"/>
  <c r="T16" i="12" s="1"/>
  <c r="E19" i="19"/>
  <c r="E19" i="16" s="1"/>
  <c r="T17" i="12" s="1"/>
  <c r="E20" i="19"/>
  <c r="E20" i="16" s="1"/>
  <c r="T18" i="12" s="1"/>
  <c r="E21" i="19"/>
  <c r="E21" i="16" s="1"/>
  <c r="T19" i="12" s="1"/>
  <c r="E22" i="19"/>
  <c r="E22" i="16" s="1"/>
  <c r="T20" i="12" s="1"/>
  <c r="E23" i="19"/>
  <c r="E23" i="16" s="1"/>
  <c r="T21" i="12" s="1"/>
  <c r="E24" i="19"/>
  <c r="E24" i="16" s="1"/>
  <c r="T22" i="12" s="1"/>
  <c r="E25" i="19"/>
  <c r="E25" i="16" s="1"/>
  <c r="T23" i="12" s="1"/>
  <c r="E26" i="19"/>
  <c r="E26" i="16" s="1"/>
  <c r="T24" i="12" s="1"/>
  <c r="E27" i="19"/>
  <c r="E27" i="16" s="1"/>
  <c r="T25" i="12" s="1"/>
  <c r="E28" i="19"/>
  <c r="E28" i="16" s="1"/>
  <c r="T26" i="12" s="1"/>
  <c r="E29" i="19"/>
  <c r="E29" i="16" s="1"/>
  <c r="T27" i="12" s="1"/>
  <c r="E30" i="19"/>
  <c r="E30" i="16" s="1"/>
  <c r="T28" i="12" s="1"/>
  <c r="E31" i="19"/>
  <c r="E31" i="16" s="1"/>
  <c r="T29" i="12" s="1"/>
  <c r="E32" i="19"/>
  <c r="E32" i="16" s="1"/>
  <c r="T30" i="12" s="1"/>
  <c r="E33" i="19"/>
  <c r="E33" i="16" s="1"/>
  <c r="T31" i="12" s="1"/>
  <c r="E37" i="19"/>
  <c r="E37" i="16" s="1"/>
  <c r="T32" i="12" s="1"/>
  <c r="E43" i="19"/>
  <c r="E43" i="16" s="1"/>
  <c r="T33" i="12" s="1"/>
  <c r="E44" i="19"/>
  <c r="E44" i="16" s="1"/>
  <c r="T34" i="12" s="1"/>
  <c r="E45" i="19"/>
  <c r="E45" i="16" s="1"/>
  <c r="T35" i="12" s="1"/>
  <c r="E46" i="19"/>
  <c r="E46" i="16" s="1"/>
  <c r="T36" i="12" s="1"/>
  <c r="E47" i="19"/>
  <c r="E47" i="16" s="1"/>
  <c r="T37" i="12" s="1"/>
  <c r="E48" i="19"/>
  <c r="E48" i="16" s="1"/>
  <c r="T38" i="12" s="1"/>
  <c r="E49" i="19"/>
  <c r="E49" i="16" s="1"/>
  <c r="T39" i="12" s="1"/>
  <c r="E50" i="19"/>
  <c r="E50" i="16" s="1"/>
  <c r="T40" i="12" s="1"/>
  <c r="B4" i="16"/>
  <c r="D5" i="12" s="1"/>
  <c r="B5" i="16"/>
  <c r="D6" i="12" s="1"/>
  <c r="B6" i="16"/>
  <c r="J8" i="12" s="1"/>
  <c r="B7" i="16"/>
  <c r="D7" i="12" s="1"/>
  <c r="B8" i="16"/>
  <c r="J10" i="12" s="1"/>
  <c r="B9" i="16"/>
  <c r="D8" i="12" s="1"/>
  <c r="B10" i="16"/>
  <c r="D9" i="12" s="1"/>
  <c r="B11" i="16"/>
  <c r="D10" i="12" s="1"/>
  <c r="B12" i="16"/>
  <c r="D11" i="12" s="1"/>
  <c r="B13" i="16"/>
  <c r="D12" i="12" s="1"/>
  <c r="B14" i="16"/>
  <c r="D13" i="12" s="1"/>
  <c r="B15" i="16"/>
  <c r="P17" i="12" s="1"/>
  <c r="B16" i="16"/>
  <c r="D14" i="12" s="1"/>
  <c r="B17" i="16"/>
  <c r="D15" i="12" s="1"/>
  <c r="B18" i="16"/>
  <c r="D16" i="12" s="1"/>
  <c r="B19" i="16"/>
  <c r="D17" i="12" s="1"/>
  <c r="B20" i="16"/>
  <c r="D18" i="12" s="1"/>
  <c r="B21" i="16"/>
  <c r="D19" i="12" s="1"/>
  <c r="B22" i="16"/>
  <c r="D20" i="12" s="1"/>
  <c r="B23" i="16"/>
  <c r="D21" i="12" s="1"/>
  <c r="B24" i="16"/>
  <c r="D22" i="12" s="1"/>
  <c r="B25" i="16"/>
  <c r="D23" i="12" s="1"/>
  <c r="B26" i="16"/>
  <c r="D24" i="12" s="1"/>
  <c r="B27" i="16"/>
  <c r="D25" i="12" s="1"/>
  <c r="B28" i="16"/>
  <c r="D26" i="12" s="1"/>
  <c r="B29" i="16"/>
  <c r="D27" i="12" s="1"/>
  <c r="B30" i="16"/>
  <c r="D28" i="12" s="1"/>
  <c r="B31" i="16"/>
  <c r="D29" i="12" s="1"/>
  <c r="B32" i="16"/>
  <c r="D30" i="12" s="1"/>
  <c r="B33" i="16"/>
  <c r="D31" i="12" s="1"/>
  <c r="B34" i="16"/>
  <c r="J33" i="12" s="1"/>
  <c r="B35" i="16"/>
  <c r="J34" i="12" s="1"/>
  <c r="B36" i="16"/>
  <c r="J35" i="12" s="1"/>
  <c r="B37" i="16"/>
  <c r="D32" i="12" s="1"/>
  <c r="B38" i="16"/>
  <c r="J37" i="12" s="1"/>
  <c r="B39" i="16"/>
  <c r="G19" i="12" s="1"/>
  <c r="B40" i="16"/>
  <c r="G20" i="12" s="1"/>
  <c r="B41" i="16"/>
  <c r="G21" i="12" s="1"/>
  <c r="B42" i="16"/>
  <c r="B43" i="16"/>
  <c r="D33" i="12" s="1"/>
  <c r="B44" i="16"/>
  <c r="D34" i="12" s="1"/>
  <c r="B45" i="16"/>
  <c r="D35" i="12" s="1"/>
  <c r="B46" i="16"/>
  <c r="D36" i="12" s="1"/>
  <c r="B47" i="16"/>
  <c r="D37" i="12" s="1"/>
  <c r="B48" i="16"/>
  <c r="D38" i="12" s="1"/>
  <c r="B49" i="16"/>
  <c r="D39" i="12" s="1"/>
  <c r="B50" i="16"/>
  <c r="D40" i="12" s="1"/>
  <c r="B51" i="16"/>
  <c r="P52" i="12" s="1"/>
  <c r="B52" i="16"/>
  <c r="J45" i="12" s="1"/>
  <c r="B3" i="16"/>
  <c r="J5" i="12" s="1"/>
  <c r="K4" i="17"/>
  <c r="K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3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G4" i="18"/>
  <c r="H4" i="18" s="1"/>
  <c r="S5" i="12" s="1"/>
  <c r="G5" i="18"/>
  <c r="H5" i="18" s="1"/>
  <c r="S6" i="12" s="1"/>
  <c r="G6" i="18"/>
  <c r="H6" i="18" s="1"/>
  <c r="Y8" i="12" s="1"/>
  <c r="G7" i="18"/>
  <c r="H7" i="18" s="1"/>
  <c r="S7" i="12" s="1"/>
  <c r="G8" i="18"/>
  <c r="H8" i="18" s="1"/>
  <c r="Y10" i="12" s="1"/>
  <c r="G9" i="18"/>
  <c r="H9" i="18" s="1"/>
  <c r="S8" i="12" s="1"/>
  <c r="G10" i="18"/>
  <c r="H10" i="18" s="1"/>
  <c r="S9" i="12" s="1"/>
  <c r="G11" i="18"/>
  <c r="H11" i="18" s="1"/>
  <c r="S10" i="12" s="1"/>
  <c r="G12" i="18"/>
  <c r="H12" i="18" s="1"/>
  <c r="S11" i="12" s="1"/>
  <c r="G13" i="18"/>
  <c r="H13" i="18" s="1"/>
  <c r="S12" i="12" s="1"/>
  <c r="G14" i="18"/>
  <c r="H14" i="18" s="1"/>
  <c r="S13" i="12" s="1"/>
  <c r="G15" i="18"/>
  <c r="H15" i="18" s="1"/>
  <c r="AB17" i="12" s="1"/>
  <c r="G16" i="18"/>
  <c r="H16" i="18" s="1"/>
  <c r="S14" i="12" s="1"/>
  <c r="G17" i="18"/>
  <c r="H17" i="18" s="1"/>
  <c r="S15" i="12" s="1"/>
  <c r="G18" i="18"/>
  <c r="H18" i="18" s="1"/>
  <c r="S16" i="12" s="1"/>
  <c r="G19" i="18"/>
  <c r="H19" i="18" s="1"/>
  <c r="S17" i="12" s="1"/>
  <c r="G20" i="18"/>
  <c r="H20" i="18" s="1"/>
  <c r="S18" i="12" s="1"/>
  <c r="G21" i="18"/>
  <c r="H21" i="18" s="1"/>
  <c r="S19" i="12" s="1"/>
  <c r="G22" i="18"/>
  <c r="H22" i="18" s="1"/>
  <c r="S20" i="12" s="1"/>
  <c r="G23" i="18"/>
  <c r="H23" i="18" s="1"/>
  <c r="S21" i="12" s="1"/>
  <c r="G24" i="18"/>
  <c r="H24" i="18" s="1"/>
  <c r="S22" i="12" s="1"/>
  <c r="G25" i="18"/>
  <c r="H25" i="18" s="1"/>
  <c r="S23" i="12" s="1"/>
  <c r="G26" i="18"/>
  <c r="H26" i="18" s="1"/>
  <c r="S24" i="12" s="1"/>
  <c r="G27" i="18"/>
  <c r="H27" i="18" s="1"/>
  <c r="S25" i="12" s="1"/>
  <c r="G28" i="18"/>
  <c r="H28" i="18" s="1"/>
  <c r="S26" i="12" s="1"/>
  <c r="G29" i="18"/>
  <c r="H29" i="18" s="1"/>
  <c r="S27" i="12" s="1"/>
  <c r="G30" i="18"/>
  <c r="H30" i="18" s="1"/>
  <c r="S28" i="12" s="1"/>
  <c r="G31" i="18"/>
  <c r="H31" i="18" s="1"/>
  <c r="S29" i="12" s="1"/>
  <c r="G32" i="18"/>
  <c r="H32" i="18" s="1"/>
  <c r="S30" i="12" s="1"/>
  <c r="G33" i="18"/>
  <c r="H33" i="18" s="1"/>
  <c r="S31" i="12" s="1"/>
  <c r="G34" i="18"/>
  <c r="H34" i="18" s="1"/>
  <c r="Y33" i="12" s="1"/>
  <c r="G35" i="18"/>
  <c r="H35" i="18" s="1"/>
  <c r="Y34" i="12" s="1"/>
  <c r="G36" i="18"/>
  <c r="H36" i="18" s="1"/>
  <c r="Y35" i="12" s="1"/>
  <c r="G37" i="18"/>
  <c r="H37" i="18" s="1"/>
  <c r="S32" i="12" s="1"/>
  <c r="G38" i="18"/>
  <c r="H38" i="18" s="1"/>
  <c r="Y37" i="12" s="1"/>
  <c r="G39" i="18"/>
  <c r="H39" i="18" s="1"/>
  <c r="V19" i="12" s="1"/>
  <c r="G40" i="18"/>
  <c r="H40" i="18" s="1"/>
  <c r="V20" i="12" s="1"/>
  <c r="G41" i="18"/>
  <c r="H41" i="18" s="1"/>
  <c r="V21" i="12" s="1"/>
  <c r="G42" i="18"/>
  <c r="H42" i="18" s="1"/>
  <c r="G43" i="18"/>
  <c r="H43" i="18" s="1"/>
  <c r="S33" i="12" s="1"/>
  <c r="G44" i="18"/>
  <c r="H44" i="18" s="1"/>
  <c r="S34" i="12" s="1"/>
  <c r="G45" i="18"/>
  <c r="H45" i="18" s="1"/>
  <c r="S35" i="12" s="1"/>
  <c r="G46" i="18"/>
  <c r="H46" i="18" s="1"/>
  <c r="S36" i="12" s="1"/>
  <c r="G47" i="18"/>
  <c r="H47" i="18" s="1"/>
  <c r="S37" i="12" s="1"/>
  <c r="G48" i="18"/>
  <c r="H48" i="18" s="1"/>
  <c r="S38" i="12" s="1"/>
  <c r="G49" i="18"/>
  <c r="H49" i="18" s="1"/>
  <c r="S39" i="12" s="1"/>
  <c r="G50" i="18"/>
  <c r="H50" i="18" s="1"/>
  <c r="S40" i="12" s="1"/>
  <c r="G51" i="18"/>
  <c r="H51" i="18" s="1"/>
  <c r="AE52" i="12" s="1"/>
  <c r="G52" i="18"/>
  <c r="H52" i="18" s="1"/>
  <c r="Y45" i="12" s="1"/>
  <c r="G3" i="18"/>
  <c r="H3" i="18" s="1"/>
  <c r="Y5" i="12" s="1"/>
  <c r="J3" i="17"/>
  <c r="H4" i="16"/>
  <c r="BD6" i="12" s="1"/>
  <c r="H5" i="16"/>
  <c r="AX5" i="12" s="1"/>
  <c r="H6" i="16"/>
  <c r="BD8" i="12" s="1"/>
  <c r="H7" i="16"/>
  <c r="BD9" i="12" s="1"/>
  <c r="H8" i="16"/>
  <c r="BD10" i="12" s="1"/>
  <c r="H9" i="16"/>
  <c r="AX6" i="12" s="1"/>
  <c r="H10" i="16"/>
  <c r="AX7" i="12" s="1"/>
  <c r="H11" i="16"/>
  <c r="BD13" i="12" s="1"/>
  <c r="H12" i="16"/>
  <c r="BD14" i="12" s="1"/>
  <c r="H13" i="16"/>
  <c r="AX8" i="12" s="1"/>
  <c r="H14" i="16"/>
  <c r="AX9" i="12" s="1"/>
  <c r="H15" i="16"/>
  <c r="BI17" i="12" s="1"/>
  <c r="H17" i="16"/>
  <c r="BD15" i="12" s="1"/>
  <c r="H18" i="16"/>
  <c r="BD16" i="12" s="1"/>
  <c r="H19" i="16"/>
  <c r="AX10" i="12" s="1"/>
  <c r="H22" i="16"/>
  <c r="AX11" i="12" s="1"/>
  <c r="H23" i="16"/>
  <c r="AX12" i="12" s="1"/>
  <c r="H24" i="16"/>
  <c r="BD20" i="12" s="1"/>
  <c r="H25" i="16"/>
  <c r="AX13" i="12" s="1"/>
  <c r="H26" i="16"/>
  <c r="AX14" i="12" s="1"/>
  <c r="H27" i="16"/>
  <c r="AX15" i="12" s="1"/>
  <c r="H28" i="16"/>
  <c r="BD24" i="12" s="1"/>
  <c r="H29" i="16"/>
  <c r="BD25" i="12" s="1"/>
  <c r="H30" i="16"/>
  <c r="BD26" i="12" s="1"/>
  <c r="H31" i="16"/>
  <c r="BD27" i="12" s="1"/>
  <c r="H32" i="16"/>
  <c r="BD28" i="12" s="1"/>
  <c r="H34" i="16"/>
  <c r="BD29" i="12" s="1"/>
  <c r="H35" i="16"/>
  <c r="BD30" i="12" s="1"/>
  <c r="H36" i="16"/>
  <c r="BD31" i="12" s="1"/>
  <c r="H37" i="16"/>
  <c r="BD32" i="12" s="1"/>
  <c r="H38" i="16"/>
  <c r="BD33" i="12" s="1"/>
  <c r="H41" i="16"/>
  <c r="AX16" i="12" s="1"/>
  <c r="H43" i="16"/>
  <c r="BD34" i="12" s="1"/>
  <c r="H44" i="16"/>
  <c r="BD35" i="12" s="1"/>
  <c r="H45" i="16"/>
  <c r="BD36" i="12" s="1"/>
  <c r="H46" i="16"/>
  <c r="BD37" i="12" s="1"/>
  <c r="H47" i="16"/>
  <c r="BD38" i="12" s="1"/>
  <c r="H48" i="16"/>
  <c r="AX17" i="12" s="1"/>
  <c r="H49" i="16"/>
  <c r="BD39" i="12" s="1"/>
  <c r="H51" i="16"/>
  <c r="BI45" i="12" s="1"/>
  <c r="H52" i="16"/>
  <c r="BD40" i="12" s="1"/>
  <c r="H3" i="16"/>
  <c r="BD5" i="12" s="1"/>
  <c r="G4" i="16"/>
  <c r="K6" i="12" s="1"/>
  <c r="G5" i="16"/>
  <c r="AU5" i="12" s="1"/>
  <c r="G6" i="16"/>
  <c r="K8" i="12" s="1"/>
  <c r="G7" i="16"/>
  <c r="K9" i="12" s="1"/>
  <c r="G8" i="16"/>
  <c r="K10" i="12" s="1"/>
  <c r="G9" i="16"/>
  <c r="AU6" i="12" s="1"/>
  <c r="G10" i="16"/>
  <c r="AU7" i="12" s="1"/>
  <c r="G11" i="16"/>
  <c r="Z13" i="12" s="1"/>
  <c r="G12" i="16"/>
  <c r="Z14" i="12" s="1"/>
  <c r="G16" i="16"/>
  <c r="K15" i="12" s="1"/>
  <c r="G17" i="16"/>
  <c r="Z16" i="12" s="1"/>
  <c r="G18" i="16"/>
  <c r="BC16" i="12" s="1"/>
  <c r="G19" i="16"/>
  <c r="AU8" i="12" s="1"/>
  <c r="G20" i="16"/>
  <c r="AU9" i="12" s="1"/>
  <c r="G21" i="16"/>
  <c r="AU10" i="12" s="1"/>
  <c r="G22" i="16"/>
  <c r="AU11" i="12" s="1"/>
  <c r="G23" i="16"/>
  <c r="AU12" i="12" s="1"/>
  <c r="G24" i="16"/>
  <c r="BC20" i="12" s="1"/>
  <c r="G25" i="16"/>
  <c r="AU13" i="12" s="1"/>
  <c r="G26" i="16"/>
  <c r="AU14" i="12" s="1"/>
  <c r="G27" i="16"/>
  <c r="AU15" i="12" s="1"/>
  <c r="G28" i="16"/>
  <c r="Z27" i="12" s="1"/>
  <c r="G29" i="16"/>
  <c r="K28" i="12" s="1"/>
  <c r="G30" i="16"/>
  <c r="K29" i="12" s="1"/>
  <c r="G31" i="16"/>
  <c r="K30" i="12" s="1"/>
  <c r="G32" i="16"/>
  <c r="K31" i="12" s="1"/>
  <c r="G33" i="16"/>
  <c r="AU16" i="12" s="1"/>
  <c r="G34" i="16"/>
  <c r="K33" i="12" s="1"/>
  <c r="G35" i="16"/>
  <c r="K34" i="12" s="1"/>
  <c r="G36" i="16"/>
  <c r="BC31" i="12" s="1"/>
  <c r="G37" i="16"/>
  <c r="Z36" i="12" s="1"/>
  <c r="G38" i="16"/>
  <c r="Z37" i="12" s="1"/>
  <c r="G43" i="16"/>
  <c r="AL31" i="12" s="1"/>
  <c r="G44" i="16"/>
  <c r="K39" i="12" s="1"/>
  <c r="G45" i="16"/>
  <c r="BC36" i="12" s="1"/>
  <c r="G46" i="16"/>
  <c r="AL34" i="12" s="1"/>
  <c r="G47" i="16"/>
  <c r="AL35" i="12" s="1"/>
  <c r="G49" i="16"/>
  <c r="K43" i="12" s="1"/>
  <c r="G50" i="16"/>
  <c r="K44" i="12" s="1"/>
  <c r="G52" i="16"/>
  <c r="K45" i="12" s="1"/>
  <c r="G3" i="16"/>
  <c r="K5" i="12" s="1"/>
  <c r="AO6" i="12" l="1"/>
  <c r="AO15" i="12"/>
  <c r="AO19" i="12"/>
  <c r="AO7" i="12"/>
  <c r="AO17" i="12"/>
  <c r="AO18" i="12"/>
  <c r="AO8" i="12"/>
  <c r="AO27" i="12"/>
  <c r="AO28" i="12"/>
  <c r="AO13" i="12"/>
  <c r="AO26" i="12"/>
  <c r="AO29" i="12"/>
  <c r="AO12" i="12"/>
  <c r="AO25" i="12"/>
  <c r="AO35" i="12"/>
  <c r="AO11" i="12"/>
  <c r="AO24" i="12"/>
  <c r="AO34" i="12"/>
  <c r="AO10" i="12"/>
  <c r="AO23" i="12"/>
  <c r="AO33" i="12"/>
  <c r="AO9" i="12"/>
  <c r="AO22" i="12"/>
  <c r="AO32" i="12"/>
  <c r="AO14" i="12"/>
  <c r="AO21" i="12"/>
  <c r="AO31" i="12"/>
  <c r="AO5" i="12"/>
  <c r="AO16" i="12"/>
  <c r="AO20" i="12"/>
  <c r="AO30" i="12"/>
  <c r="C55" i="16"/>
  <c r="E56" i="16"/>
  <c r="H55" i="16"/>
  <c r="G55" i="16"/>
  <c r="C56" i="16"/>
  <c r="C57" i="16" s="1"/>
  <c r="E55" i="16"/>
  <c r="B56" i="16"/>
  <c r="B57" i="16" s="1"/>
  <c r="H56" i="16"/>
  <c r="H57" i="16" s="1"/>
  <c r="G56" i="16"/>
  <c r="G57" i="16" s="1"/>
  <c r="B55" i="16"/>
  <c r="E12" i="12"/>
  <c r="AK30" i="12"/>
  <c r="AL30" i="12"/>
  <c r="E6" i="12"/>
  <c r="E13" i="12"/>
  <c r="E11" i="12"/>
  <c r="E7" i="12"/>
  <c r="E8" i="12"/>
  <c r="E9" i="12"/>
  <c r="E10" i="12"/>
  <c r="N25" i="12"/>
  <c r="N38" i="12"/>
  <c r="E5" i="12"/>
  <c r="M14" i="12"/>
  <c r="E14" i="12"/>
  <c r="M20" i="12"/>
  <c r="E16" i="12"/>
  <c r="M22" i="12"/>
  <c r="E15" i="12"/>
  <c r="M43" i="12"/>
  <c r="E25" i="12"/>
  <c r="N14" i="12"/>
  <c r="E32" i="12"/>
  <c r="N18" i="12"/>
  <c r="E39" i="12"/>
  <c r="M17" i="12"/>
  <c r="M7" i="12"/>
  <c r="M25" i="12"/>
  <c r="M33" i="12"/>
  <c r="M46" i="12"/>
  <c r="N7" i="12"/>
  <c r="N28" i="12"/>
  <c r="N34" i="12"/>
  <c r="N45" i="12"/>
  <c r="E18" i="12"/>
  <c r="M16" i="12"/>
  <c r="M6" i="12"/>
  <c r="M24" i="12"/>
  <c r="M37" i="12"/>
  <c r="N16" i="12"/>
  <c r="N6" i="12"/>
  <c r="N27" i="12"/>
  <c r="N33" i="12"/>
  <c r="N46" i="12"/>
  <c r="E17" i="12"/>
  <c r="M15" i="12"/>
  <c r="M18" i="12"/>
  <c r="M23" i="12"/>
  <c r="M38" i="12"/>
  <c r="N15" i="12"/>
  <c r="N17" i="12"/>
  <c r="N26" i="12"/>
  <c r="N37" i="12"/>
  <c r="E33" i="12"/>
  <c r="M13" i="12"/>
  <c r="M19" i="12"/>
  <c r="M31" i="12"/>
  <c r="M42" i="12"/>
  <c r="N13" i="12"/>
  <c r="N20" i="12"/>
  <c r="N24" i="12"/>
  <c r="N44" i="12"/>
  <c r="E24" i="12"/>
  <c r="E31" i="12"/>
  <c r="E38" i="12"/>
  <c r="M12" i="12"/>
  <c r="M21" i="12"/>
  <c r="M30" i="12"/>
  <c r="M41" i="12"/>
  <c r="N12" i="12"/>
  <c r="N19" i="12"/>
  <c r="N23" i="12"/>
  <c r="N43" i="12"/>
  <c r="E23" i="12"/>
  <c r="E30" i="12"/>
  <c r="E37" i="12"/>
  <c r="M11" i="12"/>
  <c r="M29" i="12"/>
  <c r="M32" i="12"/>
  <c r="M40" i="12"/>
  <c r="N11" i="12"/>
  <c r="N21" i="12"/>
  <c r="N22" i="12"/>
  <c r="N42" i="12"/>
  <c r="E22" i="12"/>
  <c r="E29" i="12"/>
  <c r="E36" i="12"/>
  <c r="M10" i="12"/>
  <c r="M28" i="12"/>
  <c r="M36" i="12"/>
  <c r="M39" i="12"/>
  <c r="N10" i="12"/>
  <c r="N31" i="12"/>
  <c r="N32" i="12"/>
  <c r="N41" i="12"/>
  <c r="E21" i="12"/>
  <c r="E28" i="12"/>
  <c r="E35" i="12"/>
  <c r="N5" i="12"/>
  <c r="M9" i="12"/>
  <c r="M27" i="12"/>
  <c r="M35" i="12"/>
  <c r="M44" i="12"/>
  <c r="N9" i="12"/>
  <c r="N30" i="12"/>
  <c r="N36" i="12"/>
  <c r="N40" i="12"/>
  <c r="E20" i="12"/>
  <c r="E27" i="12"/>
  <c r="E34" i="12"/>
  <c r="M5" i="12"/>
  <c r="M8" i="12"/>
  <c r="M26" i="12"/>
  <c r="M34" i="12"/>
  <c r="M45" i="12"/>
  <c r="N8" i="12"/>
  <c r="N29" i="12"/>
  <c r="N35" i="12"/>
  <c r="N39" i="12"/>
  <c r="E19" i="12"/>
  <c r="E26" i="12"/>
  <c r="E40" i="12"/>
  <c r="P35" i="12"/>
  <c r="P25" i="12"/>
  <c r="P15" i="12"/>
  <c r="P44" i="12"/>
  <c r="P5" i="12"/>
  <c r="P34" i="12"/>
  <c r="P24" i="12"/>
  <c r="P14" i="12"/>
  <c r="P53" i="12"/>
  <c r="P43" i="12"/>
  <c r="P33" i="12"/>
  <c r="P23" i="12"/>
  <c r="P13" i="12"/>
  <c r="P32" i="12"/>
  <c r="P51" i="12"/>
  <c r="P41" i="12"/>
  <c r="P31" i="12"/>
  <c r="P21" i="12"/>
  <c r="P11" i="12"/>
  <c r="P50" i="12"/>
  <c r="P40" i="12"/>
  <c r="P30" i="12"/>
  <c r="P20" i="12"/>
  <c r="P10" i="12"/>
  <c r="P49" i="12"/>
  <c r="P42" i="12"/>
  <c r="P22" i="12"/>
  <c r="P12" i="12"/>
  <c r="P39" i="12"/>
  <c r="P29" i="12"/>
  <c r="P19" i="12"/>
  <c r="P9" i="12"/>
  <c r="P48" i="12"/>
  <c r="P38" i="12"/>
  <c r="P28" i="12"/>
  <c r="P18" i="12"/>
  <c r="P8" i="12"/>
  <c r="P47" i="12"/>
  <c r="P37" i="12"/>
  <c r="P27" i="12"/>
  <c r="P7" i="12"/>
  <c r="P46" i="12"/>
  <c r="P36" i="12"/>
  <c r="P26" i="12"/>
  <c r="P16" i="12"/>
  <c r="P6" i="12"/>
  <c r="P45" i="12"/>
  <c r="AE7" i="12"/>
  <c r="AB19" i="12"/>
  <c r="AB23" i="12"/>
  <c r="AB42" i="12"/>
  <c r="AE37" i="12"/>
  <c r="AB12" i="12"/>
  <c r="AB26" i="12"/>
  <c r="AB37" i="12"/>
  <c r="AE27" i="12"/>
  <c r="AB18" i="12"/>
  <c r="AB25" i="12"/>
  <c r="AB38" i="12"/>
  <c r="AE17" i="12"/>
  <c r="AB20" i="12"/>
  <c r="AB24" i="12"/>
  <c r="AB43" i="12"/>
  <c r="AE46" i="12"/>
  <c r="AB21" i="12"/>
  <c r="AB22" i="12"/>
  <c r="AB41" i="12"/>
  <c r="AQ8" i="12"/>
  <c r="AC10" i="12"/>
  <c r="AB31" i="12"/>
  <c r="AB32" i="12"/>
  <c r="AB40" i="12"/>
  <c r="AQ28" i="12"/>
  <c r="AC30" i="12"/>
  <c r="AB30" i="12"/>
  <c r="AB36" i="12"/>
  <c r="AB39" i="12"/>
  <c r="AN14" i="12"/>
  <c r="AC36" i="12"/>
  <c r="AB29" i="12"/>
  <c r="AB35" i="12"/>
  <c r="AB44" i="12"/>
  <c r="AN15" i="12"/>
  <c r="AC40" i="12"/>
  <c r="AB28" i="12"/>
  <c r="AB34" i="12"/>
  <c r="AB45" i="12"/>
  <c r="AN26" i="12"/>
  <c r="AB15" i="12"/>
  <c r="AB27" i="12"/>
  <c r="AB33" i="12"/>
  <c r="AB46" i="12"/>
  <c r="AN13" i="12"/>
  <c r="AE40" i="12"/>
  <c r="AE30" i="12"/>
  <c r="AE20" i="12"/>
  <c r="AE10" i="12"/>
  <c r="AE49" i="12"/>
  <c r="AC13" i="12"/>
  <c r="AC19" i="12"/>
  <c r="AC23" i="12"/>
  <c r="AC43" i="12"/>
  <c r="AQ13" i="12"/>
  <c r="AE39" i="12"/>
  <c r="AE29" i="12"/>
  <c r="AE19" i="12"/>
  <c r="AE9" i="12"/>
  <c r="AE48" i="12"/>
  <c r="AC12" i="12"/>
  <c r="AC21" i="12"/>
  <c r="AC22" i="12"/>
  <c r="AC42" i="12"/>
  <c r="AB14" i="12"/>
  <c r="AQ11" i="12"/>
  <c r="AE38" i="12"/>
  <c r="AE28" i="12"/>
  <c r="AE18" i="12"/>
  <c r="AE8" i="12"/>
  <c r="AE47" i="12"/>
  <c r="AC11" i="12"/>
  <c r="AC31" i="12"/>
  <c r="AC32" i="12"/>
  <c r="AC41" i="12"/>
  <c r="AB13" i="12"/>
  <c r="AQ25" i="12"/>
  <c r="AN19" i="12"/>
  <c r="AE36" i="12"/>
  <c r="AE26" i="12"/>
  <c r="AE16" i="12"/>
  <c r="AE6" i="12"/>
  <c r="AE45" i="12"/>
  <c r="AC9" i="12"/>
  <c r="AC29" i="12"/>
  <c r="AC35" i="12"/>
  <c r="AC39" i="12"/>
  <c r="AB11" i="12"/>
  <c r="AQ18" i="12"/>
  <c r="AN18" i="12"/>
  <c r="AE35" i="12"/>
  <c r="AE25" i="12"/>
  <c r="AE15" i="12"/>
  <c r="AE44" i="12"/>
  <c r="AC5" i="12"/>
  <c r="AC8" i="12"/>
  <c r="AC28" i="12"/>
  <c r="AC34" i="12"/>
  <c r="AC45" i="12"/>
  <c r="AB10" i="12"/>
  <c r="AQ15" i="12"/>
  <c r="AN29" i="12"/>
  <c r="AE5" i="12"/>
  <c r="AE34" i="12"/>
  <c r="AE24" i="12"/>
  <c r="AE14" i="12"/>
  <c r="AE53" i="12"/>
  <c r="AC17" i="12"/>
  <c r="AC7" i="12"/>
  <c r="AC27" i="12"/>
  <c r="AC33" i="12"/>
  <c r="AC46" i="12"/>
  <c r="AB9" i="12"/>
  <c r="AQ36" i="12"/>
  <c r="AE43" i="12"/>
  <c r="AE33" i="12"/>
  <c r="AE23" i="12"/>
  <c r="AE13" i="12"/>
  <c r="AC16" i="12"/>
  <c r="AC6" i="12"/>
  <c r="AC26" i="12"/>
  <c r="AC37" i="12"/>
  <c r="AB5" i="12"/>
  <c r="AB8" i="12"/>
  <c r="AQ35" i="12"/>
  <c r="AE42" i="12"/>
  <c r="AE32" i="12"/>
  <c r="AE22" i="12"/>
  <c r="AE12" i="12"/>
  <c r="AE51" i="12"/>
  <c r="AC15" i="12"/>
  <c r="AC18" i="12"/>
  <c r="AC25" i="12"/>
  <c r="AC38" i="12"/>
  <c r="AB7" i="12"/>
  <c r="AN6" i="12"/>
  <c r="AE41" i="12"/>
  <c r="AE31" i="12"/>
  <c r="AE21" i="12"/>
  <c r="AE11" i="12"/>
  <c r="AE50" i="12"/>
  <c r="AC14" i="12"/>
  <c r="AC20" i="12"/>
  <c r="AC24" i="12"/>
  <c r="AC44" i="12"/>
  <c r="AB16" i="12"/>
  <c r="AB6" i="12"/>
  <c r="AQ27" i="12"/>
  <c r="AQ17" i="12"/>
  <c r="AN7" i="12"/>
  <c r="AN17" i="12"/>
  <c r="AQ12" i="12"/>
  <c r="AQ26" i="12"/>
  <c r="AQ16" i="12"/>
  <c r="AQ34" i="12"/>
  <c r="AN8" i="12"/>
  <c r="AN27" i="12"/>
  <c r="AN28" i="12"/>
  <c r="AQ10" i="12"/>
  <c r="AQ24" i="12"/>
  <c r="AQ32" i="12"/>
  <c r="AN12" i="12"/>
  <c r="AN25" i="12"/>
  <c r="AN35" i="12"/>
  <c r="AQ9" i="12"/>
  <c r="AQ23" i="12"/>
  <c r="AQ33" i="12"/>
  <c r="AN11" i="12"/>
  <c r="AN24" i="12"/>
  <c r="AN34" i="12"/>
  <c r="AQ14" i="12"/>
  <c r="AQ22" i="12"/>
  <c r="AQ40" i="12"/>
  <c r="AN10" i="12"/>
  <c r="AN23" i="12"/>
  <c r="AN33" i="12"/>
  <c r="AQ5" i="12"/>
  <c r="AQ31" i="12"/>
  <c r="AQ21" i="12"/>
  <c r="AQ39" i="12"/>
  <c r="AN9" i="12"/>
  <c r="AN22" i="12"/>
  <c r="AN32" i="12"/>
  <c r="AQ6" i="12"/>
  <c r="AQ30" i="12"/>
  <c r="AQ20" i="12"/>
  <c r="AQ38" i="12"/>
  <c r="AN21" i="12"/>
  <c r="AN31" i="12"/>
  <c r="AQ7" i="12"/>
  <c r="AQ29" i="12"/>
  <c r="AQ19" i="12"/>
  <c r="AQ37" i="12"/>
  <c r="AN5" i="12"/>
  <c r="AN16" i="12"/>
  <c r="AN20" i="12"/>
  <c r="AN30" i="12"/>
  <c r="AK11" i="12"/>
  <c r="BI32" i="12"/>
  <c r="BI14" i="12"/>
  <c r="BI20" i="12"/>
  <c r="BI24" i="12"/>
  <c r="BI44" i="12"/>
  <c r="BF11" i="12"/>
  <c r="BI13" i="12"/>
  <c r="BI19" i="12"/>
  <c r="BI23" i="12"/>
  <c r="BI43" i="12"/>
  <c r="BI12" i="12"/>
  <c r="BI21" i="12"/>
  <c r="BI22" i="12"/>
  <c r="BI42" i="12"/>
  <c r="BI11" i="12"/>
  <c r="BI31" i="12"/>
  <c r="BI41" i="12"/>
  <c r="AK19" i="12"/>
  <c r="BI10" i="12"/>
  <c r="BI30" i="12"/>
  <c r="BI36" i="12"/>
  <c r="BI40" i="12"/>
  <c r="Z40" i="12"/>
  <c r="BI9" i="12"/>
  <c r="BI29" i="12"/>
  <c r="BI35" i="12"/>
  <c r="BI39" i="12"/>
  <c r="BI5" i="12"/>
  <c r="BI8" i="12"/>
  <c r="BI28" i="12"/>
  <c r="BI34" i="12"/>
  <c r="BI7" i="12"/>
  <c r="BI27" i="12"/>
  <c r="BI33" i="12"/>
  <c r="BI46" i="12"/>
  <c r="BI16" i="12"/>
  <c r="BI6" i="12"/>
  <c r="BI26" i="12"/>
  <c r="BI37" i="12"/>
  <c r="BI15" i="12"/>
  <c r="BI18" i="12"/>
  <c r="BI25" i="12"/>
  <c r="BI38" i="12"/>
  <c r="J22" i="12"/>
  <c r="BD22" i="12"/>
  <c r="AK5" i="12"/>
  <c r="Z32" i="12"/>
  <c r="J21" i="12"/>
  <c r="Z22" i="12"/>
  <c r="J41" i="12"/>
  <c r="AK12" i="12"/>
  <c r="Z42" i="12"/>
  <c r="J11" i="12"/>
  <c r="BC11" i="12"/>
  <c r="BF42" i="12"/>
  <c r="AK29" i="12"/>
  <c r="Y12" i="12"/>
  <c r="BC9" i="12"/>
  <c r="AL7" i="12"/>
  <c r="AK21" i="12"/>
  <c r="BC26" i="12"/>
  <c r="AL27" i="12"/>
  <c r="Y38" i="12"/>
  <c r="AL25" i="12"/>
  <c r="AK31" i="12"/>
  <c r="Y42" i="12"/>
  <c r="J31" i="12"/>
  <c r="BD7" i="12"/>
  <c r="AL17" i="12"/>
  <c r="AK33" i="12"/>
  <c r="K11" i="12"/>
  <c r="J39" i="12"/>
  <c r="J23" i="12"/>
  <c r="AL15" i="12"/>
  <c r="Z9" i="12"/>
  <c r="K42" i="12"/>
  <c r="J24" i="12"/>
  <c r="J42" i="12"/>
  <c r="BC12" i="12"/>
  <c r="BC18" i="12"/>
  <c r="BC19" i="12"/>
  <c r="BC35" i="12"/>
  <c r="BF14" i="12"/>
  <c r="BF37" i="12"/>
  <c r="BF27" i="12"/>
  <c r="BF17" i="12"/>
  <c r="AL28" i="12"/>
  <c r="AL18" i="12"/>
  <c r="AL33" i="12"/>
  <c r="AK9" i="12"/>
  <c r="AK22" i="12"/>
  <c r="Z12" i="12"/>
  <c r="Z35" i="12"/>
  <c r="Z25" i="12"/>
  <c r="Z38" i="12"/>
  <c r="Y13" i="12"/>
  <c r="Y36" i="12"/>
  <c r="Y26" i="12"/>
  <c r="Y16" i="12"/>
  <c r="K14" i="12"/>
  <c r="K37" i="12"/>
  <c r="K27" i="12"/>
  <c r="K17" i="12"/>
  <c r="BC28" i="12"/>
  <c r="BC29" i="12"/>
  <c r="BC39" i="12"/>
  <c r="BF13" i="12"/>
  <c r="BF36" i="12"/>
  <c r="BF26" i="12"/>
  <c r="BF16" i="12"/>
  <c r="AL5" i="12"/>
  <c r="AL32" i="12"/>
  <c r="AK35" i="12"/>
  <c r="Z11" i="12"/>
  <c r="Z34" i="12"/>
  <c r="Z24" i="12"/>
  <c r="Y25" i="12"/>
  <c r="K13" i="12"/>
  <c r="K36" i="12"/>
  <c r="K26" i="12"/>
  <c r="K16" i="12"/>
  <c r="J9" i="12"/>
  <c r="J32" i="12"/>
  <c r="J40" i="12"/>
  <c r="BC10" i="12"/>
  <c r="BC27" i="12"/>
  <c r="BC33" i="12"/>
  <c r="BC40" i="12"/>
  <c r="BD23" i="12"/>
  <c r="BF12" i="12"/>
  <c r="BF35" i="12"/>
  <c r="BF25" i="12"/>
  <c r="BF38" i="12"/>
  <c r="AL6" i="12"/>
  <c r="AL26" i="12"/>
  <c r="AL16" i="12"/>
  <c r="AL36" i="12"/>
  <c r="AK20" i="12"/>
  <c r="AK34" i="12"/>
  <c r="Z10" i="12"/>
  <c r="Z33" i="12"/>
  <c r="Z23" i="12"/>
  <c r="Z41" i="12"/>
  <c r="Y11" i="12"/>
  <c r="Y24" i="12"/>
  <c r="Y39" i="12"/>
  <c r="K12" i="12"/>
  <c r="K35" i="12"/>
  <c r="K25" i="12"/>
  <c r="K38" i="12"/>
  <c r="J7" i="12"/>
  <c r="J30" i="12"/>
  <c r="J20" i="12"/>
  <c r="J43" i="12"/>
  <c r="BC8" i="12"/>
  <c r="BC25" i="12"/>
  <c r="BD17" i="12"/>
  <c r="BD21" i="12"/>
  <c r="BF10" i="12"/>
  <c r="BF33" i="12"/>
  <c r="BF23" i="12"/>
  <c r="BF41" i="12"/>
  <c r="AL8" i="12"/>
  <c r="AL24" i="12"/>
  <c r="AL14" i="12"/>
  <c r="AK28" i="12"/>
  <c r="AK18" i="12"/>
  <c r="AK32" i="12"/>
  <c r="Z8" i="12"/>
  <c r="Z31" i="12"/>
  <c r="Z21" i="12"/>
  <c r="Z39" i="12"/>
  <c r="Y9" i="12"/>
  <c r="Y32" i="12"/>
  <c r="Y22" i="12"/>
  <c r="Y41" i="12"/>
  <c r="K23" i="12"/>
  <c r="K41" i="12"/>
  <c r="J6" i="12"/>
  <c r="J29" i="12"/>
  <c r="J19" i="12"/>
  <c r="J44" i="12"/>
  <c r="BC7" i="12"/>
  <c r="BC24" i="12"/>
  <c r="BC30" i="12"/>
  <c r="BF9" i="12"/>
  <c r="BF32" i="12"/>
  <c r="BF22" i="12"/>
  <c r="BF40" i="12"/>
  <c r="AL11" i="12"/>
  <c r="AL23" i="12"/>
  <c r="AL13" i="12"/>
  <c r="AK6" i="12"/>
  <c r="AK27" i="12"/>
  <c r="AK17" i="12"/>
  <c r="AK36" i="12"/>
  <c r="Z7" i="12"/>
  <c r="Z30" i="12"/>
  <c r="Z20" i="12"/>
  <c r="Z43" i="12"/>
  <c r="Y31" i="12"/>
  <c r="Y21" i="12"/>
  <c r="Y40" i="12"/>
  <c r="K32" i="12"/>
  <c r="K22" i="12"/>
  <c r="K40" i="12"/>
  <c r="BC32" i="12"/>
  <c r="BF34" i="12"/>
  <c r="BF24" i="12"/>
  <c r="AL37" i="12"/>
  <c r="Y23" i="12"/>
  <c r="K24" i="12"/>
  <c r="J15" i="12"/>
  <c r="J28" i="12"/>
  <c r="J18" i="12"/>
  <c r="BC6" i="12"/>
  <c r="BC23" i="12"/>
  <c r="BC34" i="12"/>
  <c r="BD12" i="12"/>
  <c r="BD18" i="12"/>
  <c r="BD19" i="12"/>
  <c r="BF8" i="12"/>
  <c r="BF31" i="12"/>
  <c r="BF21" i="12"/>
  <c r="BF39" i="12"/>
  <c r="AL10" i="12"/>
  <c r="AL22" i="12"/>
  <c r="AK7" i="12"/>
  <c r="AK26" i="12"/>
  <c r="AK16" i="12"/>
  <c r="AK37" i="12"/>
  <c r="Z6" i="12"/>
  <c r="Z29" i="12"/>
  <c r="Z19" i="12"/>
  <c r="Z44" i="12"/>
  <c r="Y7" i="12"/>
  <c r="Y30" i="12"/>
  <c r="Y20" i="12"/>
  <c r="Y43" i="12"/>
  <c r="K21" i="12"/>
  <c r="J14" i="12"/>
  <c r="J27" i="12"/>
  <c r="J17" i="12"/>
  <c r="BC5" i="12"/>
  <c r="BC15" i="12"/>
  <c r="BC22" i="12"/>
  <c r="BC38" i="12"/>
  <c r="BD11" i="12"/>
  <c r="BF7" i="12"/>
  <c r="BF30" i="12"/>
  <c r="BF20" i="12"/>
  <c r="BF43" i="12"/>
  <c r="AL9" i="12"/>
  <c r="AL21" i="12"/>
  <c r="AK8" i="12"/>
  <c r="AK25" i="12"/>
  <c r="AK15" i="12"/>
  <c r="Z5" i="12"/>
  <c r="Z15" i="12"/>
  <c r="Z28" i="12"/>
  <c r="Z18" i="12"/>
  <c r="Z45" i="12"/>
  <c r="Y6" i="12"/>
  <c r="Y29" i="12"/>
  <c r="Y19" i="12"/>
  <c r="Y44" i="12"/>
  <c r="K7" i="12"/>
  <c r="K20" i="12"/>
  <c r="J13" i="12"/>
  <c r="J36" i="12"/>
  <c r="J26" i="12"/>
  <c r="J16" i="12"/>
  <c r="BC14" i="12"/>
  <c r="BC17" i="12"/>
  <c r="BC21" i="12"/>
  <c r="BC37" i="12"/>
  <c r="BF6" i="12"/>
  <c r="BF29" i="12"/>
  <c r="BF19" i="12"/>
  <c r="BF44" i="12"/>
  <c r="AL12" i="12"/>
  <c r="AL20" i="12"/>
  <c r="AK24" i="12"/>
  <c r="AK14" i="12"/>
  <c r="Z17" i="12"/>
  <c r="Y15" i="12"/>
  <c r="Y28" i="12"/>
  <c r="Y18" i="12"/>
  <c r="K19" i="12"/>
  <c r="J12" i="12"/>
  <c r="J25" i="12"/>
  <c r="J38" i="12"/>
  <c r="BC13" i="12"/>
  <c r="BF5" i="12"/>
  <c r="BF15" i="12"/>
  <c r="BF28" i="12"/>
  <c r="BF18" i="12"/>
  <c r="BF45" i="12"/>
  <c r="AL29" i="12"/>
  <c r="AL19" i="12"/>
  <c r="AK10" i="12"/>
  <c r="AK23" i="12"/>
  <c r="AK13" i="12"/>
  <c r="Z26" i="12"/>
  <c r="Y14" i="12"/>
  <c r="Y27" i="12"/>
  <c r="Y17" i="12"/>
  <c r="K18" i="12"/>
  <c r="V5" i="12"/>
  <c r="V7" i="12"/>
  <c r="AH13" i="12"/>
  <c r="V6" i="12"/>
  <c r="V15" i="12"/>
  <c r="V17" i="12"/>
  <c r="AH19" i="12"/>
  <c r="AH20" i="12"/>
  <c r="G12" i="12"/>
  <c r="G22" i="12"/>
  <c r="V14" i="12"/>
  <c r="AH9" i="12"/>
  <c r="G13" i="12"/>
  <c r="G23" i="12"/>
  <c r="AH10" i="12"/>
  <c r="G14" i="12"/>
  <c r="V16" i="12"/>
  <c r="AH14" i="12"/>
  <c r="G6" i="12"/>
  <c r="G16" i="12"/>
  <c r="V8" i="12"/>
  <c r="V18" i="12"/>
  <c r="AH12" i="12"/>
  <c r="G7" i="12"/>
  <c r="G17" i="12"/>
  <c r="V9" i="12"/>
  <c r="AH11" i="12"/>
  <c r="G8" i="12"/>
  <c r="G18" i="12"/>
  <c r="V10" i="12"/>
  <c r="AH5" i="12"/>
  <c r="AH15" i="12"/>
  <c r="G9" i="12"/>
  <c r="V11" i="12"/>
  <c r="AH6" i="12"/>
  <c r="AH17" i="12"/>
  <c r="G5" i="12"/>
  <c r="G15" i="12"/>
  <c r="G10" i="12"/>
  <c r="V12" i="12"/>
  <c r="V22" i="12"/>
  <c r="AH7" i="12"/>
  <c r="AH16" i="12"/>
  <c r="G11" i="12"/>
  <c r="V13" i="12"/>
  <c r="V23" i="12"/>
  <c r="AH8" i="12"/>
  <c r="AH18" i="12"/>
  <c r="E57" i="16" l="1"/>
  <c r="B56" i="12" l="1"/>
  <c r="J52" i="15" l="1"/>
  <c r="J47" i="15"/>
  <c r="J41" i="15"/>
  <c r="J38" i="15"/>
  <c r="J35" i="15"/>
  <c r="J34" i="15"/>
  <c r="J29" i="15"/>
  <c r="J28" i="15"/>
  <c r="J19" i="15"/>
  <c r="J14" i="15"/>
  <c r="J13" i="15"/>
  <c r="J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3" i="15"/>
  <c r="E4" i="15"/>
  <c r="E5" i="15"/>
  <c r="E6" i="15"/>
  <c r="E7" i="15"/>
  <c r="J7" i="15" s="1"/>
  <c r="E8" i="15"/>
  <c r="E9" i="15"/>
  <c r="E10" i="15"/>
  <c r="E11" i="15"/>
  <c r="E12" i="15"/>
  <c r="J11" i="15" s="1"/>
  <c r="E13" i="15"/>
  <c r="E14" i="15"/>
  <c r="E15" i="15"/>
  <c r="J15" i="15" s="1"/>
  <c r="E16" i="15"/>
  <c r="E17" i="15"/>
  <c r="E18" i="15"/>
  <c r="E19" i="15"/>
  <c r="E20" i="15"/>
  <c r="E21" i="15"/>
  <c r="E22" i="15"/>
  <c r="J22" i="15" s="1"/>
  <c r="E23" i="15"/>
  <c r="J23" i="15" s="1"/>
  <c r="E24" i="15"/>
  <c r="J24" i="15" s="1"/>
  <c r="E25" i="15"/>
  <c r="J25" i="15" s="1"/>
  <c r="E26" i="15"/>
  <c r="J26" i="15" s="1"/>
  <c r="E27" i="15"/>
  <c r="J27" i="15" s="1"/>
  <c r="E28" i="15"/>
  <c r="E29" i="15"/>
  <c r="E30" i="15"/>
  <c r="J30" i="15" s="1"/>
  <c r="E31" i="15"/>
  <c r="J31" i="15" s="1"/>
  <c r="E32" i="15"/>
  <c r="J32" i="15" s="1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J48" i="15" s="1"/>
  <c r="E49" i="15"/>
  <c r="E50" i="15"/>
  <c r="E51" i="15"/>
  <c r="J51" i="15" s="1"/>
  <c r="E52" i="15"/>
  <c r="E3" i="15"/>
  <c r="J8" i="15" l="1"/>
  <c r="J17" i="15"/>
  <c r="J43" i="15"/>
  <c r="J49" i="15"/>
  <c r="J18" i="15"/>
  <c r="J46" i="15"/>
  <c r="J12" i="15"/>
  <c r="J37" i="15"/>
  <c r="J6" i="15"/>
  <c r="J45" i="15"/>
  <c r="J5" i="15"/>
  <c r="J36" i="15"/>
  <c r="J44" i="15"/>
  <c r="J4" i="15"/>
  <c r="H3" i="13" l="1"/>
  <c r="D3" i="16" l="1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D43" i="16" s="1"/>
  <c r="Q44" i="12" s="1"/>
  <c r="H44" i="13"/>
  <c r="D44" i="16" s="1"/>
  <c r="Q45" i="12" s="1"/>
  <c r="H45" i="13"/>
  <c r="D45" i="16" s="1"/>
  <c r="Q46" i="12" s="1"/>
  <c r="H46" i="13"/>
  <c r="D46" i="16" s="1"/>
  <c r="Q47" i="12" s="1"/>
  <c r="H47" i="13"/>
  <c r="D47" i="16" s="1"/>
  <c r="Q48" i="12" s="1"/>
  <c r="H48" i="13"/>
  <c r="D48" i="16" s="1"/>
  <c r="Q49" i="12" s="1"/>
  <c r="H49" i="13"/>
  <c r="D49" i="16" s="1"/>
  <c r="Q50" i="12" s="1"/>
  <c r="H50" i="13"/>
  <c r="D50" i="16" s="1"/>
  <c r="Q51" i="12" s="1"/>
  <c r="H51" i="13"/>
  <c r="D51" i="16" s="1"/>
  <c r="Q52" i="12" s="1"/>
  <c r="H52" i="13"/>
  <c r="D52" i="16" s="1"/>
  <c r="AF53" i="12" l="1"/>
  <c r="Q53" i="12"/>
  <c r="AF5" i="12"/>
  <c r="Q5" i="12"/>
  <c r="BJ45" i="12"/>
  <c r="AF52" i="12"/>
  <c r="AR40" i="12"/>
  <c r="AF51" i="12"/>
  <c r="AR39" i="12"/>
  <c r="AF50" i="12"/>
  <c r="AR38" i="12"/>
  <c r="AF49" i="12"/>
  <c r="AR37" i="12"/>
  <c r="AF48" i="12"/>
  <c r="AR36" i="12"/>
  <c r="AF47" i="12"/>
  <c r="AR35" i="12"/>
  <c r="AF46" i="12"/>
  <c r="AR34" i="12"/>
  <c r="AF45" i="12"/>
  <c r="AR33" i="12"/>
  <c r="AF44" i="12"/>
  <c r="BG43" i="12"/>
  <c r="BJ44" i="12"/>
  <c r="BA22" i="12"/>
  <c r="BJ43" i="12"/>
  <c r="BG41" i="12"/>
  <c r="BJ41" i="12"/>
  <c r="BG40" i="12"/>
  <c r="BJ40" i="12"/>
  <c r="BG39" i="12"/>
  <c r="BJ39" i="12"/>
  <c r="BG38" i="12"/>
  <c r="BJ38" i="12"/>
  <c r="BG5" i="12"/>
  <c r="BJ5" i="12"/>
  <c r="BG42" i="12"/>
  <c r="BJ42" i="12"/>
  <c r="BG45" i="12"/>
  <c r="BJ46" i="12"/>
  <c r="BA23" i="12"/>
  <c r="BG44" i="12"/>
  <c r="D41" i="16"/>
  <c r="D31" i="16"/>
  <c r="Q33" i="12" s="1"/>
  <c r="D21" i="16"/>
  <c r="Q23" i="12" s="1"/>
  <c r="D11" i="16"/>
  <c r="Q13" i="12" s="1"/>
  <c r="D40" i="16"/>
  <c r="Q42" i="12" s="1"/>
  <c r="D30" i="16"/>
  <c r="Q32" i="12" s="1"/>
  <c r="D20" i="16"/>
  <c r="Q22" i="12" s="1"/>
  <c r="D10" i="16"/>
  <c r="D39" i="16"/>
  <c r="Q41" i="12" s="1"/>
  <c r="D29" i="16"/>
  <c r="Q31" i="12" s="1"/>
  <c r="D19" i="16"/>
  <c r="D9" i="16"/>
  <c r="D38" i="16"/>
  <c r="D28" i="16"/>
  <c r="Q30" i="12" s="1"/>
  <c r="D18" i="16"/>
  <c r="Q20" i="12" s="1"/>
  <c r="D8" i="16"/>
  <c r="D37" i="16"/>
  <c r="Q39" i="12" s="1"/>
  <c r="D27" i="16"/>
  <c r="D17" i="16"/>
  <c r="Q19" i="12" s="1"/>
  <c r="D7" i="16"/>
  <c r="Q9" i="12" s="1"/>
  <c r="D36" i="16"/>
  <c r="D26" i="16"/>
  <c r="D16" i="16"/>
  <c r="D6" i="16"/>
  <c r="D35" i="16"/>
  <c r="D25" i="16"/>
  <c r="D15" i="16"/>
  <c r="Q17" i="12" s="1"/>
  <c r="D5" i="16"/>
  <c r="D34" i="16"/>
  <c r="D24" i="16"/>
  <c r="Q26" i="12" s="1"/>
  <c r="D14" i="16"/>
  <c r="Q16" i="12" s="1"/>
  <c r="D4" i="16"/>
  <c r="Q6" i="12" s="1"/>
  <c r="D33" i="16"/>
  <c r="Q35" i="12" s="1"/>
  <c r="D23" i="16"/>
  <c r="D13" i="16"/>
  <c r="Q15" i="12" s="1"/>
  <c r="D32" i="16"/>
  <c r="Q34" i="12" s="1"/>
  <c r="D22" i="16"/>
  <c r="D12" i="16"/>
  <c r="Q14" i="12" s="1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3" i="8"/>
  <c r="D56" i="16" l="1"/>
  <c r="D55" i="16"/>
  <c r="AF7" i="12"/>
  <c r="Q7" i="12"/>
  <c r="AF29" i="12"/>
  <c r="Q29" i="12"/>
  <c r="AF12" i="12"/>
  <c r="Q12" i="12"/>
  <c r="AF24" i="12"/>
  <c r="Q24" i="12"/>
  <c r="AF27" i="12"/>
  <c r="Q27" i="12"/>
  <c r="AF10" i="12"/>
  <c r="Q10" i="12"/>
  <c r="AF25" i="12"/>
  <c r="Q25" i="12"/>
  <c r="AF8" i="12"/>
  <c r="Q8" i="12"/>
  <c r="AF18" i="12"/>
  <c r="Q18" i="12"/>
  <c r="AF40" i="12"/>
  <c r="Q40" i="12"/>
  <c r="AF37" i="12"/>
  <c r="Q37" i="12"/>
  <c r="AF21" i="12"/>
  <c r="Q21" i="12"/>
  <c r="AF43" i="12"/>
  <c r="Q43" i="12"/>
  <c r="AF28" i="12"/>
  <c r="Q28" i="12"/>
  <c r="AF11" i="12"/>
  <c r="Q11" i="12"/>
  <c r="AF38" i="12"/>
  <c r="Q38" i="12"/>
  <c r="AF36" i="12"/>
  <c r="Q36" i="12"/>
  <c r="AR29" i="12"/>
  <c r="AF33" i="12"/>
  <c r="AR22" i="12"/>
  <c r="AF26" i="12"/>
  <c r="AR27" i="12"/>
  <c r="AF31" i="12"/>
  <c r="AR13" i="12"/>
  <c r="AF16" i="12"/>
  <c r="AR7" i="12"/>
  <c r="AF9" i="12"/>
  <c r="AR15" i="12"/>
  <c r="AF19" i="12"/>
  <c r="BA19" i="12"/>
  <c r="AF41" i="12"/>
  <c r="AR5" i="12"/>
  <c r="AF6" i="12"/>
  <c r="AR11" i="12"/>
  <c r="AF14" i="12"/>
  <c r="BJ17" i="12"/>
  <c r="AF17" i="12"/>
  <c r="AR32" i="12"/>
  <c r="AF39" i="12"/>
  <c r="AR18" i="12"/>
  <c r="AF22" i="12"/>
  <c r="AR28" i="12"/>
  <c r="AF32" i="12"/>
  <c r="AR30" i="12"/>
  <c r="AF34" i="12"/>
  <c r="AR12" i="12"/>
  <c r="AF15" i="12"/>
  <c r="AR16" i="12"/>
  <c r="AF20" i="12"/>
  <c r="BA20" i="12"/>
  <c r="AF42" i="12"/>
  <c r="AR26" i="12"/>
  <c r="AF30" i="12"/>
  <c r="AR10" i="12"/>
  <c r="AF13" i="12"/>
  <c r="AR31" i="12"/>
  <c r="AF35" i="12"/>
  <c r="AR19" i="12"/>
  <c r="AF23" i="12"/>
  <c r="BJ7" i="12"/>
  <c r="AR6" i="12"/>
  <c r="BG15" i="12"/>
  <c r="AR14" i="12"/>
  <c r="BJ22" i="12"/>
  <c r="AR21" i="12"/>
  <c r="BJ26" i="12"/>
  <c r="AR25" i="12"/>
  <c r="BJ12" i="12"/>
  <c r="AR9" i="12"/>
  <c r="BJ21" i="12"/>
  <c r="AR20" i="12"/>
  <c r="BJ25" i="12"/>
  <c r="AR24" i="12"/>
  <c r="BJ11" i="12"/>
  <c r="AR8" i="12"/>
  <c r="BJ20" i="12"/>
  <c r="AR17" i="12"/>
  <c r="BJ24" i="12"/>
  <c r="AR23" i="12"/>
  <c r="BG23" i="12"/>
  <c r="BJ23" i="12"/>
  <c r="BG34" i="12"/>
  <c r="BJ33" i="12"/>
  <c r="BG17" i="12"/>
  <c r="BJ19" i="12"/>
  <c r="BA8" i="12"/>
  <c r="BJ15" i="12"/>
  <c r="BG9" i="12"/>
  <c r="BJ9" i="12"/>
  <c r="BG28" i="12"/>
  <c r="BJ28" i="12"/>
  <c r="BG33" i="12"/>
  <c r="BJ32" i="12"/>
  <c r="BG8" i="12"/>
  <c r="BJ8" i="12"/>
  <c r="BG16" i="12"/>
  <c r="BJ18" i="12"/>
  <c r="BG27" i="12"/>
  <c r="BJ27" i="12"/>
  <c r="BG13" i="12"/>
  <c r="BJ13" i="12"/>
  <c r="BG14" i="12"/>
  <c r="BJ14" i="12"/>
  <c r="BG37" i="12"/>
  <c r="BJ36" i="12"/>
  <c r="BG6" i="12"/>
  <c r="BJ6" i="12"/>
  <c r="BG36" i="12"/>
  <c r="BJ35" i="12"/>
  <c r="BG30" i="12"/>
  <c r="BJ30" i="12"/>
  <c r="BA21" i="12"/>
  <c r="BJ37" i="12"/>
  <c r="BG31" i="12"/>
  <c r="BJ31" i="12"/>
  <c r="BA9" i="12"/>
  <c r="BJ16" i="12"/>
  <c r="BG35" i="12"/>
  <c r="BJ34" i="12"/>
  <c r="BG10" i="12"/>
  <c r="BJ10" i="12"/>
  <c r="BG29" i="12"/>
  <c r="BJ29" i="12"/>
  <c r="BA14" i="12"/>
  <c r="BG22" i="12"/>
  <c r="BA18" i="12"/>
  <c r="BG32" i="12"/>
  <c r="BA7" i="12"/>
  <c r="BG12" i="12"/>
  <c r="BA12" i="12"/>
  <c r="BG20" i="12"/>
  <c r="BA13" i="12"/>
  <c r="BG21" i="12"/>
  <c r="BA16" i="12"/>
  <c r="BG25" i="12"/>
  <c r="BA6" i="12"/>
  <c r="BG11" i="12"/>
  <c r="BA11" i="12"/>
  <c r="BG19" i="12"/>
  <c r="BA10" i="12"/>
  <c r="BG18" i="12"/>
  <c r="BA5" i="12"/>
  <c r="BG7" i="12"/>
  <c r="BA15" i="12"/>
  <c r="BG24" i="12"/>
  <c r="BA17" i="12"/>
  <c r="BG26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" i="12"/>
  <c r="D57" i="16" l="1"/>
  <c r="BK30" i="12"/>
  <c r="BK43" i="12"/>
  <c r="BK29" i="12"/>
  <c r="BK26" i="12"/>
  <c r="BK22" i="12"/>
  <c r="BK21" i="12"/>
  <c r="BK31" i="12"/>
  <c r="BK11" i="12"/>
  <c r="BK23" i="12"/>
  <c r="BK17" i="12"/>
  <c r="BK12" i="12"/>
  <c r="BK24" i="12"/>
  <c r="BK25" i="12"/>
  <c r="BK45" i="12"/>
  <c r="BK13" i="12"/>
  <c r="C56" i="12"/>
  <c r="R4" i="14" s="1"/>
  <c r="AF4" i="14" s="1"/>
  <c r="AE5" i="14" s="1"/>
  <c r="Q5" i="14" l="1"/>
  <c r="BK38" i="12"/>
  <c r="BK7" i="12"/>
  <c r="BK41" i="12"/>
  <c r="BK14" i="12"/>
  <c r="BK39" i="12"/>
  <c r="BK44" i="12"/>
  <c r="BK35" i="12"/>
  <c r="BK34" i="12"/>
  <c r="BK9" i="12"/>
  <c r="BK18" i="12"/>
  <c r="BK10" i="12"/>
  <c r="BK40" i="12"/>
  <c r="BK8" i="12"/>
  <c r="C5" i="14"/>
  <c r="BK6" i="12" l="1"/>
  <c r="G5" i="11" l="1"/>
  <c r="H5" i="11" s="1"/>
  <c r="F5" i="16" s="1"/>
  <c r="G9" i="11"/>
  <c r="H9" i="11" s="1"/>
  <c r="F9" i="16" s="1"/>
  <c r="H6" i="12" s="1"/>
  <c r="G10" i="11"/>
  <c r="H10" i="11" s="1"/>
  <c r="F10" i="16" s="1"/>
  <c r="H7" i="12" s="1"/>
  <c r="G13" i="11"/>
  <c r="H13" i="11" s="1"/>
  <c r="F13" i="16" s="1"/>
  <c r="H8" i="12" s="1"/>
  <c r="G14" i="11"/>
  <c r="H14" i="11" s="1"/>
  <c r="F14" i="16" s="1"/>
  <c r="H9" i="12" s="1"/>
  <c r="G19" i="11"/>
  <c r="H19" i="11" s="1"/>
  <c r="F19" i="16" s="1"/>
  <c r="H10" i="12" s="1"/>
  <c r="G20" i="11"/>
  <c r="G21" i="11"/>
  <c r="H21" i="11" s="1"/>
  <c r="F21" i="16" s="1"/>
  <c r="H12" i="12" s="1"/>
  <c r="G22" i="11"/>
  <c r="H22" i="11" s="1"/>
  <c r="F22" i="16" s="1"/>
  <c r="H13" i="12" s="1"/>
  <c r="G23" i="11"/>
  <c r="H23" i="11" s="1"/>
  <c r="F23" i="16" s="1"/>
  <c r="H14" i="12" s="1"/>
  <c r="G25" i="11"/>
  <c r="H25" i="11" s="1"/>
  <c r="F25" i="16" s="1"/>
  <c r="H15" i="12" s="1"/>
  <c r="G26" i="11"/>
  <c r="H26" i="11" s="1"/>
  <c r="F26" i="16" s="1"/>
  <c r="H16" i="12" s="1"/>
  <c r="G27" i="11"/>
  <c r="H27" i="11" s="1"/>
  <c r="F27" i="16" s="1"/>
  <c r="H17" i="12" s="1"/>
  <c r="G33" i="11"/>
  <c r="H33" i="11" s="1"/>
  <c r="G39" i="11"/>
  <c r="H39" i="11" s="1"/>
  <c r="F39" i="16" s="1"/>
  <c r="H19" i="12" s="1"/>
  <c r="G40" i="11"/>
  <c r="H40" i="11" s="1"/>
  <c r="F40" i="16" s="1"/>
  <c r="H20" i="12" s="1"/>
  <c r="G41" i="11"/>
  <c r="H41" i="11" s="1"/>
  <c r="F41" i="16" s="1"/>
  <c r="H21" i="12" s="1"/>
  <c r="G48" i="11"/>
  <c r="H48" i="11" s="1"/>
  <c r="F48" i="16" s="1"/>
  <c r="H22" i="12" s="1"/>
  <c r="G50" i="11"/>
  <c r="H50" i="11" s="1"/>
  <c r="F50" i="16" s="1"/>
  <c r="H23" i="12" s="1"/>
  <c r="H20" i="11"/>
  <c r="F20" i="16" s="1"/>
  <c r="H11" i="12" s="1"/>
  <c r="H5" i="12" l="1"/>
  <c r="AI14" i="12"/>
  <c r="AZ14" i="12"/>
  <c r="AW12" i="12"/>
  <c r="AY12" i="12" s="1"/>
  <c r="AT12" i="12"/>
  <c r="W14" i="12"/>
  <c r="AZ13" i="12"/>
  <c r="AI13" i="12"/>
  <c r="AT11" i="12"/>
  <c r="AW11" i="12"/>
  <c r="W13" i="12"/>
  <c r="W12" i="12"/>
  <c r="AT10" i="12"/>
  <c r="AI12" i="12"/>
  <c r="AZ12" i="12"/>
  <c r="AI20" i="12"/>
  <c r="AZ23" i="12"/>
  <c r="W23" i="12"/>
  <c r="AZ10" i="12"/>
  <c r="W10" i="12"/>
  <c r="AT8" i="12"/>
  <c r="AI10" i="12"/>
  <c r="AW10" i="12"/>
  <c r="AZ9" i="12"/>
  <c r="W9" i="12"/>
  <c r="AI9" i="12"/>
  <c r="AW9" i="12"/>
  <c r="AZ22" i="12"/>
  <c r="BB22" i="12" s="1"/>
  <c r="W22" i="12"/>
  <c r="AW17" i="12"/>
  <c r="AY17" i="12" s="1"/>
  <c r="AI19" i="12"/>
  <c r="AW8" i="12"/>
  <c r="AI8" i="12"/>
  <c r="AZ8" i="12"/>
  <c r="W8" i="12"/>
  <c r="AZ17" i="12"/>
  <c r="AW15" i="12"/>
  <c r="W17" i="12"/>
  <c r="AI17" i="12"/>
  <c r="AT15" i="12"/>
  <c r="AW7" i="12"/>
  <c r="AZ7" i="12"/>
  <c r="AT7" i="12"/>
  <c r="W7" i="12"/>
  <c r="AI7" i="12"/>
  <c r="W16" i="12"/>
  <c r="AW14" i="12"/>
  <c r="AY14" i="12" s="1"/>
  <c r="AZ16" i="12"/>
  <c r="BB16" i="12" s="1"/>
  <c r="AT14" i="12"/>
  <c r="AI16" i="12"/>
  <c r="AZ6" i="12"/>
  <c r="BB6" i="12" s="1"/>
  <c r="AT6" i="12"/>
  <c r="W6" i="12"/>
  <c r="AW6" i="12"/>
  <c r="AI6" i="12"/>
  <c r="AT9" i="12"/>
  <c r="W11" i="12"/>
  <c r="AI11" i="12"/>
  <c r="AZ11" i="12"/>
  <c r="AZ21" i="12"/>
  <c r="BB21" i="12" s="1"/>
  <c r="W21" i="12"/>
  <c r="AW16" i="12"/>
  <c r="AZ20" i="12"/>
  <c r="W20" i="12"/>
  <c r="AZ19" i="12"/>
  <c r="W19" i="12"/>
  <c r="AW13" i="12"/>
  <c r="AZ15" i="12"/>
  <c r="W15" i="12"/>
  <c r="AT13" i="12"/>
  <c r="AI15" i="12"/>
  <c r="AW5" i="12"/>
  <c r="AZ5" i="12"/>
  <c r="AT5" i="12"/>
  <c r="W5" i="12"/>
  <c r="AI5" i="12"/>
  <c r="F33" i="16"/>
  <c r="H18" i="12" s="1"/>
  <c r="BB20" i="12"/>
  <c r="BB9" i="12"/>
  <c r="BB14" i="12"/>
  <c r="J42" i="8"/>
  <c r="J39" i="8"/>
  <c r="J40" i="8"/>
  <c r="J41" i="8"/>
  <c r="J15" i="8"/>
  <c r="J13" i="8"/>
  <c r="J14" i="8"/>
  <c r="J51" i="8"/>
  <c r="J48" i="8"/>
  <c r="S5" i="8"/>
  <c r="S6" i="8"/>
  <c r="S16" i="8"/>
  <c r="S17" i="8"/>
  <c r="S24" i="8"/>
  <c r="S25" i="8"/>
  <c r="S32" i="8"/>
  <c r="S33" i="8"/>
  <c r="S37" i="8"/>
  <c r="S44" i="8"/>
  <c r="S45" i="8"/>
  <c r="S50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3" i="8"/>
  <c r="J37" i="8"/>
  <c r="J44" i="8"/>
  <c r="J45" i="8"/>
  <c r="J46" i="8"/>
  <c r="S46" i="8" s="1"/>
  <c r="J47" i="8"/>
  <c r="S47" i="8" s="1"/>
  <c r="J49" i="8"/>
  <c r="S49" i="8" s="1"/>
  <c r="J52" i="8"/>
  <c r="S52" i="8" s="1"/>
  <c r="J4" i="8"/>
  <c r="S4" i="8" s="1"/>
  <c r="J3" i="8"/>
  <c r="S3" i="8" s="1"/>
  <c r="S13" i="8"/>
  <c r="S14" i="8"/>
  <c r="S15" i="8"/>
  <c r="S39" i="8"/>
  <c r="S41" i="8"/>
  <c r="S42" i="8"/>
  <c r="S48" i="8"/>
  <c r="S51" i="8"/>
  <c r="J5" i="8"/>
  <c r="J6" i="8"/>
  <c r="J7" i="8"/>
  <c r="S7" i="8" s="1"/>
  <c r="J8" i="8"/>
  <c r="S8" i="8" s="1"/>
  <c r="J9" i="8"/>
  <c r="S9" i="8" s="1"/>
  <c r="J10" i="8"/>
  <c r="S10" i="8" s="1"/>
  <c r="J11" i="8"/>
  <c r="S11" i="8" s="1"/>
  <c r="J12" i="8"/>
  <c r="S12" i="8" s="1"/>
  <c r="J16" i="8"/>
  <c r="J17" i="8"/>
  <c r="J18" i="8"/>
  <c r="S18" i="8" s="1"/>
  <c r="J19" i="8"/>
  <c r="S19" i="8" s="1"/>
  <c r="J20" i="8"/>
  <c r="S20" i="8" s="1"/>
  <c r="J21" i="8"/>
  <c r="S21" i="8" s="1"/>
  <c r="J22" i="8"/>
  <c r="S22" i="8" s="1"/>
  <c r="J23" i="8"/>
  <c r="S23" i="8" s="1"/>
  <c r="J24" i="8"/>
  <c r="J25" i="8"/>
  <c r="J26" i="8"/>
  <c r="S26" i="8" s="1"/>
  <c r="J27" i="8"/>
  <c r="S27" i="8" s="1"/>
  <c r="J28" i="8"/>
  <c r="S28" i="8" s="1"/>
  <c r="J29" i="8"/>
  <c r="S29" i="8" s="1"/>
  <c r="J30" i="8"/>
  <c r="S30" i="8" s="1"/>
  <c r="J31" i="8"/>
  <c r="S31" i="8" s="1"/>
  <c r="J32" i="8"/>
  <c r="J33" i="8"/>
  <c r="J34" i="8"/>
  <c r="S34" i="8" s="1"/>
  <c r="J35" i="8"/>
  <c r="S35" i="8" s="1"/>
  <c r="J36" i="8"/>
  <c r="S36" i="8" s="1"/>
  <c r="J38" i="8"/>
  <c r="S38" i="8" s="1"/>
  <c r="J43" i="8"/>
  <c r="S43" i="8" s="1"/>
  <c r="J50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3" i="8"/>
  <c r="O4" i="8"/>
  <c r="O5" i="8"/>
  <c r="O6" i="8"/>
  <c r="O7" i="8"/>
  <c r="O8" i="8"/>
  <c r="O9" i="8"/>
  <c r="O10" i="8"/>
  <c r="P10" i="8" s="1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3" i="8"/>
  <c r="F55" i="16" l="1"/>
  <c r="BB19" i="12"/>
  <c r="F56" i="16"/>
  <c r="F57" i="16" s="1"/>
  <c r="BB12" i="12"/>
  <c r="AT16" i="12"/>
  <c r="AI18" i="12"/>
  <c r="AZ18" i="12"/>
  <c r="BB18" i="12" s="1"/>
  <c r="W18" i="12"/>
  <c r="BB23" i="12"/>
  <c r="AY11" i="12"/>
  <c r="BB11" i="12"/>
  <c r="AY13" i="12"/>
  <c r="AY15" i="12"/>
  <c r="BB15" i="12"/>
  <c r="AY7" i="12"/>
  <c r="BB5" i="12"/>
  <c r="AY5" i="12"/>
  <c r="BB17" i="12"/>
  <c r="BB10" i="12"/>
  <c r="BB7" i="12"/>
  <c r="BB13" i="12"/>
  <c r="AY6" i="12"/>
  <c r="BB8" i="12"/>
  <c r="T10" i="8"/>
  <c r="U10" i="8"/>
  <c r="V10" i="8" s="1"/>
  <c r="S40" i="8"/>
  <c r="P50" i="8"/>
  <c r="T50" i="8" s="1"/>
  <c r="P42" i="8"/>
  <c r="T42" i="8" s="1"/>
  <c r="P34" i="8"/>
  <c r="T34" i="8" s="1"/>
  <c r="P26" i="8"/>
  <c r="T26" i="8" s="1"/>
  <c r="P18" i="8"/>
  <c r="T18" i="8" s="1"/>
  <c r="P49" i="8"/>
  <c r="T49" i="8" s="1"/>
  <c r="P41" i="8"/>
  <c r="T41" i="8" s="1"/>
  <c r="P33" i="8"/>
  <c r="T33" i="8" s="1"/>
  <c r="P25" i="8"/>
  <c r="T25" i="8" s="1"/>
  <c r="P17" i="8"/>
  <c r="T17" i="8" s="1"/>
  <c r="P9" i="8"/>
  <c r="T9" i="8" s="1"/>
  <c r="P48" i="8"/>
  <c r="T48" i="8" s="1"/>
  <c r="P40" i="8"/>
  <c r="P32" i="8"/>
  <c r="T32" i="8" s="1"/>
  <c r="P24" i="8"/>
  <c r="T24" i="8" s="1"/>
  <c r="P16" i="8"/>
  <c r="T16" i="8" s="1"/>
  <c r="P8" i="8"/>
  <c r="T8" i="8" s="1"/>
  <c r="P46" i="8"/>
  <c r="T46" i="8" s="1"/>
  <c r="P38" i="8"/>
  <c r="T38" i="8" s="1"/>
  <c r="P30" i="8"/>
  <c r="T30" i="8" s="1"/>
  <c r="P22" i="8"/>
  <c r="T22" i="8" s="1"/>
  <c r="P14" i="8"/>
  <c r="T14" i="8" s="1"/>
  <c r="P6" i="8"/>
  <c r="T6" i="8" s="1"/>
  <c r="P3" i="8"/>
  <c r="T3" i="8" s="1"/>
  <c r="P45" i="8"/>
  <c r="T45" i="8" s="1"/>
  <c r="P37" i="8"/>
  <c r="T37" i="8" s="1"/>
  <c r="P29" i="8"/>
  <c r="T29" i="8" s="1"/>
  <c r="P21" i="8"/>
  <c r="T21" i="8" s="1"/>
  <c r="P13" i="8"/>
  <c r="T13" i="8" s="1"/>
  <c r="P5" i="8"/>
  <c r="T5" i="8" s="1"/>
  <c r="P47" i="8"/>
  <c r="T47" i="8" s="1"/>
  <c r="P39" i="8"/>
  <c r="T39" i="8" s="1"/>
  <c r="P31" i="8"/>
  <c r="T31" i="8" s="1"/>
  <c r="P23" i="8"/>
  <c r="T23" i="8" s="1"/>
  <c r="P15" i="8"/>
  <c r="T15" i="8" s="1"/>
  <c r="P7" i="8"/>
  <c r="T7" i="8" s="1"/>
  <c r="P52" i="8"/>
  <c r="T52" i="8" s="1"/>
  <c r="P44" i="8"/>
  <c r="T44" i="8" s="1"/>
  <c r="P36" i="8"/>
  <c r="T36" i="8" s="1"/>
  <c r="P28" i="8"/>
  <c r="T28" i="8" s="1"/>
  <c r="P20" i="8"/>
  <c r="T20" i="8" s="1"/>
  <c r="P12" i="8"/>
  <c r="T12" i="8" s="1"/>
  <c r="P4" i="8"/>
  <c r="T4" i="8" s="1"/>
  <c r="P51" i="8"/>
  <c r="T51" i="8" s="1"/>
  <c r="P43" i="8"/>
  <c r="T43" i="8" s="1"/>
  <c r="P35" i="8"/>
  <c r="T35" i="8" s="1"/>
  <c r="P27" i="8"/>
  <c r="T27" i="8" s="1"/>
  <c r="P19" i="8"/>
  <c r="T19" i="8" s="1"/>
  <c r="P11" i="8"/>
  <c r="T11" i="8" s="1"/>
  <c r="BB25" i="12" l="1"/>
  <c r="BA25" i="12"/>
  <c r="G6" i="14" s="1"/>
  <c r="BE12" i="12"/>
  <c r="AV7" i="12"/>
  <c r="BH12" i="12"/>
  <c r="U22" i="8"/>
  <c r="V22" i="8" s="1"/>
  <c r="U34" i="8"/>
  <c r="V34" i="8" s="1"/>
  <c r="U52" i="8"/>
  <c r="V52" i="8" s="1"/>
  <c r="U21" i="8"/>
  <c r="V21" i="8" s="1"/>
  <c r="U45" i="8"/>
  <c r="V45" i="8" s="1"/>
  <c r="U43" i="8"/>
  <c r="V43" i="8" s="1"/>
  <c r="U7" i="8"/>
  <c r="V7" i="8" s="1"/>
  <c r="U17" i="8"/>
  <c r="V17" i="8" s="1"/>
  <c r="U30" i="8"/>
  <c r="V30" i="8" s="1"/>
  <c r="U26" i="8"/>
  <c r="V26" i="8" s="1"/>
  <c r="U4" i="8"/>
  <c r="V4" i="8" s="1"/>
  <c r="U29" i="8"/>
  <c r="V29" i="8" s="1"/>
  <c r="U9" i="8"/>
  <c r="V9" i="8" s="1"/>
  <c r="U23" i="8"/>
  <c r="V23" i="8" s="1"/>
  <c r="U46" i="8"/>
  <c r="V46" i="8" s="1"/>
  <c r="U20" i="8"/>
  <c r="V20" i="8" s="1"/>
  <c r="U8" i="8"/>
  <c r="V8" i="8" s="1"/>
  <c r="U50" i="8"/>
  <c r="V50" i="8" s="1"/>
  <c r="U3" i="8"/>
  <c r="V3" i="8" s="1"/>
  <c r="U16" i="8"/>
  <c r="V16" i="8" s="1"/>
  <c r="U33" i="8"/>
  <c r="V33" i="8" s="1"/>
  <c r="U27" i="8"/>
  <c r="V27" i="8" s="1"/>
  <c r="U47" i="8"/>
  <c r="V47" i="8" s="1"/>
  <c r="U6" i="8"/>
  <c r="V6" i="8" s="1"/>
  <c r="U24" i="8"/>
  <c r="V24" i="8" s="1"/>
  <c r="U18" i="8"/>
  <c r="V18" i="8" s="1"/>
  <c r="U38" i="8"/>
  <c r="V38" i="8" s="1"/>
  <c r="U12" i="8"/>
  <c r="V12" i="8" s="1"/>
  <c r="U37" i="8"/>
  <c r="V37" i="8" s="1"/>
  <c r="U11" i="8"/>
  <c r="V11" i="8" s="1"/>
  <c r="U31" i="8"/>
  <c r="V31" i="8" s="1"/>
  <c r="U25" i="8"/>
  <c r="V25" i="8" s="1"/>
  <c r="U19" i="8"/>
  <c r="V19" i="8" s="1"/>
  <c r="U28" i="8"/>
  <c r="V28" i="8" s="1"/>
  <c r="U36" i="8"/>
  <c r="V36" i="8" s="1"/>
  <c r="U35" i="8"/>
  <c r="V35" i="8" s="1"/>
  <c r="U44" i="8"/>
  <c r="V44" i="8" s="1"/>
  <c r="U5" i="8"/>
  <c r="V5" i="8" s="1"/>
  <c r="U32" i="8"/>
  <c r="V32" i="8" s="1"/>
  <c r="U49" i="8"/>
  <c r="V49" i="8" s="1"/>
  <c r="U42" i="8"/>
  <c r="V42" i="8" s="1"/>
  <c r="U41" i="8"/>
  <c r="V41" i="8" s="1"/>
  <c r="U39" i="8"/>
  <c r="V39" i="8" s="1"/>
  <c r="T40" i="8"/>
  <c r="U15" i="8"/>
  <c r="V15" i="8" s="1"/>
  <c r="U14" i="8"/>
  <c r="V14" i="8" s="1"/>
  <c r="U13" i="8"/>
  <c r="V13" i="8" s="1"/>
  <c r="U51" i="8"/>
  <c r="V51" i="8" s="1"/>
  <c r="U48" i="8"/>
  <c r="V48" i="8" s="1"/>
  <c r="U6" i="14" l="1"/>
  <c r="BH42" i="12"/>
  <c r="BH11" i="12"/>
  <c r="BE11" i="12"/>
  <c r="AV6" i="12"/>
  <c r="BH45" i="12"/>
  <c r="BE23" i="12"/>
  <c r="BH26" i="12"/>
  <c r="AV15" i="12"/>
  <c r="BH28" i="12"/>
  <c r="BH33" i="12"/>
  <c r="BH32" i="12"/>
  <c r="AV16" i="12"/>
  <c r="BE6" i="12"/>
  <c r="BH6" i="12"/>
  <c r="BH21" i="12"/>
  <c r="BE18" i="12"/>
  <c r="AV11" i="12"/>
  <c r="BH30" i="12"/>
  <c r="BE27" i="12"/>
  <c r="BE13" i="12"/>
  <c r="BH13" i="12"/>
  <c r="BH15" i="12"/>
  <c r="AV14" i="12"/>
  <c r="BE22" i="12"/>
  <c r="BH25" i="12"/>
  <c r="BH43" i="12"/>
  <c r="BE39" i="12"/>
  <c r="BH31" i="12"/>
  <c r="BE28" i="12"/>
  <c r="BE32" i="12"/>
  <c r="BH36" i="12"/>
  <c r="BH29" i="12"/>
  <c r="BE26" i="12"/>
  <c r="AV13" i="12"/>
  <c r="BE21" i="12"/>
  <c r="BH24" i="12"/>
  <c r="BH14" i="12"/>
  <c r="BE14" i="12"/>
  <c r="BH44" i="12"/>
  <c r="BE15" i="12"/>
  <c r="BH16" i="12"/>
  <c r="BH18" i="12"/>
  <c r="AV8" i="12"/>
  <c r="BE35" i="12"/>
  <c r="BH39" i="12"/>
  <c r="BH37" i="12"/>
  <c r="BH10" i="12"/>
  <c r="BE10" i="12"/>
  <c r="BH9" i="12"/>
  <c r="BE9" i="12"/>
  <c r="BH34" i="12"/>
  <c r="BH17" i="12"/>
  <c r="BH19" i="12"/>
  <c r="AV9" i="12"/>
  <c r="BH38" i="12"/>
  <c r="BE34" i="12"/>
  <c r="BE31" i="12"/>
  <c r="BH35" i="12"/>
  <c r="BH41" i="12"/>
  <c r="BE37" i="12"/>
  <c r="BH40" i="12"/>
  <c r="BE36" i="12"/>
  <c r="BE7" i="12"/>
  <c r="BH7" i="12"/>
  <c r="BE20" i="12"/>
  <c r="BH23" i="12"/>
  <c r="BH27" i="12"/>
  <c r="BE8" i="12"/>
  <c r="BH8" i="12"/>
  <c r="AV12" i="12"/>
  <c r="BE19" i="12"/>
  <c r="BH22" i="12"/>
  <c r="BH20" i="12"/>
  <c r="AV10" i="12"/>
  <c r="U40" i="8"/>
  <c r="V40" i="8" s="1"/>
  <c r="F24" i="7"/>
  <c r="F30" i="7" s="1"/>
  <c r="F9" i="7"/>
  <c r="C14" i="7" s="1"/>
  <c r="B9" i="7"/>
  <c r="B14" i="7"/>
  <c r="F25" i="7" s="1"/>
  <c r="F31" i="7" s="1"/>
  <c r="B13" i="7"/>
  <c r="B24" i="7" s="1"/>
  <c r="B30" i="7" s="1"/>
  <c r="F6" i="7"/>
  <c r="B6" i="7"/>
  <c r="C25" i="7" l="1"/>
  <c r="C31" i="7" s="1"/>
  <c r="G25" i="7"/>
  <c r="G31" i="7" s="1"/>
  <c r="B25" i="7"/>
  <c r="B31" i="7" s="1"/>
  <c r="C13" i="7"/>
  <c r="B7" i="7"/>
  <c r="B8" i="7" s="1"/>
  <c r="E14" i="7"/>
  <c r="BH5" i="12"/>
  <c r="BH47" i="12" s="1"/>
  <c r="V6" i="14" s="1"/>
  <c r="BG47" i="12"/>
  <c r="H6" i="14" s="1"/>
  <c r="AU18" i="12"/>
  <c r="H8" i="14" s="1"/>
  <c r="AV5" i="12"/>
  <c r="AV18" i="12" s="1"/>
  <c r="F7" i="7"/>
  <c r="F8" i="7" s="1"/>
  <c r="D14" i="7" s="1"/>
  <c r="V8" i="14" l="1"/>
  <c r="D13" i="7"/>
  <c r="E13" i="7"/>
  <c r="D25" i="7"/>
  <c r="D31" i="7" s="1"/>
  <c r="H25" i="7"/>
  <c r="H31" i="7" s="1"/>
  <c r="E25" i="7"/>
  <c r="E31" i="7" s="1"/>
  <c r="I25" i="7"/>
  <c r="I31" i="7" s="1"/>
  <c r="G24" i="7"/>
  <c r="G30" i="7" s="1"/>
  <c r="C24" i="7"/>
  <c r="C30" i="7" s="1"/>
  <c r="E24" i="7" l="1"/>
  <c r="E30" i="7" s="1"/>
  <c r="I24" i="7"/>
  <c r="I30" i="7" s="1"/>
  <c r="D24" i="7"/>
  <c r="D30" i="7" s="1"/>
  <c r="H24" i="7"/>
  <c r="H30" i="7" s="1"/>
  <c r="F6" i="2"/>
  <c r="N6" i="2"/>
  <c r="F7" i="2"/>
  <c r="N7" i="2"/>
  <c r="F8" i="2"/>
  <c r="N8" i="2"/>
  <c r="F9" i="2"/>
  <c r="O9" i="2" s="1"/>
  <c r="N9" i="2"/>
  <c r="E10" i="2"/>
  <c r="N10" i="2"/>
  <c r="F11" i="2"/>
  <c r="N11" i="2"/>
  <c r="E12" i="2"/>
  <c r="N12" i="2"/>
  <c r="F13" i="2"/>
  <c r="N13" i="2"/>
  <c r="E14" i="2"/>
  <c r="N14" i="2"/>
  <c r="F15" i="2"/>
  <c r="N15" i="2"/>
  <c r="E16" i="2"/>
  <c r="N16" i="2"/>
  <c r="F17" i="2"/>
  <c r="N17" i="2"/>
  <c r="E18" i="2"/>
  <c r="N18" i="2"/>
  <c r="F19" i="2"/>
  <c r="N19" i="2"/>
  <c r="E20" i="2"/>
  <c r="N20" i="2"/>
  <c r="E21" i="2"/>
  <c r="N21" i="2"/>
  <c r="F22" i="2"/>
  <c r="O22" i="2" s="1"/>
  <c r="P22" i="2" s="1"/>
  <c r="N22" i="2"/>
  <c r="E23" i="2"/>
  <c r="N23" i="2"/>
  <c r="E24" i="2"/>
  <c r="N24" i="2"/>
  <c r="E25" i="2"/>
  <c r="N25" i="2"/>
  <c r="E26" i="2"/>
  <c r="N26" i="2"/>
  <c r="F27" i="2"/>
  <c r="O27" i="2" s="1"/>
  <c r="P27" i="2" s="1"/>
  <c r="N27" i="2"/>
  <c r="F28" i="2"/>
  <c r="O28" i="2" s="1"/>
  <c r="P28" i="2" s="1"/>
  <c r="N28" i="2"/>
  <c r="E29" i="2"/>
  <c r="N29" i="2"/>
  <c r="F30" i="2"/>
  <c r="N30" i="2"/>
  <c r="E31" i="2"/>
  <c r="N31" i="2"/>
  <c r="AE31" i="2"/>
  <c r="E32" i="2"/>
  <c r="N32" i="2"/>
  <c r="AE32" i="2"/>
  <c r="AD33" i="2" s="1"/>
  <c r="E33" i="2"/>
  <c r="N33" i="2"/>
  <c r="AE33" i="2"/>
  <c r="AD34" i="2" s="1"/>
  <c r="F34" i="2"/>
  <c r="O34" i="2" s="1"/>
  <c r="P34" i="2" s="1"/>
  <c r="N34" i="2"/>
  <c r="AE34" i="2"/>
  <c r="E35" i="2"/>
  <c r="N35" i="2"/>
  <c r="AE35" i="2"/>
  <c r="AD36" i="2" s="1"/>
  <c r="E36" i="2"/>
  <c r="N36" i="2"/>
  <c r="AE36" i="2"/>
  <c r="C37" i="2"/>
  <c r="N37" i="2"/>
  <c r="AD37" i="2"/>
  <c r="E38" i="2"/>
  <c r="N38" i="2"/>
  <c r="F39" i="2"/>
  <c r="N39" i="2"/>
  <c r="E40" i="2"/>
  <c r="N40" i="2"/>
  <c r="E41" i="2"/>
  <c r="N41" i="2"/>
  <c r="N42" i="2"/>
  <c r="F43" i="2"/>
  <c r="N43" i="2"/>
  <c r="E44" i="2"/>
  <c r="N44" i="2"/>
  <c r="E45" i="2"/>
  <c r="N45" i="2"/>
  <c r="E46" i="2"/>
  <c r="N46" i="2"/>
  <c r="E47" i="2"/>
  <c r="N47" i="2"/>
  <c r="E48" i="2"/>
  <c r="N48" i="2"/>
  <c r="E49" i="2"/>
  <c r="N49" i="2"/>
  <c r="E50" i="2"/>
  <c r="N50" i="2"/>
  <c r="N51" i="2"/>
  <c r="E52" i="2"/>
  <c r="N52" i="2"/>
  <c r="E53" i="2"/>
  <c r="N53" i="2"/>
  <c r="E54" i="2"/>
  <c r="N54" i="2"/>
  <c r="E55" i="2"/>
  <c r="N55" i="2"/>
  <c r="F56" i="2"/>
  <c r="K56" i="2"/>
  <c r="M56" i="2"/>
  <c r="N56" i="2"/>
  <c r="F57" i="2"/>
  <c r="O57" i="2" s="1"/>
  <c r="P57" i="2" s="1"/>
  <c r="N57" i="2"/>
  <c r="E58" i="2"/>
  <c r="N58" i="2"/>
  <c r="N59" i="2"/>
  <c r="E60" i="2"/>
  <c r="N60" i="2"/>
  <c r="E61" i="2"/>
  <c r="N61" i="2"/>
  <c r="E62" i="2"/>
  <c r="H62" i="2"/>
  <c r="N62" i="2" s="1"/>
  <c r="E63" i="2"/>
  <c r="N63" i="2"/>
  <c r="E64" i="2"/>
  <c r="N64" i="2"/>
  <c r="F65" i="2"/>
  <c r="N65" i="2"/>
  <c r="E66" i="2"/>
  <c r="N66" i="2"/>
  <c r="E67" i="2"/>
  <c r="N67" i="2"/>
  <c r="E68" i="2"/>
  <c r="N68" i="2"/>
  <c r="E69" i="2"/>
  <c r="N69" i="2"/>
  <c r="E70" i="2"/>
  <c r="N70" i="2"/>
  <c r="E71" i="2"/>
  <c r="N71" i="2"/>
  <c r="E72" i="2"/>
  <c r="N72" i="2"/>
  <c r="E73" i="2"/>
  <c r="N73" i="2"/>
  <c r="E74" i="2"/>
  <c r="N74" i="2"/>
  <c r="E75" i="2"/>
  <c r="N75" i="2"/>
  <c r="E76" i="2"/>
  <c r="N76" i="2"/>
  <c r="F77" i="2"/>
  <c r="O77" i="2" s="1"/>
  <c r="P77" i="2" s="1"/>
  <c r="N77" i="2"/>
  <c r="F78" i="2"/>
  <c r="O78" i="2" s="1"/>
  <c r="P78" i="2" s="1"/>
  <c r="N78" i="2"/>
  <c r="F79" i="2"/>
  <c r="N79" i="2"/>
  <c r="E80" i="2"/>
  <c r="F80" i="2"/>
  <c r="N80" i="2"/>
  <c r="O80" i="2" s="1"/>
  <c r="F51" i="2" l="1"/>
  <c r="E19" i="2"/>
  <c r="BE24" i="12"/>
  <c r="BK27" i="12"/>
  <c r="AG29" i="12"/>
  <c r="AG30" i="12"/>
  <c r="E28" i="2"/>
  <c r="F66" i="2"/>
  <c r="O66" i="2" s="1"/>
  <c r="P66" i="2" s="1"/>
  <c r="E13" i="2"/>
  <c r="E59" i="2"/>
  <c r="E37" i="2"/>
  <c r="F35" i="2"/>
  <c r="O35" i="2" s="1"/>
  <c r="P35" i="2" s="1"/>
  <c r="F23" i="2"/>
  <c r="O56" i="2"/>
  <c r="P56" i="2" s="1"/>
  <c r="F58" i="2"/>
  <c r="R30" i="12"/>
  <c r="E22" i="2"/>
  <c r="R29" i="12"/>
  <c r="O65" i="2"/>
  <c r="P65" i="2" s="1"/>
  <c r="E34" i="2"/>
  <c r="F46" i="2"/>
  <c r="F40" i="2"/>
  <c r="O40" i="2" s="1"/>
  <c r="P40" i="2" s="1"/>
  <c r="F31" i="2"/>
  <c r="AG50" i="12"/>
  <c r="F24" i="2"/>
  <c r="E15" i="2"/>
  <c r="AG49" i="12"/>
  <c r="AG25" i="12"/>
  <c r="F69" i="2"/>
  <c r="F42" i="2"/>
  <c r="AG24" i="12"/>
  <c r="E56" i="2"/>
  <c r="E42" i="2"/>
  <c r="E30" i="2"/>
  <c r="O23" i="2"/>
  <c r="P23" i="2" s="1"/>
  <c r="E11" i="2"/>
  <c r="AG47" i="12"/>
  <c r="AG39" i="12"/>
  <c r="E17" i="2"/>
  <c r="AG46" i="12"/>
  <c r="AG14" i="12"/>
  <c r="AG7" i="12"/>
  <c r="E79" i="2"/>
  <c r="F38" i="2"/>
  <c r="AG45" i="12"/>
  <c r="AG52" i="12"/>
  <c r="AG44" i="12"/>
  <c r="AG28" i="12"/>
  <c r="F64" i="2"/>
  <c r="AG27" i="12"/>
  <c r="E77" i="2"/>
  <c r="F62" i="2"/>
  <c r="O58" i="2"/>
  <c r="P58" i="2" s="1"/>
  <c r="F53" i="2"/>
  <c r="O53" i="2" s="1"/>
  <c r="P53" i="2" s="1"/>
  <c r="F50" i="2"/>
  <c r="O50" i="2" s="1"/>
  <c r="F47" i="2"/>
  <c r="E39" i="2"/>
  <c r="O31" i="2"/>
  <c r="P31" i="2" s="1"/>
  <c r="E27" i="2"/>
  <c r="E9" i="2"/>
  <c r="F25" i="2"/>
  <c r="E78" i="2"/>
  <c r="O46" i="2"/>
  <c r="P46" i="2" s="1"/>
  <c r="O8" i="2"/>
  <c r="F76" i="2"/>
  <c r="O76" i="2" s="1"/>
  <c r="P76" i="2" s="1"/>
  <c r="F73" i="2"/>
  <c r="O69" i="2"/>
  <c r="E57" i="2"/>
  <c r="O30" i="2"/>
  <c r="P30" i="2" s="1"/>
  <c r="F26" i="2"/>
  <c r="F18" i="2"/>
  <c r="O18" i="2" s="1"/>
  <c r="P18" i="2" s="1"/>
  <c r="F16" i="2"/>
  <c r="F14" i="2"/>
  <c r="F12" i="2"/>
  <c r="F10" i="2"/>
  <c r="O10" i="2" s="1"/>
  <c r="E51" i="2"/>
  <c r="O39" i="2"/>
  <c r="P39" i="2" s="1"/>
  <c r="O19" i="2"/>
  <c r="P19" i="2" s="1"/>
  <c r="O17" i="2"/>
  <c r="P17" i="2" s="1"/>
  <c r="O15" i="2"/>
  <c r="P15" i="2" s="1"/>
  <c r="O13" i="2"/>
  <c r="P13" i="2" s="1"/>
  <c r="O11" i="2"/>
  <c r="P11" i="2" s="1"/>
  <c r="O43" i="2"/>
  <c r="P43" i="2" s="1"/>
  <c r="O51" i="2"/>
  <c r="P51" i="2" s="1"/>
  <c r="O7" i="2"/>
  <c r="P7" i="2" s="1"/>
  <c r="O79" i="2"/>
  <c r="P79" i="2" s="1"/>
  <c r="O6" i="2"/>
  <c r="P6" i="2" s="1"/>
  <c r="F48" i="2"/>
  <c r="F44" i="2"/>
  <c r="O44" i="2" s="1"/>
  <c r="P44" i="2" s="1"/>
  <c r="E43" i="2"/>
  <c r="F36" i="2"/>
  <c r="AD35" i="2"/>
  <c r="F32" i="2"/>
  <c r="E8" i="2"/>
  <c r="E7" i="2"/>
  <c r="E6" i="2"/>
  <c r="F75" i="2"/>
  <c r="O75" i="2" s="1"/>
  <c r="F71" i="2"/>
  <c r="O71" i="2" s="1"/>
  <c r="P71" i="2" s="1"/>
  <c r="F60" i="2"/>
  <c r="F55" i="2"/>
  <c r="F68" i="2"/>
  <c r="F52" i="2"/>
  <c r="O52" i="2" s="1"/>
  <c r="F37" i="2"/>
  <c r="O37" i="2" s="1"/>
  <c r="F72" i="2"/>
  <c r="O72" i="2" s="1"/>
  <c r="P72" i="2" s="1"/>
  <c r="F61" i="2"/>
  <c r="F49" i="2"/>
  <c r="O49" i="2" s="1"/>
  <c r="P49" i="2" s="1"/>
  <c r="F45" i="2"/>
  <c r="O45" i="2" s="1"/>
  <c r="P45" i="2" s="1"/>
  <c r="F33" i="2"/>
  <c r="AD32" i="2"/>
  <c r="F21" i="2"/>
  <c r="O21" i="2" s="1"/>
  <c r="F20" i="2"/>
  <c r="E65" i="2"/>
  <c r="F29" i="2"/>
  <c r="F41" i="2"/>
  <c r="O41" i="2" s="1"/>
  <c r="F70" i="2"/>
  <c r="F67" i="2"/>
  <c r="O67" i="2" s="1"/>
  <c r="F74" i="2"/>
  <c r="F63" i="2"/>
  <c r="O63" i="2" s="1"/>
  <c r="P63" i="2" s="1"/>
  <c r="F59" i="2"/>
  <c r="F54" i="2"/>
  <c r="AG33" i="12" l="1"/>
  <c r="AG13" i="12"/>
  <c r="AG38" i="12"/>
  <c r="AG35" i="12"/>
  <c r="AA32" i="12"/>
  <c r="X18" i="12"/>
  <c r="AG22" i="12"/>
  <c r="AG9" i="12"/>
  <c r="AS14" i="12"/>
  <c r="AM12" i="12"/>
  <c r="AS25" i="12"/>
  <c r="AP22" i="12"/>
  <c r="AJ17" i="12"/>
  <c r="AM23" i="12"/>
  <c r="AM24" i="12"/>
  <c r="AS26" i="12"/>
  <c r="AP23" i="12"/>
  <c r="AG51" i="12"/>
  <c r="AG34" i="12"/>
  <c r="AG8" i="12"/>
  <c r="O27" i="12"/>
  <c r="L27" i="12"/>
  <c r="AA38" i="12"/>
  <c r="AD38" i="12"/>
  <c r="AA7" i="12"/>
  <c r="AD7" i="12"/>
  <c r="O26" i="12"/>
  <c r="I17" i="12"/>
  <c r="L26" i="12"/>
  <c r="AA26" i="12"/>
  <c r="AD26" i="12"/>
  <c r="X17" i="12"/>
  <c r="X15" i="12"/>
  <c r="AA24" i="12"/>
  <c r="AD24" i="12"/>
  <c r="AD44" i="12"/>
  <c r="AD45" i="12"/>
  <c r="AA14" i="12"/>
  <c r="AD14" i="12"/>
  <c r="AD35" i="12"/>
  <c r="AA36" i="12"/>
  <c r="X14" i="12"/>
  <c r="AD22" i="12"/>
  <c r="AA22" i="12"/>
  <c r="AD41" i="12"/>
  <c r="AA41" i="12"/>
  <c r="X13" i="12"/>
  <c r="AD21" i="12"/>
  <c r="AA21" i="12"/>
  <c r="AD30" i="12"/>
  <c r="AA30" i="12"/>
  <c r="AA27" i="12"/>
  <c r="AD27" i="12"/>
  <c r="AA13" i="12"/>
  <c r="AD13" i="12"/>
  <c r="AA35" i="12"/>
  <c r="AD34" i="12"/>
  <c r="AD40" i="12"/>
  <c r="AA40" i="12"/>
  <c r="X22" i="12"/>
  <c r="AD43" i="12"/>
  <c r="AA43" i="12"/>
  <c r="AA25" i="12"/>
  <c r="AD25" i="12"/>
  <c r="X16" i="12"/>
  <c r="AD39" i="12"/>
  <c r="AA39" i="12"/>
  <c r="AG20" i="12"/>
  <c r="AG53" i="12"/>
  <c r="AG15" i="12"/>
  <c r="AG36" i="12"/>
  <c r="AG31" i="12"/>
  <c r="AG16" i="12"/>
  <c r="AG43" i="12"/>
  <c r="AG21" i="12"/>
  <c r="R37" i="12"/>
  <c r="AG48" i="12"/>
  <c r="AG11" i="12"/>
  <c r="AG6" i="12"/>
  <c r="R31" i="12"/>
  <c r="R33" i="12"/>
  <c r="R34" i="12"/>
  <c r="AG18" i="12"/>
  <c r="O20" i="2"/>
  <c r="P20" i="2" s="1"/>
  <c r="R19" i="12"/>
  <c r="O62" i="2"/>
  <c r="R14" i="12"/>
  <c r="R44" i="12"/>
  <c r="R45" i="12"/>
  <c r="R15" i="12"/>
  <c r="R8" i="12"/>
  <c r="R18" i="12"/>
  <c r="O59" i="2"/>
  <c r="P59" i="2" s="1"/>
  <c r="R52" i="12"/>
  <c r="R53" i="12"/>
  <c r="R6" i="12"/>
  <c r="R23" i="12"/>
  <c r="R16" i="12"/>
  <c r="R25" i="12"/>
  <c r="R26" i="12"/>
  <c r="R51" i="12"/>
  <c r="R22" i="12"/>
  <c r="R39" i="12"/>
  <c r="R32" i="12"/>
  <c r="R43" i="12"/>
  <c r="R12" i="12"/>
  <c r="AG37" i="12"/>
  <c r="R47" i="12"/>
  <c r="R11" i="12"/>
  <c r="R49" i="12"/>
  <c r="R50" i="12"/>
  <c r="R24" i="12"/>
  <c r="O38" i="2"/>
  <c r="P38" i="2" s="1"/>
  <c r="R20" i="12"/>
  <c r="R13" i="12"/>
  <c r="R38" i="12"/>
  <c r="R48" i="12"/>
  <c r="R27" i="12"/>
  <c r="R28" i="12"/>
  <c r="R21" i="12"/>
  <c r="R46" i="12"/>
  <c r="R36" i="12"/>
  <c r="R7" i="12"/>
  <c r="AG40" i="12"/>
  <c r="R40" i="12"/>
  <c r="R9" i="12"/>
  <c r="R10" i="12"/>
  <c r="O48" i="2"/>
  <c r="P48" i="2" s="1"/>
  <c r="O12" i="2"/>
  <c r="P12" i="2" s="1"/>
  <c r="O73" i="2"/>
  <c r="P73" i="2" s="1"/>
  <c r="O42" i="2"/>
  <c r="P42" i="2" s="1"/>
  <c r="O70" i="2"/>
  <c r="P70" i="2" s="1"/>
  <c r="O60" i="2"/>
  <c r="P60" i="2" s="1"/>
  <c r="O36" i="2"/>
  <c r="P36" i="2" s="1"/>
  <c r="O54" i="2"/>
  <c r="P54" i="2" s="1"/>
  <c r="O14" i="2"/>
  <c r="P14" i="2" s="1"/>
  <c r="O25" i="2"/>
  <c r="P25" i="2" s="1"/>
  <c r="O47" i="2"/>
  <c r="P47" i="2" s="1"/>
  <c r="O29" i="2"/>
  <c r="O61" i="2"/>
  <c r="P61" i="2" s="1"/>
  <c r="O74" i="2"/>
  <c r="P74" i="2" s="1"/>
  <c r="O68" i="2"/>
  <c r="P68" i="2" s="1"/>
  <c r="O32" i="2"/>
  <c r="P32" i="2" s="1"/>
  <c r="O16" i="2"/>
  <c r="P16" i="2" s="1"/>
  <c r="O33" i="2"/>
  <c r="P33" i="2" s="1"/>
  <c r="O55" i="2"/>
  <c r="P55" i="2" s="1"/>
  <c r="O24" i="2"/>
  <c r="P24" i="2" s="1"/>
  <c r="O26" i="2"/>
  <c r="P26" i="2" s="1"/>
  <c r="O64" i="2"/>
  <c r="P64" i="2" s="1"/>
  <c r="AA9" i="12" l="1"/>
  <c r="AD9" i="12"/>
  <c r="R5" i="12"/>
  <c r="AG5" i="12"/>
  <c r="X11" i="12"/>
  <c r="R35" i="12"/>
  <c r="I18" i="12"/>
  <c r="L32" i="12"/>
  <c r="AA19" i="12"/>
  <c r="AS31" i="12"/>
  <c r="AM29" i="12"/>
  <c r="AJ18" i="12"/>
  <c r="Q5" i="2"/>
  <c r="X5" i="2" s="1"/>
  <c r="S5" i="2"/>
  <c r="AD31" i="2" s="1"/>
  <c r="U25" i="12"/>
  <c r="AA8" i="12"/>
  <c r="U26" i="12"/>
  <c r="AP34" i="12"/>
  <c r="AS38" i="12"/>
  <c r="AJ19" i="12"/>
  <c r="AP11" i="12"/>
  <c r="AM11" i="12"/>
  <c r="AS11" i="12"/>
  <c r="AJ8" i="12"/>
  <c r="AS12" i="12"/>
  <c r="AM26" i="12"/>
  <c r="AS28" i="12"/>
  <c r="AP25" i="12"/>
  <c r="U24" i="12"/>
  <c r="AJ16" i="12"/>
  <c r="AS24" i="12"/>
  <c r="AP21" i="12"/>
  <c r="AM22" i="12"/>
  <c r="AM13" i="12"/>
  <c r="AS15" i="12"/>
  <c r="AP14" i="12"/>
  <c r="AM6" i="12"/>
  <c r="AS6" i="12"/>
  <c r="AP6" i="12"/>
  <c r="AJ7" i="12"/>
  <c r="AS9" i="12"/>
  <c r="AP9" i="12"/>
  <c r="AM9" i="12"/>
  <c r="AY16" i="12"/>
  <c r="BK37" i="12"/>
  <c r="AA44" i="12"/>
  <c r="AM25" i="12"/>
  <c r="AS27" i="12"/>
  <c r="AP7" i="12"/>
  <c r="AS7" i="12"/>
  <c r="AM7" i="12"/>
  <c r="I19" i="12"/>
  <c r="R41" i="12"/>
  <c r="AM16" i="12"/>
  <c r="AS18" i="12"/>
  <c r="AJ11" i="12"/>
  <c r="U35" i="12"/>
  <c r="AS35" i="12"/>
  <c r="AP31" i="12"/>
  <c r="AM33" i="12"/>
  <c r="AM35" i="12"/>
  <c r="AS37" i="12"/>
  <c r="BE40" i="12"/>
  <c r="BK46" i="12"/>
  <c r="X23" i="12"/>
  <c r="O17" i="12"/>
  <c r="R17" i="12"/>
  <c r="AS10" i="12"/>
  <c r="AP10" i="12"/>
  <c r="AM10" i="12"/>
  <c r="U34" i="12"/>
  <c r="AS34" i="12"/>
  <c r="AP30" i="12"/>
  <c r="AM32" i="12"/>
  <c r="AJ6" i="12"/>
  <c r="AS8" i="12"/>
  <c r="AM8" i="12"/>
  <c r="AP8" i="12"/>
  <c r="AM14" i="12"/>
  <c r="AS16" i="12"/>
  <c r="U36" i="12"/>
  <c r="AS36" i="12"/>
  <c r="AM34" i="12"/>
  <c r="AP32" i="12"/>
  <c r="BK19" i="12"/>
  <c r="BE16" i="12"/>
  <c r="U39" i="12"/>
  <c r="AM36" i="12"/>
  <c r="AP35" i="12"/>
  <c r="AS39" i="12"/>
  <c r="U32" i="12"/>
  <c r="AP28" i="12"/>
  <c r="AM30" i="12"/>
  <c r="AS32" i="12"/>
  <c r="AS22" i="12"/>
  <c r="AP19" i="12"/>
  <c r="AM20" i="12"/>
  <c r="U23" i="12"/>
  <c r="AS23" i="12"/>
  <c r="AJ15" i="12"/>
  <c r="AP20" i="12"/>
  <c r="AM21" i="12"/>
  <c r="AM15" i="12"/>
  <c r="AS17" i="12"/>
  <c r="AJ10" i="12"/>
  <c r="BE30" i="12"/>
  <c r="BK33" i="12"/>
  <c r="BK36" i="12"/>
  <c r="BE33" i="12"/>
  <c r="AA31" i="12"/>
  <c r="AP5" i="12"/>
  <c r="I20" i="12"/>
  <c r="R42" i="12"/>
  <c r="U20" i="12"/>
  <c r="AP17" i="12"/>
  <c r="AJ13" i="12"/>
  <c r="AM18" i="12"/>
  <c r="AS20" i="12"/>
  <c r="U29" i="12"/>
  <c r="AM27" i="12"/>
  <c r="AS29" i="12"/>
  <c r="AP26" i="12"/>
  <c r="AP27" i="12"/>
  <c r="AM28" i="12"/>
  <c r="AS30" i="12"/>
  <c r="AM5" i="12"/>
  <c r="AM37" i="12"/>
  <c r="AS40" i="12"/>
  <c r="AJ20" i="12"/>
  <c r="AM17" i="12"/>
  <c r="AS19" i="12"/>
  <c r="AJ12" i="12"/>
  <c r="AS13" i="12"/>
  <c r="AJ9" i="12"/>
  <c r="AJ14" i="12"/>
  <c r="AM19" i="12"/>
  <c r="AP18" i="12"/>
  <c r="AS21" i="12"/>
  <c r="U33" i="12"/>
  <c r="AS33" i="12"/>
  <c r="AP29" i="12"/>
  <c r="AM31" i="12"/>
  <c r="BK20" i="12"/>
  <c r="AY10" i="12"/>
  <c r="BE17" i="12"/>
  <c r="BK32" i="12"/>
  <c r="BE29" i="12"/>
  <c r="AD31" i="12"/>
  <c r="AS5" i="12"/>
  <c r="BK28" i="12"/>
  <c r="BE25" i="12"/>
  <c r="BE38" i="12"/>
  <c r="BK42" i="12"/>
  <c r="AY9" i="12"/>
  <c r="BK16" i="12"/>
  <c r="BK15" i="12"/>
  <c r="AD29" i="12"/>
  <c r="AG32" i="12"/>
  <c r="AA23" i="12"/>
  <c r="AG26" i="12"/>
  <c r="AD17" i="12"/>
  <c r="AG17" i="12"/>
  <c r="AA16" i="12"/>
  <c r="AG19" i="12"/>
  <c r="AD10" i="12"/>
  <c r="AG10" i="12"/>
  <c r="AG23" i="12"/>
  <c r="AG12" i="12"/>
  <c r="AD8" i="12"/>
  <c r="X19" i="12"/>
  <c r="AG41" i="12"/>
  <c r="X20" i="12"/>
  <c r="AG42" i="12"/>
  <c r="AA12" i="12"/>
  <c r="AD12" i="12"/>
  <c r="X7" i="12"/>
  <c r="U22" i="12"/>
  <c r="AA10" i="12"/>
  <c r="AA29" i="12"/>
  <c r="X12" i="12"/>
  <c r="AD23" i="12"/>
  <c r="AA20" i="12"/>
  <c r="F25" i="12"/>
  <c r="F26" i="12"/>
  <c r="L10" i="12"/>
  <c r="O10" i="12"/>
  <c r="L24" i="12"/>
  <c r="I15" i="12"/>
  <c r="O24" i="12"/>
  <c r="L44" i="12"/>
  <c r="I23" i="12"/>
  <c r="L15" i="12"/>
  <c r="O18" i="12"/>
  <c r="F14" i="12"/>
  <c r="AA15" i="12"/>
  <c r="U14" i="12"/>
  <c r="AD18" i="12"/>
  <c r="L9" i="12"/>
  <c r="O9" i="12"/>
  <c r="L42" i="12"/>
  <c r="O41" i="12"/>
  <c r="L41" i="12"/>
  <c r="L23" i="12"/>
  <c r="O23" i="12"/>
  <c r="O31" i="12"/>
  <c r="L31" i="12"/>
  <c r="X9" i="12"/>
  <c r="AA45" i="12"/>
  <c r="L37" i="12"/>
  <c r="L35" i="12"/>
  <c r="O34" i="12"/>
  <c r="AA34" i="12"/>
  <c r="I14" i="12"/>
  <c r="L22" i="12"/>
  <c r="O22" i="12"/>
  <c r="O8" i="12"/>
  <c r="L8" i="12"/>
  <c r="O30" i="12"/>
  <c r="L30" i="12"/>
  <c r="X5" i="12"/>
  <c r="AA37" i="12"/>
  <c r="L13" i="12"/>
  <c r="O13" i="12"/>
  <c r="L12" i="12"/>
  <c r="O12" i="12"/>
  <c r="I7" i="12"/>
  <c r="I9" i="12"/>
  <c r="I8" i="12"/>
  <c r="L28" i="12"/>
  <c r="AA42" i="12"/>
  <c r="AA28" i="12"/>
  <c r="AA17" i="12"/>
  <c r="O7" i="12"/>
  <c r="L7" i="12"/>
  <c r="L17" i="12"/>
  <c r="I21" i="12"/>
  <c r="I12" i="12"/>
  <c r="L20" i="12"/>
  <c r="O39" i="12"/>
  <c r="L39" i="12"/>
  <c r="U5" i="12"/>
  <c r="AA6" i="12"/>
  <c r="AD6" i="12"/>
  <c r="L33" i="12"/>
  <c r="O6" i="12"/>
  <c r="F5" i="12"/>
  <c r="L6" i="12"/>
  <c r="O38" i="12"/>
  <c r="L38" i="12"/>
  <c r="L34" i="12"/>
  <c r="I13" i="12"/>
  <c r="O21" i="12"/>
  <c r="L21" i="12"/>
  <c r="O29" i="12"/>
  <c r="L29" i="12"/>
  <c r="L45" i="12"/>
  <c r="L14" i="12"/>
  <c r="O14" i="12"/>
  <c r="L40" i="12"/>
  <c r="O40" i="12"/>
  <c r="L43" i="12"/>
  <c r="O45" i="12"/>
  <c r="O44" i="12"/>
  <c r="AA18" i="12"/>
  <c r="AD20" i="12"/>
  <c r="X10" i="12"/>
  <c r="AA33" i="12"/>
  <c r="L16" i="12"/>
  <c r="L18" i="12"/>
  <c r="I10" i="12"/>
  <c r="I22" i="12"/>
  <c r="O43" i="12"/>
  <c r="O35" i="12"/>
  <c r="L36" i="12"/>
  <c r="L25" i="12"/>
  <c r="O25" i="12"/>
  <c r="I16" i="12"/>
  <c r="I6" i="12"/>
  <c r="O11" i="12"/>
  <c r="L11" i="12"/>
  <c r="I11" i="12"/>
  <c r="L19" i="12"/>
  <c r="X6" i="12"/>
  <c r="AD11" i="12"/>
  <c r="AA11" i="12"/>
  <c r="X21" i="12"/>
  <c r="X8" i="12"/>
  <c r="U18" i="12"/>
  <c r="R5" i="2"/>
  <c r="O32" i="12" l="1"/>
  <c r="AD37" i="12"/>
  <c r="F32" i="12"/>
  <c r="F35" i="12"/>
  <c r="AP13" i="12"/>
  <c r="U17" i="12"/>
  <c r="F34" i="12"/>
  <c r="U11" i="12"/>
  <c r="T5" i="2"/>
  <c r="U6" i="2" s="1"/>
  <c r="V5" i="2" s="1"/>
  <c r="U6" i="12"/>
  <c r="F24" i="12"/>
  <c r="U19" i="12"/>
  <c r="U10" i="12"/>
  <c r="U38" i="12"/>
  <c r="AD19" i="12"/>
  <c r="F33" i="12"/>
  <c r="U27" i="12"/>
  <c r="F20" i="12"/>
  <c r="AP16" i="12"/>
  <c r="U31" i="12"/>
  <c r="U37" i="12"/>
  <c r="AD36" i="12"/>
  <c r="U13" i="12"/>
  <c r="F31" i="12"/>
  <c r="F23" i="12"/>
  <c r="U8" i="12"/>
  <c r="AD33" i="12"/>
  <c r="U40" i="12"/>
  <c r="AD42" i="12"/>
  <c r="O42" i="12"/>
  <c r="U9" i="12"/>
  <c r="U28" i="12"/>
  <c r="U7" i="12"/>
  <c r="F29" i="12"/>
  <c r="O19" i="12"/>
  <c r="U15" i="12"/>
  <c r="AP15" i="12"/>
  <c r="Q55" i="12"/>
  <c r="E4" i="14" s="1"/>
  <c r="F39" i="12"/>
  <c r="F12" i="12"/>
  <c r="F36" i="12"/>
  <c r="O20" i="12"/>
  <c r="O46" i="12"/>
  <c r="AD15" i="12"/>
  <c r="U16" i="12"/>
  <c r="O36" i="12"/>
  <c r="U21" i="12"/>
  <c r="O37" i="12"/>
  <c r="O15" i="12"/>
  <c r="U30" i="12"/>
  <c r="R55" i="12"/>
  <c r="S4" i="14" s="1"/>
  <c r="AS42" i="12"/>
  <c r="T6" i="14" s="1"/>
  <c r="AI22" i="12"/>
  <c r="G7" i="14" s="1"/>
  <c r="AJ5" i="12"/>
  <c r="AJ22" i="12" s="1"/>
  <c r="F40" i="12"/>
  <c r="O28" i="12"/>
  <c r="AM39" i="12"/>
  <c r="AP33" i="12"/>
  <c r="AL39" i="12"/>
  <c r="H7" i="14" s="1"/>
  <c r="AO37" i="12"/>
  <c r="I7" i="14" s="1"/>
  <c r="AR42" i="12"/>
  <c r="F6" i="14" s="1"/>
  <c r="BE5" i="12"/>
  <c r="BE42" i="12" s="1"/>
  <c r="W9" i="14" s="1"/>
  <c r="BD42" i="12"/>
  <c r="I9" i="14" s="1"/>
  <c r="F30" i="12"/>
  <c r="BK5" i="12"/>
  <c r="BK48" i="12" s="1"/>
  <c r="BJ48" i="12"/>
  <c r="I6" i="14" s="1"/>
  <c r="O33" i="12"/>
  <c r="AP12" i="12"/>
  <c r="AD28" i="12"/>
  <c r="AD46" i="12"/>
  <c r="U12" i="12"/>
  <c r="AD32" i="12"/>
  <c r="AP24" i="12"/>
  <c r="AY8" i="12"/>
  <c r="AY19" i="12" s="1"/>
  <c r="W8" i="14" s="1"/>
  <c r="U10" i="14" s="1"/>
  <c r="AX19" i="12"/>
  <c r="I8" i="14" s="1"/>
  <c r="O16" i="12"/>
  <c r="AD16" i="12"/>
  <c r="AG55" i="12"/>
  <c r="S5" i="14" s="1"/>
  <c r="F37" i="12"/>
  <c r="AF55" i="12"/>
  <c r="E5" i="14" s="1"/>
  <c r="F17" i="12"/>
  <c r="F6" i="12"/>
  <c r="X25" i="12"/>
  <c r="U5" i="14" s="1"/>
  <c r="F22" i="12"/>
  <c r="F10" i="12"/>
  <c r="F21" i="12"/>
  <c r="F28" i="12"/>
  <c r="F18" i="12"/>
  <c r="F13" i="12"/>
  <c r="F11" i="12"/>
  <c r="AD5" i="12"/>
  <c r="AC48" i="12"/>
  <c r="I5" i="14" s="1"/>
  <c r="F27" i="12"/>
  <c r="K47" i="12"/>
  <c r="H4" i="14" s="1"/>
  <c r="L5" i="12"/>
  <c r="L47" i="12" s="1"/>
  <c r="V4" i="14" s="1"/>
  <c r="F19" i="12"/>
  <c r="F16" i="12"/>
  <c r="F9" i="12"/>
  <c r="O5" i="12"/>
  <c r="N48" i="12"/>
  <c r="I4" i="14" s="1"/>
  <c r="F7" i="12"/>
  <c r="AA5" i="12"/>
  <c r="AA47" i="12" s="1"/>
  <c r="V5" i="14" s="1"/>
  <c r="Z47" i="12"/>
  <c r="H5" i="14" s="1"/>
  <c r="F38" i="12"/>
  <c r="T42" i="12"/>
  <c r="F8" i="12"/>
  <c r="I5" i="12"/>
  <c r="I25" i="12" s="1"/>
  <c r="U4" i="14" s="1"/>
  <c r="H25" i="12"/>
  <c r="G4" i="14" s="1"/>
  <c r="W25" i="12"/>
  <c r="G5" i="14" s="1"/>
  <c r="F15" i="12"/>
  <c r="AG34" i="2"/>
  <c r="AF35" i="2" s="1"/>
  <c r="AG36" i="2"/>
  <c r="AF37" i="2" s="1"/>
  <c r="AG32" i="2"/>
  <c r="AI32" i="2" s="1"/>
  <c r="AH33" i="2" s="1"/>
  <c r="AG31" i="2"/>
  <c r="AF32" i="2" s="1"/>
  <c r="AG33" i="2"/>
  <c r="AI33" i="2" s="1"/>
  <c r="AH34" i="2" s="1"/>
  <c r="AG35" i="2"/>
  <c r="AF36" i="2" s="1"/>
  <c r="AE37" i="2"/>
  <c r="AG37" i="2" s="1"/>
  <c r="AI37" i="2" s="1"/>
  <c r="U7" i="2"/>
  <c r="V6" i="2" s="1"/>
  <c r="F5" i="14" l="1"/>
  <c r="A72" i="16"/>
  <c r="I12" i="14"/>
  <c r="F8" i="14"/>
  <c r="F10" i="14"/>
  <c r="V10" i="14"/>
  <c r="W6" i="14"/>
  <c r="S10" i="14" s="1"/>
  <c r="S7" i="14"/>
  <c r="U7" i="14"/>
  <c r="T8" i="14" s="1"/>
  <c r="G10" i="14"/>
  <c r="AK8" i="14"/>
  <c r="AI10" i="14" s="1"/>
  <c r="S8" i="14"/>
  <c r="V7" i="14"/>
  <c r="AJ7" i="14" s="1"/>
  <c r="AH9" i="14" s="1"/>
  <c r="AF34" i="2"/>
  <c r="AI31" i="2"/>
  <c r="AH32" i="2" s="1"/>
  <c r="AI34" i="2"/>
  <c r="AH35" i="2" s="1"/>
  <c r="AF33" i="2"/>
  <c r="AI36" i="2"/>
  <c r="AH37" i="2" s="1"/>
  <c r="U9" i="14"/>
  <c r="C10" i="14"/>
  <c r="AP37" i="12"/>
  <c r="U42" i="12"/>
  <c r="T5" i="14" s="1"/>
  <c r="R7" i="14" s="1"/>
  <c r="E42" i="12"/>
  <c r="F4" i="14" s="1"/>
  <c r="O48" i="12"/>
  <c r="AD48" i="12"/>
  <c r="W5" i="14" s="1"/>
  <c r="R10" i="14" s="1"/>
  <c r="AK9" i="14"/>
  <c r="AJ10" i="14" s="1"/>
  <c r="H10" i="14"/>
  <c r="H12" i="14" s="1"/>
  <c r="AJ8" i="14"/>
  <c r="AI9" i="14" s="1"/>
  <c r="G9" i="14"/>
  <c r="D10" i="14"/>
  <c r="E7" i="14"/>
  <c r="AH6" i="14"/>
  <c r="AG7" i="14" s="1"/>
  <c r="E10" i="14"/>
  <c r="R8" i="14"/>
  <c r="E9" i="14"/>
  <c r="Q8" i="14"/>
  <c r="E8" i="14"/>
  <c r="AI6" i="14"/>
  <c r="AG8" i="14" s="1"/>
  <c r="C9" i="14"/>
  <c r="F9" i="14"/>
  <c r="D9" i="14"/>
  <c r="F42" i="12"/>
  <c r="T4" i="14" s="1"/>
  <c r="Q7" i="14" s="1"/>
  <c r="AI35" i="2"/>
  <c r="AH36" i="2" s="1"/>
  <c r="U8" i="2"/>
  <c r="E12" i="14" l="1"/>
  <c r="G12" i="14"/>
  <c r="AK6" i="14"/>
  <c r="AG10" i="14" s="1"/>
  <c r="F12" i="14"/>
  <c r="T9" i="14"/>
  <c r="S9" i="14"/>
  <c r="W7" i="14"/>
  <c r="Q9" i="14"/>
  <c r="W4" i="14"/>
  <c r="X4" i="14" s="1"/>
  <c r="AK5" i="14"/>
  <c r="AF10" i="14" s="1"/>
  <c r="X8" i="14"/>
  <c r="AI7" i="14"/>
  <c r="AH8" i="14" s="1"/>
  <c r="J9" i="14"/>
  <c r="J5" i="14"/>
  <c r="J10" i="14"/>
  <c r="J4" i="14"/>
  <c r="R6" i="14"/>
  <c r="X6" i="14" s="1"/>
  <c r="X5" i="14"/>
  <c r="R9" i="14"/>
  <c r="X9" i="14" s="1"/>
  <c r="AJ6" i="14"/>
  <c r="AG9" i="14" s="1"/>
  <c r="C6" i="14"/>
  <c r="C7" i="14"/>
  <c r="AH4" i="14"/>
  <c r="AE7" i="14" s="1"/>
  <c r="D6" i="14"/>
  <c r="AG5" i="14"/>
  <c r="AF6" i="14" s="1"/>
  <c r="D7" i="14"/>
  <c r="AH5" i="14"/>
  <c r="AF7" i="14" s="1"/>
  <c r="C8" i="14"/>
  <c r="AI4" i="14"/>
  <c r="AE8" i="14" s="1"/>
  <c r="D8" i="14"/>
  <c r="AI5" i="14"/>
  <c r="AF8" i="14" s="1"/>
  <c r="AJ5" i="14"/>
  <c r="AF9" i="14" s="1"/>
  <c r="AJ4" i="14"/>
  <c r="AE9" i="14" s="1"/>
  <c r="U9" i="2"/>
  <c r="V8" i="2" s="1"/>
  <c r="V7" i="2"/>
  <c r="C12" i="14" l="1"/>
  <c r="D12" i="14"/>
  <c r="Q10" i="14"/>
  <c r="AK4" i="14"/>
  <c r="AE10" i="14" s="1"/>
  <c r="T10" i="14"/>
  <c r="X10" i="14" s="1"/>
  <c r="AK7" i="14"/>
  <c r="AH10" i="14" s="1"/>
  <c r="X7" i="14"/>
  <c r="AG4" i="14"/>
  <c r="AE6" i="14" s="1"/>
  <c r="J7" i="14"/>
  <c r="J8" i="14"/>
  <c r="J6" i="14"/>
  <c r="Q6" i="14"/>
  <c r="U10" i="2"/>
  <c r="V9" i="2" s="1"/>
  <c r="U11" i="2" l="1"/>
  <c r="U12" i="2" l="1"/>
  <c r="V11" i="2" s="1"/>
  <c r="V10" i="2"/>
  <c r="U13" i="2" l="1"/>
  <c r="V12" i="2" s="1"/>
  <c r="U14" i="2" l="1"/>
  <c r="V13" i="2"/>
  <c r="U15" i="2" l="1"/>
  <c r="V14" i="2" s="1"/>
  <c r="U16" i="2" l="1"/>
  <c r="V15" i="2" s="1"/>
  <c r="U17" i="2" l="1"/>
  <c r="V16" i="2" s="1"/>
  <c r="U18" i="2" l="1"/>
  <c r="V17" i="2" s="1"/>
  <c r="U19" i="2" l="1"/>
  <c r="V18" i="2" s="1"/>
  <c r="U20" i="2" l="1"/>
  <c r="V19" i="2" s="1"/>
  <c r="U21" i="2" l="1"/>
  <c r="V20" i="2" s="1"/>
  <c r="U22" i="2" l="1"/>
  <c r="V21" i="2" s="1"/>
  <c r="U23" i="2" l="1"/>
  <c r="V22" i="2" s="1"/>
  <c r="U24" i="2" l="1"/>
  <c r="V23" i="2" s="1"/>
  <c r="U25" i="2" l="1"/>
  <c r="U26" i="2" l="1"/>
  <c r="V25" i="2" s="1"/>
  <c r="V24" i="2"/>
  <c r="U27" i="2" l="1"/>
  <c r="V26" i="2" s="1"/>
  <c r="U28" i="2" l="1"/>
  <c r="U29" i="2" l="1"/>
  <c r="V28" i="2" s="1"/>
  <c r="V27" i="2"/>
  <c r="U30" i="2" l="1"/>
  <c r="U31" i="2" l="1"/>
  <c r="V30" i="2" s="1"/>
  <c r="V29" i="2"/>
  <c r="U32" i="2" l="1"/>
  <c r="U33" i="2" l="1"/>
  <c r="V32" i="2"/>
  <c r="V31" i="2"/>
  <c r="U34" i="2" l="1"/>
  <c r="U35" i="2" l="1"/>
  <c r="V33" i="2"/>
  <c r="U36" i="2" l="1"/>
  <c r="V35" i="2"/>
  <c r="V34" i="2"/>
  <c r="U37" i="2" l="1"/>
  <c r="V36" i="2"/>
  <c r="U38" i="2" l="1"/>
  <c r="U39" i="2" l="1"/>
  <c r="V37" i="2"/>
  <c r="U40" i="2" l="1"/>
  <c r="V38" i="2"/>
  <c r="U41" i="2" l="1"/>
  <c r="V41" i="2" s="1"/>
  <c r="V39" i="2"/>
  <c r="V40" i="2" l="1"/>
  <c r="V43" i="2" s="1"/>
  <c r="C14" i="14" l="1"/>
</calcChain>
</file>

<file path=xl/sharedStrings.xml><?xml version="1.0" encoding="utf-8"?>
<sst xmlns="http://schemas.openxmlformats.org/spreadsheetml/2006/main" count="1184" uniqueCount="331">
  <si>
    <t>Boeing 767-300</t>
  </si>
  <si>
    <t>Airbus A330-900</t>
  </si>
  <si>
    <t>Sukhoi Superjet 100</t>
  </si>
  <si>
    <t>GE C7-5A2</t>
  </si>
  <si>
    <t>Saab 340</t>
  </si>
  <si>
    <t>PW 125B</t>
  </si>
  <si>
    <t>Fokker 50</t>
  </si>
  <si>
    <t>Fokker 70</t>
  </si>
  <si>
    <t>RR Tay 650</t>
  </si>
  <si>
    <t>Fokker 100</t>
  </si>
  <si>
    <t>AE3007 A1</t>
  </si>
  <si>
    <t>Embraer ERJ-145</t>
  </si>
  <si>
    <t>Embraer ERJ-140</t>
  </si>
  <si>
    <t>Embraer ERJ-135</t>
  </si>
  <si>
    <t>PW118A</t>
  </si>
  <si>
    <t>Embraer EMB-120 Brasilia</t>
  </si>
  <si>
    <t>PW1921G</t>
  </si>
  <si>
    <t>Embraer E195-E2</t>
  </si>
  <si>
    <t>CF34-10E7</t>
  </si>
  <si>
    <t>Embraer E195</t>
  </si>
  <si>
    <t>PW1919G</t>
  </si>
  <si>
    <t>Embraer E190-E2</t>
  </si>
  <si>
    <t>CF34-10E5A</t>
  </si>
  <si>
    <t>Embraer E190</t>
  </si>
  <si>
    <t>CF34-8E5A1</t>
  </si>
  <si>
    <t>Embraer E175</t>
  </si>
  <si>
    <t>Embraer E170</t>
  </si>
  <si>
    <t>TPE331-10</t>
  </si>
  <si>
    <t>Dornier 228</t>
  </si>
  <si>
    <t>PT6A-34</t>
  </si>
  <si>
    <t xml:space="preserve">De Havilland Canada Twin Otter </t>
  </si>
  <si>
    <t>PW150A</t>
  </si>
  <si>
    <t>De Havilland Canada Dash 8 Q400</t>
  </si>
  <si>
    <t>PW 120A</t>
  </si>
  <si>
    <t>De Havilland Canada Dash 8 Q100</t>
  </si>
  <si>
    <t>Bombardier CRJ1000</t>
  </si>
  <si>
    <t>CF34-8C5</t>
  </si>
  <si>
    <t>Bombardier CRJ900</t>
  </si>
  <si>
    <t>CF34-8C1</t>
  </si>
  <si>
    <t>Bombardier CRJ700</t>
  </si>
  <si>
    <t>GE CF34-3A1</t>
  </si>
  <si>
    <r>
      <t>Bombardier CRJ</t>
    </r>
    <r>
      <rPr>
        <b/>
        <sz val="11"/>
        <color theme="1"/>
        <rFont val="Calibri"/>
        <family val="2"/>
        <scheme val="minor"/>
      </rPr>
      <t>200</t>
    </r>
  </si>
  <si>
    <r>
      <t xml:space="preserve">Bombardier </t>
    </r>
    <r>
      <rPr>
        <b/>
        <sz val="11"/>
        <color theme="1"/>
        <rFont val="Calibri"/>
        <family val="2"/>
        <scheme val="minor"/>
      </rPr>
      <t>CRJ100</t>
    </r>
  </si>
  <si>
    <t>PW 123</t>
  </si>
  <si>
    <t xml:space="preserve">De Havilland Canada Dash 8 Q300 </t>
  </si>
  <si>
    <t xml:space="preserve">De Havilland Canada Dash 8 Q200 </t>
  </si>
  <si>
    <t>Boeing MD-90</t>
  </si>
  <si>
    <t>JT8D-209</t>
  </si>
  <si>
    <t>Boeing MD-80</t>
  </si>
  <si>
    <t>CF6-80C2D1F</t>
  </si>
  <si>
    <t>Boeing MD-11</t>
  </si>
  <si>
    <t>Boeing 787-10</t>
  </si>
  <si>
    <t>general electric</t>
  </si>
  <si>
    <t>Boeing 787-9</t>
  </si>
  <si>
    <t>Boeing 787-8</t>
  </si>
  <si>
    <t>GE90115B1</t>
  </si>
  <si>
    <t>Boeing 777-300ER</t>
  </si>
  <si>
    <t>Boeing 777-300</t>
  </si>
  <si>
    <t>Boeing 777-200LR</t>
  </si>
  <si>
    <t>GE 90-B5</t>
  </si>
  <si>
    <t>Boeing 777-200ER</t>
  </si>
  <si>
    <t>Boeing 777-200</t>
  </si>
  <si>
    <t>CF6-80C2-B8</t>
  </si>
  <si>
    <t>Boeing 767-400ER</t>
  </si>
  <si>
    <t>CF6-80C2-B2</t>
  </si>
  <si>
    <t>Boeing 767-300ER</t>
  </si>
  <si>
    <t>Boeing 757-300</t>
  </si>
  <si>
    <t>RB211-535C</t>
  </si>
  <si>
    <t>Boeing 757-200</t>
  </si>
  <si>
    <t>G</t>
  </si>
  <si>
    <t>GE nx2B</t>
  </si>
  <si>
    <t>Boeing 747-8</t>
  </si>
  <si>
    <t>F</t>
  </si>
  <si>
    <t>CF6-80C2B1F</t>
  </si>
  <si>
    <t>Boeing 747-400</t>
  </si>
  <si>
    <t>E</t>
  </si>
  <si>
    <t>CFM56-7B series</t>
  </si>
  <si>
    <t>Boeing 737-900</t>
  </si>
  <si>
    <t>D</t>
  </si>
  <si>
    <t>Boeing 737-800</t>
  </si>
  <si>
    <t>C</t>
  </si>
  <si>
    <t>Boeing 737-700</t>
  </si>
  <si>
    <t>B</t>
  </si>
  <si>
    <t>CFM56-3B-1</t>
  </si>
  <si>
    <t>Boeing 737-500</t>
  </si>
  <si>
    <t>A</t>
  </si>
  <si>
    <t>CFM56-3B-2</t>
  </si>
  <si>
    <t>Boeing 737-400</t>
  </si>
  <si>
    <t>max</t>
  </si>
  <si>
    <t>min</t>
  </si>
  <si>
    <t>Rating</t>
  </si>
  <si>
    <t>Boeing 737-300</t>
  </si>
  <si>
    <t>Overall Rating</t>
  </si>
  <si>
    <t>Normalized 0-1</t>
  </si>
  <si>
    <t>Range</t>
  </si>
  <si>
    <t>Boeing 737 MAX 9</t>
  </si>
  <si>
    <t>Boeing 737 MAX 8</t>
  </si>
  <si>
    <t>BR715</t>
  </si>
  <si>
    <t>Boeing 717-200</t>
  </si>
  <si>
    <t>PT6A-67</t>
  </si>
  <si>
    <t>Beechcraft 1900D</t>
  </si>
  <si>
    <t>PW 127</t>
  </si>
  <si>
    <t>ATR 72</t>
  </si>
  <si>
    <t>PW127E/M</t>
  </si>
  <si>
    <t>ATR 42</t>
  </si>
  <si>
    <t>TRENT 900</t>
  </si>
  <si>
    <t>Airbus A380-800</t>
  </si>
  <si>
    <t>Airbus A350-1000</t>
  </si>
  <si>
    <t>Airbus A350-900ULR</t>
  </si>
  <si>
    <t>Airbus A350-900</t>
  </si>
  <si>
    <t>RB 211 TRENT 556</t>
  </si>
  <si>
    <t>Airbus A340-600</t>
  </si>
  <si>
    <t>CFM56-5C2</t>
  </si>
  <si>
    <t>Airbus A340-300</t>
  </si>
  <si>
    <t>GE CF6-80E1</t>
  </si>
  <si>
    <t>Airbus A330-300</t>
  </si>
  <si>
    <t>Airbus A330-200</t>
  </si>
  <si>
    <t>Airbus A321neo</t>
  </si>
  <si>
    <t>Airbus A321</t>
  </si>
  <si>
    <t>Airbus A320neo</t>
  </si>
  <si>
    <t>Airbus A320</t>
  </si>
  <si>
    <t>Airbus A319</t>
  </si>
  <si>
    <t>Airbus A318</t>
  </si>
  <si>
    <t>CF6-80C2</t>
  </si>
  <si>
    <t>Airbus A310</t>
  </si>
  <si>
    <t>CF6-50C</t>
  </si>
  <si>
    <t>Airbus A300</t>
  </si>
  <si>
    <t>PW1524G</t>
  </si>
  <si>
    <t>Airbus A220-300</t>
  </si>
  <si>
    <t>Airbus A220-100</t>
  </si>
  <si>
    <t>Index</t>
  </si>
  <si>
    <t>Sorted Minimum to Maximum</t>
  </si>
  <si>
    <t>Amount Per Rating</t>
  </si>
  <si>
    <t>Scale Range</t>
  </si>
  <si>
    <t>Amount A/C in Interval</t>
  </si>
  <si>
    <t>Interval</t>
  </si>
  <si>
    <t>Minimum Value</t>
  </si>
  <si>
    <t>Maximum Value</t>
  </si>
  <si>
    <t>Total Number of Useful Data</t>
  </si>
  <si>
    <t>Valid Values</t>
  </si>
  <si>
    <t>OEM Based Fuel Consumption  (kg/km/seat)</t>
  </si>
  <si>
    <t>Fuel Consumption (kg/km)</t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</si>
  <si>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</si>
  <si>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(km)</t>
    </r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</si>
  <si>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</si>
  <si>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(km)</t>
    </r>
  </si>
  <si>
    <t>Max Fuel Mass (kg)</t>
  </si>
  <si>
    <t>MZFW (kg)</t>
  </si>
  <si>
    <t>MTOW (kg)</t>
  </si>
  <si>
    <r>
      <t>Typical Seating Calculated when Layout Unkown (=0.6696n</t>
    </r>
    <r>
      <rPr>
        <b/>
        <i/>
        <vertAlign val="subscript"/>
        <sz val="12"/>
        <color theme="1"/>
        <rFont val="Calibri"/>
        <family val="2"/>
        <scheme val="minor"/>
      </rPr>
      <t>max</t>
    </r>
    <r>
      <rPr>
        <b/>
        <i/>
        <sz val="12"/>
        <color theme="1"/>
        <rFont val="Calibri"/>
        <family val="2"/>
        <scheme val="minor"/>
      </rPr>
      <t>+22.858) (-)</t>
    </r>
  </si>
  <si>
    <t>Typical/Max (-)</t>
  </si>
  <si>
    <t>Typical Seating (-)</t>
  </si>
  <si>
    <t>Maximum Number of Pax Single Class (-)</t>
  </si>
  <si>
    <t xml:space="preserve">Engine </t>
  </si>
  <si>
    <t>Aircraft Type</t>
  </si>
  <si>
    <t>Data from airport planning documents</t>
  </si>
  <si>
    <t>Fuel Performance Rating</t>
  </si>
  <si>
    <t>Boeing 737 Max 8</t>
  </si>
  <si>
    <t>Bombardier CRJ200</t>
  </si>
  <si>
    <t>Bombardier CRJ100</t>
  </si>
  <si>
    <t>Total passenger A/C</t>
  </si>
  <si>
    <t>Aircraft Typ</t>
  </si>
  <si>
    <t>Fuel Consumption SAR (kg/km)</t>
  </si>
  <si>
    <t>Fuel Consumption Extended Payload  (kg/km)</t>
  </si>
  <si>
    <t>no data</t>
  </si>
  <si>
    <t>A330-800:</t>
  </si>
  <si>
    <t>A330-900:</t>
  </si>
  <si>
    <t>Length [m]:</t>
  </si>
  <si>
    <t xml:space="preserve">Diameter of fuselage [m]: </t>
  </si>
  <si>
    <t xml:space="preserve">Typcial Seating: </t>
  </si>
  <si>
    <t>A330-800</t>
  </si>
  <si>
    <t>A330-900</t>
  </si>
  <si>
    <t>General Information</t>
  </si>
  <si>
    <t>MV (251000 kg MTOW)</t>
  </si>
  <si>
    <t>Metric Value (kg/km)</t>
  </si>
  <si>
    <t>1/SAR Calculation (kg/km)</t>
  </si>
  <si>
    <t>k_E</t>
  </si>
  <si>
    <t>S_wet/S_w</t>
  </si>
  <si>
    <t>Bypass</t>
  </si>
  <si>
    <t>E_max</t>
  </si>
  <si>
    <t>C_cruise (kg/sN)</t>
  </si>
  <si>
    <t>m (kg)</t>
  </si>
  <si>
    <t>Wingspan (m)</t>
  </si>
  <si>
    <t>V (Mach)</t>
  </si>
  <si>
    <t>V (m/s)</t>
  </si>
  <si>
    <t>a (m/s)</t>
  </si>
  <si>
    <t>PW1521G-3</t>
  </si>
  <si>
    <t>LEAP-1A24</t>
  </si>
  <si>
    <t>LEAP-1A30</t>
  </si>
  <si>
    <t>Trent XWB-75</t>
  </si>
  <si>
    <t>LEAP-1B25</t>
  </si>
  <si>
    <t>LEAP-1B27</t>
  </si>
  <si>
    <t>SaM146-1S17</t>
  </si>
  <si>
    <t>GE90-115B</t>
  </si>
  <si>
    <t>CFM56-5B5/P</t>
  </si>
  <si>
    <t>CFM56-5A3</t>
  </si>
  <si>
    <t>CFM56-5B1/2P</t>
  </si>
  <si>
    <t>CF6-80E1A2</t>
  </si>
  <si>
    <t>GP7270</t>
  </si>
  <si>
    <t>BR700-715A1-30</t>
  </si>
  <si>
    <t>CFM56-3B1</t>
  </si>
  <si>
    <t>CFM56-7B20</t>
  </si>
  <si>
    <t>CFM56-7B24</t>
  </si>
  <si>
    <t>PW2037</t>
  </si>
  <si>
    <t>CF6-80A</t>
  </si>
  <si>
    <t>GE90-76B</t>
  </si>
  <si>
    <t>GEnx-1B64/P1G01</t>
  </si>
  <si>
    <t>GEnx-1B67/P2G01</t>
  </si>
  <si>
    <t>CF34-3A1</t>
  </si>
  <si>
    <t>CF34-8E5</t>
  </si>
  <si>
    <t>CF34-10E2A1</t>
  </si>
  <si>
    <t>AE3007 A</t>
  </si>
  <si>
    <t>TAY 620-15</t>
  </si>
  <si>
    <t>Wing area (m^2)</t>
  </si>
  <si>
    <t>R1 (km)</t>
  </si>
  <si>
    <t>R1 (NM)</t>
  </si>
  <si>
    <t>SAR (m/kg)</t>
  </si>
  <si>
    <t>1/SAR (kg/km)</t>
  </si>
  <si>
    <t>CT7-9A/9B</t>
  </si>
  <si>
    <t>PW118</t>
  </si>
  <si>
    <t>PW120</t>
  </si>
  <si>
    <t>PW124</t>
  </si>
  <si>
    <t>PT6A-65B</t>
  </si>
  <si>
    <t>PW120A</t>
  </si>
  <si>
    <t>PW123</t>
  </si>
  <si>
    <t>Fuel consumption BADA (kg/km)</t>
  </si>
  <si>
    <t>N/A</t>
  </si>
  <si>
    <t>CRUISE related to FL 360; NOM (kg/min)</t>
  </si>
  <si>
    <t>FL 320</t>
  </si>
  <si>
    <t>MAPE</t>
  </si>
  <si>
    <t>Fuel Consumption (Harmonic Range)  (kg/km)</t>
  </si>
  <si>
    <t>m1 (kg)</t>
  </si>
  <si>
    <t>R2 (km)</t>
  </si>
  <si>
    <t>m2 (kg)</t>
  </si>
  <si>
    <t>X</t>
  </si>
  <si>
    <t>Coefficient of determination
MAPE</t>
  </si>
  <si>
    <t>Coefficient of determination</t>
  </si>
  <si>
    <t>Average</t>
  </si>
  <si>
    <t>Standard deviation</t>
  </si>
  <si>
    <t>Radius [m]:</t>
  </si>
  <si>
    <t>High [m]:</t>
  </si>
  <si>
    <t>Axis [m]:</t>
  </si>
  <si>
    <t xml:space="preserve">Length Cabin [m]: </t>
  </si>
  <si>
    <t xml:space="preserve">RGF Calculation </t>
  </si>
  <si>
    <t>Source</t>
  </si>
  <si>
    <t>https://web.archive.org/web/20230000000000*/http://commercialaircraft.bombardier.com/content/dam/Websites/bombardiercom/supporting-documents/BA/DDBC0128_Cseries-CS300_EPDbrochure_E_V27web.pdf</t>
  </si>
  <si>
    <t>https://theflyingengineer.com/aircraft/proud-to-fly-a-turboprop-q400-vs-atr72/</t>
  </si>
  <si>
    <t>https://leehamnews.com/wp-content/uploads/2015/04/737-SFC-shortfall-table.png</t>
  </si>
  <si>
    <t>https://web.archive.org/web/20140104144441/http://www.boeing.com/assets/pdf/commercial/startup/pdf/777_perf.pdf</t>
  </si>
  <si>
    <t>https://web.archive.org/web/20120219022048/http://www.aspireaviation.com/2010/12/08/boeing-777-way-much-better-than-a330/</t>
  </si>
  <si>
    <t>https://web.archive.org/web/20120526045019/http://team.aero/files/aviation_data/owners_n_operators_guide_crj.pdf</t>
  </si>
  <si>
    <t>https://www.flyradius.com/bombardier-crj1000/fuel-burn-fuel-consumption</t>
  </si>
  <si>
    <t>https://leehamnews.com/2014/01/13/embraer-continues-and-refines-its-strategy-at-the-low-end-of-100-149-seat-sector/</t>
  </si>
  <si>
    <t>https://web.archive.org/web/20180708115455/http://energy-leader.net/SSJ-100超级100/20150708-03%20Superjet100-%20E190%20A319%20Comparison超级100%20同类飞机对比.ppt</t>
  </si>
  <si>
    <t>https://web.archive.org/web/20120917104630/http://www.aircraft-commerce.com/sample_articles/sample_articles/fleet_planning_2_sample.pdf</t>
  </si>
  <si>
    <t>https://web.archive.org/web/20160206082857/http://airwaysnews.com/blog/2016/02/05/a320neo-vs-737-max-pt-ii/</t>
  </si>
  <si>
    <t>https://web.archive.org/web/20141220014306/http://www.aspireaviation.com/2010/12/08/boeing-777-way-much-better-than-a330/</t>
  </si>
  <si>
    <t xml:space="preserve">https://web.archive.org/web/20141220014306/http://www.aspireaviation.com/2010/12/08/boeing-777-way-much-better-than-a330/
</t>
  </si>
  <si>
    <t>https://web.archive.org/web/20160604085315/http://www.aspireaviation.com/2015/06/08/airbus-a350-is-the-xtra-making-the-difference/</t>
  </si>
  <si>
    <t>https://web.archive.org/web/20160918080531/https://airinsight.com/2016/07/04/updating-a380-might-engine-improvement-sharklets-provide/</t>
  </si>
  <si>
    <t>http://www.srs.aero/wordpress/wp-content/uploads/2012/02/SRS-TSD-007-Rev-0-1900D-Fuel-Emissions-Cost-Savings-Operational-Analysis.pdf</t>
  </si>
  <si>
    <t>No reference</t>
  </si>
  <si>
    <t>https://web.archive.org/web/20140725005129/http://www.boeing.com/assets/pdf/commercial/startup/pdf/737ng_perf.pdf</t>
  </si>
  <si>
    <t>https://web.archive.org/web/20101231170424/http://www.terrapass.com/images/blogposts/Air_Travel_Emissions_Paper.pdf
https://www.aircraft-commerce.com/sample_article_folder/121_FLTOPS_A.pdf</t>
  </si>
  <si>
    <t>https://www.boeing.com/resources/boeingdotcom/company/about_bca/startup/pdf/historical/757_passenger.pdf</t>
  </si>
  <si>
    <t>https://web.archive.org/web/20150415224410/http://www.boeing.com/assets/pdf/commercial/startup/pdf/767_perf.pdf</t>
  </si>
  <si>
    <t>https://leehamnews.com/wp-content/uploads/2015/03/Article-1-main-table2.png</t>
  </si>
  <si>
    <t>https://web.archive.org/web/20151117045118/http://airwaysnews.com/blog/2014/11/25/analysis-delta-order-for-a350-a330neo-hinged-on-pricing-availability/
https://web.archive.org/web/20160604085315/http://www.aspireaviation.com/2015/06/08/airbus-a350-is-the-xtra-making-the-difference/</t>
  </si>
  <si>
    <t>https://web.archive.org/web/20170822182320/http://team.aero/files/aviation_data/owners_n_operators_guide_crj.pdf</t>
  </si>
  <si>
    <t>https://web.archive.org/web/20120610044652/http://www.team.aero/files/aviation_data/owners_n_operators_guide_e_jets.pdf</t>
  </si>
  <si>
    <t>https://web.archive.org/web/20160305021423/http://airwaysnews.com/galleries/emb-120-brochure-p008_41453.jpg</t>
  </si>
  <si>
    <t>https://web.archive.org/web/20150807041353/http://team.aero/images/aviation_data_insert/owners_n_operators_guide_erj.pdf</t>
  </si>
  <si>
    <t>https://web.archive.org/web/20210323213228/https://www.saabaircraftleasing.com/prod/dataSheets/340A_JAR.pdf</t>
  </si>
  <si>
    <t>Assumption: Seats</t>
  </si>
  <si>
    <t>Assumption: Distance [km]</t>
  </si>
  <si>
    <t>Fuel Consumption (Gallons)</t>
  </si>
  <si>
    <t>Fuel Consumption (l)</t>
  </si>
  <si>
    <t>Assumption: Distance [NM]</t>
  </si>
  <si>
    <t>Fuel Consumption (kg/seat)</t>
  </si>
  <si>
    <t>World Airliner Census 2020</t>
  </si>
  <si>
    <t>https://www.flightglobal.com/download?ac=73559</t>
  </si>
  <si>
    <t>While many aircraft were sent to storage during Corona, a 100% recovery or reactivation is assumed. It is not possible to quantify exactly how many aircraft will be retired from the fleets.</t>
  </si>
  <si>
    <r>
      <t xml:space="preserve">Due to increasing deliveries of certain aircraft types, the following were included: </t>
    </r>
    <r>
      <rPr>
        <b/>
        <sz val="12"/>
        <color theme="1"/>
        <rFont val="Calibri"/>
        <family val="2"/>
        <scheme val="minor"/>
      </rPr>
      <t>Airbus A220-300, Embraer E195-E2, Boeing 737 MAX9, Bombardier CRJ1000</t>
    </r>
  </si>
  <si>
    <r>
      <t xml:space="preserve">The following were therefore not included: </t>
    </r>
    <r>
      <rPr>
        <b/>
        <sz val="12"/>
        <color theme="1"/>
        <rFont val="Calibri"/>
        <family val="2"/>
        <scheme val="minor"/>
      </rPr>
      <t>Fairchild Metro/Merlin, Beechcraft 1900C, Beechcraft B99, BAe Jetstream 31</t>
    </r>
  </si>
  <si>
    <t>Average of Average:</t>
  </si>
  <si>
    <t xml:space="preserve">Coefficient of variation </t>
  </si>
  <si>
    <t>Calculation Method</t>
  </si>
  <si>
    <t>Number</t>
  </si>
  <si>
    <t>Correction factor Method 2 / Method 3 as in Hurtecant Appendix A:</t>
  </si>
  <si>
    <t>Explanation</t>
  </si>
  <si>
    <t>Ranking: Mean absolute percentage error (MAPE)</t>
  </si>
  <si>
    <t>Ranking: Values of the eigenvector of higest eigenvalue</t>
  </si>
  <si>
    <t>Ranking: Average of regression coefficients</t>
  </si>
  <si>
    <t>High values are good!</t>
  </si>
  <si>
    <t>Low values are good!</t>
  </si>
  <si>
    <t>DMS</t>
  </si>
  <si>
    <t>Ranking: Average fuel consumption</t>
  </si>
  <si>
    <t>Fuel Consumption SAR (kg/km/seat)</t>
  </si>
  <si>
    <t>Fuel Consumption, Extended Payload-Range Diagram (kg/km/seat)</t>
  </si>
  <si>
    <t>Fuel Consumption, EEA Master Emission Calculator (kg/km/seat)</t>
  </si>
  <si>
    <t>Fuel Consumption, SAR (kg/km/seat)</t>
  </si>
  <si>
    <t>Fuel Consumption, BADA (kg/km/seat)</t>
  </si>
  <si>
    <t>Fuel Consumption, Handbook Methods (kg/km/seat)</t>
  </si>
  <si>
    <t>Fuel Consumption, Literature Review (kg/km/seat)</t>
  </si>
  <si>
    <t>Fuel Consumption, Bathtub Curve (Harmonic Range) (kg/km/seat)</t>
  </si>
  <si>
    <t>Ranking</t>
  </si>
  <si>
    <t>Fuel Consumption Metric Value (kg/km/seat)</t>
  </si>
  <si>
    <t>Fuel Consumption SAR</t>
  </si>
  <si>
    <t>Fuel Consumption EEA Master Emission Calculator</t>
  </si>
  <si>
    <t>Fuel Consumption Extended Payload</t>
  </si>
  <si>
    <t>Fuel Consumption Flugzeugentwurf Abschätzung</t>
  </si>
  <si>
    <t>Fuel Consumption Literature research</t>
  </si>
  <si>
    <t>Fuel Consumption BADA</t>
  </si>
  <si>
    <t xml:space="preserve"> in Hurtecant: 0,84</t>
  </si>
  <si>
    <t>Fuel Consumption EEA Master Emission Calculator (kg/km/seat)</t>
  </si>
  <si>
    <t>Fuel Consumption BADA (kg/km/seat)</t>
  </si>
  <si>
    <t>Fuel Consumption Literature review (kg/km/seat)</t>
  </si>
  <si>
    <t>Fuel Consumption Extended Payload Range Diagram (kg/km/seat)</t>
  </si>
  <si>
    <t>Fuel Consumption Bathtub Curve (Harmonic Range) (kg/km/seat)</t>
  </si>
  <si>
    <t>MV (242000 kg MTOW)</t>
  </si>
  <si>
    <t xml:space="preserve">MV (242000 kg MTOW) </t>
  </si>
  <si>
    <t>Fuel Consumption Bathtub Curve (Harmonic Range)</t>
  </si>
  <si>
    <t>Ranking: fuel consumption, coefficient of variation</t>
  </si>
  <si>
    <t xml:space="preserve">Ranking: fuel consumption, standard deviation </t>
  </si>
  <si>
    <t>Fuel Consumption EEA Master Emission Calculator (kg)</t>
  </si>
  <si>
    <t>Wide body (W); Narrow body (N); Turboprop (T)</t>
  </si>
  <si>
    <t>T</t>
  </si>
  <si>
    <t>N</t>
  </si>
  <si>
    <t>W</t>
  </si>
  <si>
    <t>https://www.easa.europa.eu/en/domains/environment/easa-aeroplane-co2-emissions-database-0</t>
  </si>
  <si>
    <t>Download MV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</si>
</sst>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"/>
    <numFmt numFmtId="166" formatCode="0.00000"/>
    <numFmt numFmtId="167" formatCode="0.000"/>
    <numFmt numFmtId="168" formatCode="0.0"/>
    <numFmt numFmtId="169" formatCode="0.000E+00"/>
  </numFmts>
  <fonts count="1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167">
    <xf numFmtId="0" fontId="0" fillId="0" borderId="0" xfId="0"/>
    <xf numFmtId="0" fontId="4" fillId="0" borderId="0" xfId="1"/>
    <xf numFmtId="164" fontId="4" fillId="0" borderId="0" xfId="1" applyNumberFormat="1"/>
    <xf numFmtId="165" fontId="4" fillId="0" borderId="1" xfId="1" applyNumberFormat="1" applyBorder="1"/>
    <xf numFmtId="166" fontId="4" fillId="0" borderId="2" xfId="1" applyNumberFormat="1" applyBorder="1"/>
    <xf numFmtId="0" fontId="4" fillId="0" borderId="1" xfId="1" applyBorder="1"/>
    <xf numFmtId="0" fontId="4" fillId="0" borderId="3" xfId="1" applyBorder="1"/>
    <xf numFmtId="0" fontId="4" fillId="0" borderId="2" xfId="1" applyBorder="1"/>
    <xf numFmtId="167" fontId="4" fillId="0" borderId="3" xfId="1" applyNumberFormat="1" applyBorder="1"/>
    <xf numFmtId="0" fontId="4" fillId="2" borderId="2" xfId="1" applyFill="1" applyBorder="1"/>
    <xf numFmtId="1" fontId="4" fillId="0" borderId="0" xfId="1" applyNumberFormat="1"/>
    <xf numFmtId="165" fontId="4" fillId="0" borderId="4" xfId="1" applyNumberFormat="1" applyBorder="1"/>
    <xf numFmtId="165" fontId="4" fillId="0" borderId="5" xfId="1" applyNumberFormat="1" applyBorder="1"/>
    <xf numFmtId="166" fontId="4" fillId="0" borderId="6" xfId="1" applyNumberFormat="1" applyBorder="1"/>
    <xf numFmtId="0" fontId="4" fillId="0" borderId="5" xfId="1" applyBorder="1"/>
    <xf numFmtId="0" fontId="4" fillId="0" borderId="7" xfId="1" applyBorder="1"/>
    <xf numFmtId="0" fontId="4" fillId="0" borderId="6" xfId="1" applyBorder="1"/>
    <xf numFmtId="167" fontId="4" fillId="0" borderId="7" xfId="1" applyNumberFormat="1" applyBorder="1"/>
    <xf numFmtId="0" fontId="4" fillId="2" borderId="6" xfId="1" applyFill="1" applyBorder="1"/>
    <xf numFmtId="165" fontId="4" fillId="0" borderId="0" xfId="1" applyNumberFormat="1"/>
    <xf numFmtId="0" fontId="5" fillId="2" borderId="6" xfId="1" applyFont="1" applyFill="1" applyBorder="1"/>
    <xf numFmtId="165" fontId="4" fillId="0" borderId="8" xfId="1" applyNumberFormat="1" applyBorder="1"/>
    <xf numFmtId="164" fontId="4" fillId="0" borderId="7" xfId="1" applyNumberFormat="1" applyBorder="1"/>
    <xf numFmtId="1" fontId="4" fillId="0" borderId="5" xfId="1" applyNumberFormat="1" applyBorder="1"/>
    <xf numFmtId="1" fontId="4" fillId="0" borderId="7" xfId="1" applyNumberFormat="1" applyBorder="1"/>
    <xf numFmtId="0" fontId="4" fillId="0" borderId="9" xfId="1" applyBorder="1"/>
    <xf numFmtId="165" fontId="4" fillId="3" borderId="10" xfId="1" applyNumberFormat="1" applyFill="1" applyBorder="1"/>
    <xf numFmtId="166" fontId="4" fillId="3" borderId="11" xfId="1" applyNumberFormat="1" applyFill="1" applyBorder="1"/>
    <xf numFmtId="165" fontId="4" fillId="3" borderId="11" xfId="1" applyNumberFormat="1" applyFill="1" applyBorder="1"/>
    <xf numFmtId="0" fontId="2" fillId="3" borderId="11" xfId="1" applyFont="1" applyFill="1" applyBorder="1" applyAlignment="1">
      <alignment horizontal="center"/>
    </xf>
    <xf numFmtId="166" fontId="4" fillId="3" borderId="12" xfId="1" applyNumberFormat="1" applyFill="1" applyBorder="1"/>
    <xf numFmtId="165" fontId="4" fillId="3" borderId="13" xfId="1" applyNumberFormat="1" applyFill="1" applyBorder="1"/>
    <xf numFmtId="165" fontId="4" fillId="3" borderId="12" xfId="1" applyNumberFormat="1" applyFill="1" applyBorder="1"/>
    <xf numFmtId="0" fontId="2" fillId="3" borderId="13" xfId="1" applyFont="1" applyFill="1" applyBorder="1" applyAlignment="1">
      <alignment horizontal="center"/>
    </xf>
    <xf numFmtId="166" fontId="4" fillId="3" borderId="13" xfId="1" applyNumberFormat="1" applyFill="1" applyBorder="1"/>
    <xf numFmtId="0" fontId="4" fillId="3" borderId="13" xfId="1" applyFill="1" applyBorder="1"/>
    <xf numFmtId="0" fontId="4" fillId="3" borderId="14" xfId="1" applyFill="1" applyBorder="1" applyAlignment="1">
      <alignment horizontal="center"/>
    </xf>
    <xf numFmtId="0" fontId="4" fillId="3" borderId="15" xfId="1" applyFill="1" applyBorder="1" applyAlignment="1">
      <alignment horizontal="center"/>
    </xf>
    <xf numFmtId="0" fontId="2" fillId="3" borderId="15" xfId="1" applyFont="1" applyFill="1" applyBorder="1" applyAlignment="1">
      <alignment horizontal="center"/>
    </xf>
    <xf numFmtId="0" fontId="3" fillId="4" borderId="16" xfId="1" applyFont="1" applyFill="1" applyBorder="1"/>
    <xf numFmtId="0" fontId="1" fillId="4" borderId="17" xfId="1" applyFont="1" applyFill="1" applyBorder="1"/>
    <xf numFmtId="0" fontId="3" fillId="5" borderId="16" xfId="1" applyFont="1" applyFill="1" applyBorder="1"/>
    <xf numFmtId="0" fontId="1" fillId="5" borderId="17" xfId="1" applyFont="1" applyFill="1" applyBorder="1"/>
    <xf numFmtId="0" fontId="4" fillId="3" borderId="18" xfId="1" applyFill="1" applyBorder="1"/>
    <xf numFmtId="168" fontId="4" fillId="0" borderId="0" xfId="1" applyNumberFormat="1"/>
    <xf numFmtId="0" fontId="4" fillId="0" borderId="19" xfId="1" applyBorder="1"/>
    <xf numFmtId="164" fontId="4" fillId="0" borderId="19" xfId="1" applyNumberFormat="1" applyBorder="1"/>
    <xf numFmtId="1" fontId="4" fillId="0" borderId="20" xfId="1" applyNumberFormat="1" applyBorder="1"/>
    <xf numFmtId="1" fontId="4" fillId="0" borderId="19" xfId="1" applyNumberFormat="1" applyBorder="1"/>
    <xf numFmtId="0" fontId="4" fillId="0" borderId="20" xfId="1" applyBorder="1"/>
    <xf numFmtId="165" fontId="4" fillId="0" borderId="19" xfId="1" applyNumberFormat="1" applyBorder="1"/>
    <xf numFmtId="0" fontId="4" fillId="0" borderId="21" xfId="1" applyBorder="1"/>
    <xf numFmtId="0" fontId="4" fillId="0" borderId="22" xfId="1" applyBorder="1"/>
    <xf numFmtId="0" fontId="4" fillId="2" borderId="22" xfId="1" applyFill="1" applyBorder="1"/>
    <xf numFmtId="0" fontId="4" fillId="0" borderId="0" xfId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24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4" fillId="0" borderId="0" xfId="1" applyAlignment="1">
      <alignment horizontal="center"/>
    </xf>
    <xf numFmtId="0" fontId="9" fillId="0" borderId="0" xfId="1" applyFont="1"/>
    <xf numFmtId="0" fontId="10" fillId="0" borderId="0" xfId="1" applyFont="1"/>
    <xf numFmtId="0" fontId="10" fillId="7" borderId="0" xfId="1" applyFont="1" applyFill="1"/>
    <xf numFmtId="0" fontId="11" fillId="8" borderId="0" xfId="1" applyFont="1" applyFill="1"/>
    <xf numFmtId="0" fontId="0" fillId="0" borderId="5" xfId="0" applyBorder="1"/>
    <xf numFmtId="0" fontId="0" fillId="3" borderId="29" xfId="0" applyFill="1" applyBorder="1"/>
    <xf numFmtId="0" fontId="0" fillId="0" borderId="12" xfId="0" applyBorder="1"/>
    <xf numFmtId="0" fontId="2" fillId="0" borderId="0" xfId="0" applyFont="1"/>
    <xf numFmtId="0" fontId="0" fillId="9" borderId="29" xfId="0" applyFill="1" applyBorder="1"/>
    <xf numFmtId="0" fontId="0" fillId="9" borderId="0" xfId="0" applyFill="1"/>
    <xf numFmtId="0" fontId="14" fillId="11" borderId="7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7" fillId="3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4" fillId="11" borderId="0" xfId="0" applyFont="1" applyFill="1" applyAlignment="1">
      <alignment vertical="center" wrapText="1"/>
    </xf>
    <xf numFmtId="0" fontId="0" fillId="0" borderId="13" xfId="0" applyBorder="1"/>
    <xf numFmtId="0" fontId="0" fillId="0" borderId="33" xfId="0" applyBorder="1"/>
    <xf numFmtId="0" fontId="0" fillId="0" borderId="31" xfId="0" applyBorder="1"/>
    <xf numFmtId="0" fontId="0" fillId="0" borderId="34" xfId="0" applyBorder="1"/>
    <xf numFmtId="0" fontId="2" fillId="0" borderId="34" xfId="0" applyFont="1" applyBorder="1"/>
    <xf numFmtId="0" fontId="0" fillId="0" borderId="10" xfId="0" applyBorder="1"/>
    <xf numFmtId="0" fontId="0" fillId="0" borderId="35" xfId="0" applyBorder="1"/>
    <xf numFmtId="0" fontId="0" fillId="0" borderId="18" xfId="0" applyBorder="1"/>
    <xf numFmtId="0" fontId="2" fillId="0" borderId="12" xfId="0" applyFont="1" applyBorder="1"/>
    <xf numFmtId="0" fontId="2" fillId="0" borderId="35" xfId="0" applyFont="1" applyBorder="1"/>
    <xf numFmtId="0" fontId="2" fillId="0" borderId="10" xfId="0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" fillId="0" borderId="11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7" fontId="0" fillId="0" borderId="37" xfId="0" applyNumberFormat="1" applyBorder="1"/>
    <xf numFmtId="167" fontId="0" fillId="0" borderId="12" xfId="0" applyNumberFormat="1" applyBorder="1"/>
    <xf numFmtId="2" fontId="0" fillId="0" borderId="38" xfId="0" applyNumberFormat="1" applyBorder="1"/>
    <xf numFmtId="2" fontId="0" fillId="0" borderId="10" xfId="0" applyNumberFormat="1" applyBorder="1"/>
    <xf numFmtId="0" fontId="0" fillId="0" borderId="39" xfId="0" applyBorder="1"/>
    <xf numFmtId="0" fontId="0" fillId="0" borderId="32" xfId="0" applyBorder="1"/>
    <xf numFmtId="0" fontId="0" fillId="0" borderId="20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4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11" borderId="29" xfId="0" applyFont="1" applyFill="1" applyBorder="1"/>
    <xf numFmtId="0" fontId="15" fillId="11" borderId="15" xfId="0" applyFont="1" applyFill="1" applyBorder="1"/>
    <xf numFmtId="0" fontId="0" fillId="0" borderId="1" xfId="0" applyBorder="1"/>
    <xf numFmtId="0" fontId="0" fillId="0" borderId="7" xfId="0" applyBorder="1"/>
    <xf numFmtId="0" fontId="0" fillId="0" borderId="4" xfId="0" applyBorder="1"/>
    <xf numFmtId="0" fontId="0" fillId="3" borderId="30" xfId="0" applyFill="1" applyBorder="1"/>
    <xf numFmtId="166" fontId="0" fillId="0" borderId="0" xfId="0" applyNumberFormat="1"/>
    <xf numFmtId="166" fontId="0" fillId="0" borderId="40" xfId="0" applyNumberFormat="1" applyBorder="1"/>
    <xf numFmtId="166" fontId="0" fillId="3" borderId="0" xfId="0" applyNumberFormat="1" applyFill="1"/>
    <xf numFmtId="166" fontId="0" fillId="0" borderId="39" xfId="0" applyNumberFormat="1" applyBorder="1"/>
    <xf numFmtId="169" fontId="0" fillId="0" borderId="39" xfId="0" applyNumberFormat="1" applyBorder="1"/>
    <xf numFmtId="166" fontId="0" fillId="0" borderId="20" xfId="0" applyNumberFormat="1" applyBorder="1"/>
    <xf numFmtId="166" fontId="0" fillId="0" borderId="32" xfId="0" applyNumberFormat="1" applyBorder="1"/>
    <xf numFmtId="2" fontId="0" fillId="0" borderId="40" xfId="0" applyNumberFormat="1" applyBorder="1" applyAlignment="1">
      <alignment wrapText="1"/>
    </xf>
    <xf numFmtId="2" fontId="0" fillId="0" borderId="39" xfId="0" applyNumberFormat="1" applyBorder="1" applyAlignment="1">
      <alignment wrapText="1"/>
    </xf>
    <xf numFmtId="166" fontId="0" fillId="0" borderId="7" xfId="0" applyNumberFormat="1" applyBorder="1"/>
    <xf numFmtId="166" fontId="0" fillId="9" borderId="0" xfId="0" applyNumberFormat="1" applyFill="1"/>
    <xf numFmtId="0" fontId="2" fillId="0" borderId="32" xfId="0" applyFont="1" applyBorder="1"/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2" xfId="0" applyBorder="1"/>
    <xf numFmtId="0" fontId="0" fillId="3" borderId="5" xfId="0" applyFill="1" applyBorder="1"/>
    <xf numFmtId="0" fontId="0" fillId="3" borderId="1" xfId="0" applyFill="1" applyBorder="1"/>
    <xf numFmtId="0" fontId="0" fillId="3" borderId="15" xfId="0" applyFill="1" applyBorder="1"/>
    <xf numFmtId="166" fontId="0" fillId="0" borderId="4" xfId="0" applyNumberFormat="1" applyBorder="1"/>
    <xf numFmtId="0" fontId="0" fillId="3" borderId="43" xfId="0" applyFill="1" applyBorder="1"/>
    <xf numFmtId="0" fontId="0" fillId="0" borderId="7" xfId="0" applyBorder="1" applyAlignment="1">
      <alignment horizontal="center"/>
    </xf>
    <xf numFmtId="0" fontId="0" fillId="9" borderId="7" xfId="0" applyFill="1" applyBorder="1"/>
    <xf numFmtId="0" fontId="0" fillId="9" borderId="7" xfId="0" applyFill="1" applyBorder="1" applyAlignment="1">
      <alignment horizontal="center"/>
    </xf>
    <xf numFmtId="166" fontId="0" fillId="9" borderId="7" xfId="0" applyNumberFormat="1" applyFill="1" applyBorder="1"/>
    <xf numFmtId="0" fontId="0" fillId="0" borderId="7" xfId="0" applyBorder="1" applyAlignment="1">
      <alignment horizontal="right"/>
    </xf>
    <xf numFmtId="0" fontId="16" fillId="0" borderId="7" xfId="0" applyFont="1" applyBorder="1"/>
    <xf numFmtId="0" fontId="0" fillId="12" borderId="7" xfId="0" applyFill="1" applyBorder="1"/>
    <xf numFmtId="0" fontId="2" fillId="0" borderId="32" xfId="0" applyFont="1" applyBorder="1" applyAlignment="1">
      <alignment horizontal="center"/>
    </xf>
    <xf numFmtId="0" fontId="0" fillId="3" borderId="17" xfId="0" applyFill="1" applyBorder="1"/>
    <xf numFmtId="0" fontId="2" fillId="13" borderId="0" xfId="0" applyFont="1" applyFill="1"/>
    <xf numFmtId="0" fontId="7" fillId="3" borderId="31" xfId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34" xfId="1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/>
    </xf>
    <xf numFmtId="0" fontId="2" fillId="10" borderId="25" xfId="0" applyFont="1" applyFill="1" applyBorder="1" applyAlignment="1">
      <alignment horizontal="center"/>
    </xf>
    <xf numFmtId="0" fontId="2" fillId="10" borderId="23" xfId="0" applyFont="1" applyFill="1" applyBorder="1" applyAlignment="1">
      <alignment horizontal="center"/>
    </xf>
    <xf numFmtId="0" fontId="2" fillId="9" borderId="24" xfId="0" applyFont="1" applyFill="1" applyBorder="1" applyAlignment="1">
      <alignment horizontal="center"/>
    </xf>
    <xf numFmtId="0" fontId="2" fillId="9" borderId="25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1" fillId="6" borderId="17" xfId="1" applyFont="1" applyFill="1" applyBorder="1" applyAlignment="1">
      <alignment horizontal="center"/>
    </xf>
    <xf numFmtId="0" fontId="1" fillId="6" borderId="16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7" fillId="3" borderId="2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/>
    </xf>
  </cellXfs>
  <cellStyles count="3">
    <cellStyle name="Normal 2 2" xfId="2" xr:uid="{3A9862B1-82B3-8147-9A9D-E60A8DF0B5FF}"/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Overview!$B$55:$H$55</c:f>
              <c:numCache>
                <c:formatCode>0.00000</c:formatCode>
                <c:ptCount val="7"/>
                <c:pt idx="0">
                  <c:v>2.1095244648686919E-2</c:v>
                </c:pt>
                <c:pt idx="1">
                  <c:v>4.4826084806805451E-2</c:v>
                </c:pt>
                <c:pt idx="2">
                  <c:v>2.053862952371668E-2</c:v>
                </c:pt>
                <c:pt idx="3">
                  <c:v>2.7129676734329946E-2</c:v>
                </c:pt>
                <c:pt idx="4">
                  <c:v>2.0468189882796188E-2</c:v>
                </c:pt>
                <c:pt idx="5">
                  <c:v>2.0977738814857708E-2</c:v>
                </c:pt>
                <c:pt idx="6">
                  <c:v>2.5932870133998889E-2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9-DB48-9A04-FCB1C39C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69728"/>
        <c:axId val="62971264"/>
      </c:barChart>
      <c:catAx>
        <c:axId val="629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62971264"/>
        <c:crosses val="autoZero"/>
        <c:auto val="1"/>
        <c:lblAlgn val="ctr"/>
        <c:lblOffset val="100"/>
        <c:noMultiLvlLbl val="0"/>
      </c:catAx>
      <c:valAx>
        <c:axId val="6297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fuel</a:t>
                </a:r>
                <a:r>
                  <a:rPr lang="en-US" baseline="0"/>
                  <a:t> consumption [kg/km/seat]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888888888888888E-2"/>
              <c:y val="3.2882035578885971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6296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4159658614101807E-2"/>
                  <c:y val="-7.1095060025331308E-2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(Hurtecant!$D$11:$D$13,Hurtecant!$D$16:$D$18,Hurtecant!$D$24:$D$25,Hurtecant!$D$27,Hurtecant!$D$30:$D$32,Hurtecant!$D$35:$D$57,Hurtecant!$D$60:$D$77)</c:f>
              <c:numCache>
                <c:formatCode>General</c:formatCode>
                <c:ptCount val="53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246</c:v>
                </c:pt>
                <c:pt idx="4">
                  <c:v>300</c:v>
                </c:pt>
                <c:pt idx="5">
                  <c:v>335</c:v>
                </c:pt>
                <c:pt idx="6">
                  <c:v>48</c:v>
                </c:pt>
                <c:pt idx="7">
                  <c:v>68</c:v>
                </c:pt>
                <c:pt idx="8">
                  <c:v>106</c:v>
                </c:pt>
                <c:pt idx="9">
                  <c:v>126</c:v>
                </c:pt>
                <c:pt idx="10">
                  <c:v>147</c:v>
                </c:pt>
                <c:pt idx="11">
                  <c:v>110</c:v>
                </c:pt>
                <c:pt idx="12">
                  <c:v>177</c:v>
                </c:pt>
                <c:pt idx="13">
                  <c:v>416</c:v>
                </c:pt>
                <c:pt idx="14">
                  <c:v>467</c:v>
                </c:pt>
                <c:pt idx="15">
                  <c:v>200</c:v>
                </c:pt>
                <c:pt idx="16">
                  <c:v>243</c:v>
                </c:pt>
                <c:pt idx="17">
                  <c:v>210</c:v>
                </c:pt>
                <c:pt idx="18">
                  <c:v>243</c:v>
                </c:pt>
                <c:pt idx="19">
                  <c:v>305</c:v>
                </c:pt>
                <c:pt idx="20">
                  <c:v>305</c:v>
                </c:pt>
                <c:pt idx="21">
                  <c:v>301</c:v>
                </c:pt>
                <c:pt idx="22">
                  <c:v>368</c:v>
                </c:pt>
                <c:pt idx="23">
                  <c:v>365</c:v>
                </c:pt>
                <c:pt idx="24">
                  <c:v>242</c:v>
                </c:pt>
                <c:pt idx="25">
                  <c:v>290</c:v>
                </c:pt>
                <c:pt idx="26">
                  <c:v>330</c:v>
                </c:pt>
                <c:pt idx="27">
                  <c:v>298</c:v>
                </c:pt>
                <c:pt idx="28">
                  <c:v>143</c:v>
                </c:pt>
                <c:pt idx="29">
                  <c:v>155</c:v>
                </c:pt>
                <c:pt idx="30">
                  <c:v>37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37</c:v>
                </c:pt>
                <c:pt idx="36">
                  <c:v>82</c:v>
                </c:pt>
                <c:pt idx="37">
                  <c:v>19</c:v>
                </c:pt>
                <c:pt idx="38">
                  <c:v>19</c:v>
                </c:pt>
                <c:pt idx="39">
                  <c:v>74</c:v>
                </c:pt>
                <c:pt idx="40">
                  <c:v>78</c:v>
                </c:pt>
                <c:pt idx="41">
                  <c:v>100</c:v>
                </c:pt>
                <c:pt idx="42">
                  <c:v>104</c:v>
                </c:pt>
                <c:pt idx="43">
                  <c:v>124</c:v>
                </c:pt>
                <c:pt idx="44">
                  <c:v>104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97</c:v>
                </c:pt>
                <c:pt idx="50">
                  <c:v>72</c:v>
                </c:pt>
                <c:pt idx="51">
                  <c:v>46</c:v>
                </c:pt>
                <c:pt idx="52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93-5642-B8AF-6CD8AAC26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964992"/>
        <c:axId val="376033280"/>
      </c:scatterChart>
      <c:valAx>
        <c:axId val="31296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max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33280"/>
        <c:crosses val="autoZero"/>
        <c:crossBetween val="midCat"/>
      </c:valAx>
      <c:valAx>
        <c:axId val="3760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typical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96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Hurtecant!$D$6:$D$7</c:f>
              <c:strCache>
                <c:ptCount val="2"/>
                <c:pt idx="0">
                  <c:v>120</c:v>
                </c:pt>
                <c:pt idx="1">
                  <c:v>150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(Hurtecant!$D$6:$D$7,Hurtecant!$D$11:$D$20,Hurtecant!$D$22:$D$28,Hurtecant!$D$30:$D$36,Hurtecant!$D$38:$D$40,Hurtecant!$D$42:$D$49,Hurtecant!$D$51,Hurtecant!$D$53:$D$66,Hurtecant!$D$68,Hurtecant!$D$70:$D$74,Hurtecant!$D$76:$D$79)</c:f>
              <c:numCache>
                <c:formatCode>General</c:formatCode>
                <c:ptCount val="62"/>
                <c:pt idx="0">
                  <c:v>120</c:v>
                </c:pt>
                <c:pt idx="1">
                  <c:v>150</c:v>
                </c:pt>
                <c:pt idx="2">
                  <c:v>134</c:v>
                </c:pt>
                <c:pt idx="3">
                  <c:v>150</c:v>
                </c:pt>
                <c:pt idx="4">
                  <c:v>165</c:v>
                </c:pt>
                <c:pt idx="5">
                  <c:v>185</c:v>
                </c:pt>
                <c:pt idx="6">
                  <c:v>206</c:v>
                </c:pt>
                <c:pt idx="7">
                  <c:v>246</c:v>
                </c:pt>
                <c:pt idx="8">
                  <c:v>300</c:v>
                </c:pt>
                <c:pt idx="9">
                  <c:v>335</c:v>
                </c:pt>
                <c:pt idx="10">
                  <c:v>380</c:v>
                </c:pt>
                <c:pt idx="11">
                  <c:v>315</c:v>
                </c:pt>
                <c:pt idx="12">
                  <c:v>369</c:v>
                </c:pt>
                <c:pt idx="13">
                  <c:v>575</c:v>
                </c:pt>
                <c:pt idx="14">
                  <c:v>48</c:v>
                </c:pt>
                <c:pt idx="15">
                  <c:v>68</c:v>
                </c:pt>
                <c:pt idx="16">
                  <c:v>19</c:v>
                </c:pt>
                <c:pt idx="17">
                  <c:v>106</c:v>
                </c:pt>
                <c:pt idx="18">
                  <c:v>162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200</c:v>
                </c:pt>
                <c:pt idx="27">
                  <c:v>243</c:v>
                </c:pt>
                <c:pt idx="28">
                  <c:v>210</c:v>
                </c:pt>
                <c:pt idx="29">
                  <c:v>305</c:v>
                </c:pt>
                <c:pt idx="30">
                  <c:v>305</c:v>
                </c:pt>
                <c:pt idx="31">
                  <c:v>301</c:v>
                </c:pt>
                <c:pt idx="32">
                  <c:v>368</c:v>
                </c:pt>
                <c:pt idx="33">
                  <c:v>365</c:v>
                </c:pt>
                <c:pt idx="34">
                  <c:v>242</c:v>
                </c:pt>
                <c:pt idx="35">
                  <c:v>290</c:v>
                </c:pt>
                <c:pt idx="36">
                  <c:v>330</c:v>
                </c:pt>
                <c:pt idx="37">
                  <c:v>143</c:v>
                </c:pt>
                <c:pt idx="38">
                  <c:v>37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78</c:v>
                </c:pt>
                <c:pt idx="43">
                  <c:v>90</c:v>
                </c:pt>
                <c:pt idx="44">
                  <c:v>104</c:v>
                </c:pt>
                <c:pt idx="45">
                  <c:v>37</c:v>
                </c:pt>
                <c:pt idx="46">
                  <c:v>82</c:v>
                </c:pt>
                <c:pt idx="47">
                  <c:v>19</c:v>
                </c:pt>
                <c:pt idx="48">
                  <c:v>19</c:v>
                </c:pt>
                <c:pt idx="49">
                  <c:v>74</c:v>
                </c:pt>
                <c:pt idx="50">
                  <c:v>78</c:v>
                </c:pt>
                <c:pt idx="51">
                  <c:v>100</c:v>
                </c:pt>
                <c:pt idx="52">
                  <c:v>124</c:v>
                </c:pt>
                <c:pt idx="53">
                  <c:v>30</c:v>
                </c:pt>
                <c:pt idx="54">
                  <c:v>37</c:v>
                </c:pt>
                <c:pt idx="55">
                  <c:v>44</c:v>
                </c:pt>
                <c:pt idx="56">
                  <c:v>50</c:v>
                </c:pt>
                <c:pt idx="57">
                  <c:v>97</c:v>
                </c:pt>
                <c:pt idx="58">
                  <c:v>46</c:v>
                </c:pt>
                <c:pt idx="59">
                  <c:v>34</c:v>
                </c:pt>
                <c:pt idx="60">
                  <c:v>100</c:v>
                </c:pt>
                <c:pt idx="61">
                  <c:v>300</c:v>
                </c:pt>
              </c:numCache>
            </c:numRef>
          </c:xVal>
          <c:yVal>
            <c:numRef>
              <c:f>(Hurtecant!$O$6:$O$7,Hurtecant!$O$11:$O$20,Hurtecant!$O$22:$O$28,Hurtecant!$O$30:$O$36,Hurtecant!$O$38:$O$40,Hurtecant!$O$42:$O$49,Hurtecant!$O$51,Hurtecant!$O$53:$O$66,Hurtecant!$O$68,Hurtecant!$O$70:$O$74,Hurtecant!$O$76:$O$79)</c:f>
              <c:numCache>
                <c:formatCode>0.0000</c:formatCode>
                <c:ptCount val="62"/>
                <c:pt idx="0">
                  <c:v>2.4134739959281885E-2</c:v>
                </c:pt>
                <c:pt idx="1">
                  <c:v>2.1225701943844488E-2</c:v>
                </c:pt>
                <c:pt idx="2">
                  <c:v>2.7400793011185975E-2</c:v>
                </c:pt>
                <c:pt idx="3">
                  <c:v>2.6618581487205903E-2</c:v>
                </c:pt>
                <c:pt idx="4">
                  <c:v>2.1683263732733694E-2</c:v>
                </c:pt>
                <c:pt idx="5">
                  <c:v>2.0134013016575303E-2</c:v>
                </c:pt>
                <c:pt idx="6">
                  <c:v>2.0367620948433311E-2</c:v>
                </c:pt>
                <c:pt idx="7">
                  <c:v>3.409633350760348E-2</c:v>
                </c:pt>
                <c:pt idx="8">
                  <c:v>2.8917950710000428E-2</c:v>
                </c:pt>
                <c:pt idx="9">
                  <c:v>3.0591521609127197E-2</c:v>
                </c:pt>
                <c:pt idx="10">
                  <c:v>3.0031936400660212E-2</c:v>
                </c:pt>
                <c:pt idx="11">
                  <c:v>2.4786426564698302E-2</c:v>
                </c:pt>
                <c:pt idx="12">
                  <c:v>2.5085584960564671E-2</c:v>
                </c:pt>
                <c:pt idx="13">
                  <c:v>2.9532674104790813E-2</c:v>
                </c:pt>
                <c:pt idx="14">
                  <c:v>4.0849673202614387E-2</c:v>
                </c:pt>
                <c:pt idx="15">
                  <c:v>3.1762164909160215E-2</c:v>
                </c:pt>
                <c:pt idx="16">
                  <c:v>7.9802069275753479E-2</c:v>
                </c:pt>
                <c:pt idx="17">
                  <c:v>4.0145071456327446E-2</c:v>
                </c:pt>
                <c:pt idx="18">
                  <c:v>2.127985068918567E-2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2.9391344596158289E-2</c:v>
                </c:pt>
                <c:pt idx="27">
                  <c:v>2.6403043773160884E-2</c:v>
                </c:pt>
                <c:pt idx="28">
                  <c:v>3.1705673094926043E-2</c:v>
                </c:pt>
                <c:pt idx="29">
                  <c:v>2.7980430864303487E-2</c:v>
                </c:pt>
                <c:pt idx="30">
                  <c:v>2.4164068982530103E-2</c:v>
                </c:pt>
                <c:pt idx="31">
                  <c:v>3.2720243643373795E-2</c:v>
                </c:pt>
                <c:pt idx="32">
                  <c:v>3.0126414363501476E-2</c:v>
                </c:pt>
                <c:pt idx="33">
                  <c:v>2.9614167606309725E-2</c:v>
                </c:pt>
                <c:pt idx="34">
                  <c:v>2.7141855698876925E-2</c:v>
                </c:pt>
                <c:pt idx="35">
                  <c:v>2.5762319581407563E-2</c:v>
                </c:pt>
                <c:pt idx="36">
                  <c:v>2.4086267661034021E-2</c:v>
                </c:pt>
                <c:pt idx="37">
                  <c:v>3.3889803443408938E-2</c:v>
                </c:pt>
                <c:pt idx="38">
                  <c:v>4.1860764656634415E-2</c:v>
                </c:pt>
                <c:pt idx="39">
                  <c:v>4.4195804195804191E-2</c:v>
                </c:pt>
                <c:pt idx="40">
                  <c:v>4.6732090284592728E-2</c:v>
                </c:pt>
                <c:pt idx="41">
                  <c:v>4.4882186616399616E-2</c:v>
                </c:pt>
                <c:pt idx="42">
                  <c:v>3.4518447252955498E-2</c:v>
                </c:pt>
                <c:pt idx="43">
                  <c:v>3.7942771431868014E-2</c:v>
                </c:pt>
                <c:pt idx="44">
                  <c:v>2.8071557155715562E-2</c:v>
                </c:pt>
                <c:pt idx="45">
                  <c:v>4.6377911388710544E-2</c:v>
                </c:pt>
                <c:pt idx="46">
                  <c:v>2.9719057935565032E-2</c:v>
                </c:pt>
                <c:pt idx="47">
                  <c:v>0.61896100943503474</c:v>
                </c:pt>
                <c:pt idx="48">
                  <c:v>6.1137692716640102E-2</c:v>
                </c:pt>
                <c:pt idx="49">
                  <c:v>4.4396581671645924E-2</c:v>
                </c:pt>
                <c:pt idx="50">
                  <c:v>4.0969131878222771E-2</c:v>
                </c:pt>
                <c:pt idx="51">
                  <c:v>3.8811771238200996E-2</c:v>
                </c:pt>
                <c:pt idx="52">
                  <c:v>3.4227939575987125E-2</c:v>
                </c:pt>
                <c:pt idx="53">
                  <c:v>6.2073246430788369E-2</c:v>
                </c:pt>
                <c:pt idx="54">
                  <c:v>4.9617652209444862E-2</c:v>
                </c:pt>
                <c:pt idx="55">
                  <c:v>4.9086982132338502E-2</c:v>
                </c:pt>
                <c:pt idx="56">
                  <c:v>3.9795338260375221E-2</c:v>
                </c:pt>
                <c:pt idx="57">
                  <c:v>3.9020390811229357E-2</c:v>
                </c:pt>
                <c:pt idx="58">
                  <c:v>3.7568974288733202E-2</c:v>
                </c:pt>
                <c:pt idx="59">
                  <c:v>1.313676835498466E-2</c:v>
                </c:pt>
                <c:pt idx="60">
                  <c:v>4.0692041522491333E-2</c:v>
                </c:pt>
                <c:pt idx="61">
                  <c:v>2.6328283482239204E-2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11-6948-9797-744A4F0DF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92160"/>
        <c:axId val="3760940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5811047276348672E-2"/>
                        <c:y val="-0.46113692159664871"/>
                      </c:manualLayout>
                    </c:layout>
                    <c:numFmt formatCode="0.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9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28.445812500000002</c:v>
                    </c:pt>
                    <c:pt idx="4">
                      <c:v>35</c:v>
                    </c:pt>
                    <c:pt idx="5">
                      <c:v>37</c:v>
                    </c:pt>
                    <c:pt idx="6">
                      <c:v>38</c:v>
                    </c:pt>
                    <c:pt idx="7">
                      <c:v>46.901412499999999</c:v>
                    </c:pt>
                    <c:pt idx="8">
                      <c:v>46.901412499999999</c:v>
                    </c:pt>
                    <c:pt idx="9">
                      <c:v>48</c:v>
                    </c:pt>
                    <c:pt idx="10">
                      <c:v>50</c:v>
                    </c:pt>
                    <c:pt idx="11">
                      <c:v>50</c:v>
                    </c:pt>
                    <c:pt idx="12">
                      <c:v>50</c:v>
                    </c:pt>
                    <c:pt idx="13">
                      <c:v>52.3588016</c:v>
                    </c:pt>
                    <c:pt idx="14">
                      <c:v>68</c:v>
                    </c:pt>
                    <c:pt idx="15">
                      <c:v>72.056130899999999</c:v>
                    </c:pt>
                    <c:pt idx="16">
                      <c:v>74</c:v>
                    </c:pt>
                    <c:pt idx="17">
                      <c:v>74</c:v>
                    </c:pt>
                    <c:pt idx="18">
                      <c:v>78</c:v>
                    </c:pt>
                    <c:pt idx="19">
                      <c:v>82.592752500000003</c:v>
                    </c:pt>
                    <c:pt idx="20">
                      <c:v>97</c:v>
                    </c:pt>
                    <c:pt idx="21">
                      <c:v>98</c:v>
                    </c:pt>
                    <c:pt idx="22">
                      <c:v>106</c:v>
                    </c:pt>
                    <c:pt idx="23">
                      <c:v>108</c:v>
                    </c:pt>
                    <c:pt idx="24">
                      <c:v>108</c:v>
                    </c:pt>
                    <c:pt idx="25">
                      <c:v>124</c:v>
                    </c:pt>
                    <c:pt idx="26">
                      <c:v>128</c:v>
                    </c:pt>
                    <c:pt idx="27">
                      <c:v>128</c:v>
                    </c:pt>
                    <c:pt idx="28">
                      <c:v>146</c:v>
                    </c:pt>
                    <c:pt idx="29">
                      <c:v>150</c:v>
                    </c:pt>
                    <c:pt idx="30">
                      <c:v>155</c:v>
                    </c:pt>
                    <c:pt idx="31">
                      <c:v>160</c:v>
                    </c:pt>
                    <c:pt idx="32">
                      <c:v>177</c:v>
                    </c:pt>
                    <c:pt idx="33">
                      <c:v>186</c:v>
                    </c:pt>
                    <c:pt idx="34">
                      <c:v>220</c:v>
                    </c:pt>
                    <c:pt idx="35">
                      <c:v>222.38661072500003</c:v>
                    </c:pt>
                    <c:pt idx="36">
                      <c:v>237</c:v>
                    </c:pt>
                    <c:pt idx="37">
                      <c:v>242</c:v>
                    </c:pt>
                    <c:pt idx="38">
                      <c:v>247</c:v>
                    </c:pt>
                    <c:pt idx="39">
                      <c:v>277</c:v>
                    </c:pt>
                    <c:pt idx="40">
                      <c:v>277</c:v>
                    </c:pt>
                    <c:pt idx="41">
                      <c:v>280</c:v>
                    </c:pt>
                    <c:pt idx="42">
                      <c:v>323</c:v>
                    </c:pt>
                    <c:pt idx="43">
                      <c:v>326</c:v>
                    </c:pt>
                    <c:pt idx="44">
                      <c:v>370</c:v>
                    </c:pt>
                    <c:pt idx="45">
                      <c:v>375</c:v>
                    </c:pt>
                    <c:pt idx="46">
                      <c:v>400</c:v>
                    </c:pt>
                    <c:pt idx="47">
                      <c:v>467</c:v>
                    </c:pt>
                    <c:pt idx="48">
                      <c:v>555</c:v>
                    </c:pt>
                  </c:numLit>
                </c:xVal>
                <c:yVal>
                  <c:numLit>
                    <c:formatCode>General</c:formatCode>
                    <c:ptCount val="49"/>
                    <c:pt idx="0">
                      <c:v>5.0697502160404924E-2</c:v>
                    </c:pt>
                    <c:pt idx="1">
                      <c:v>1.5395116032155317E-2</c:v>
                    </c:pt>
                    <c:pt idx="2">
                      <c:v>3.7808043239772028E-2</c:v>
                    </c:pt>
                    <c:pt idx="3">
                      <c:v>2.3342863553839518E-2</c:v>
                    </c:pt>
                    <c:pt idx="4">
                      <c:v>2.6015454725579552E-2</c:v>
                    </c:pt>
                    <c:pt idx="5">
                      <c:v>2.6976272046694581E-2</c:v>
                    </c:pt>
                    <c:pt idx="6">
                      <c:v>4.6276803118908381E-2</c:v>
                    </c:pt>
                    <c:pt idx="7">
                      <c:v>2.4899441605782561E-2</c:v>
                    </c:pt>
                    <c:pt idx="8">
                      <c:v>2.5824700978270707E-2</c:v>
                    </c:pt>
                    <c:pt idx="9">
                      <c:v>2.6129943502824857E-2</c:v>
                    </c:pt>
                    <c:pt idx="10">
                      <c:v>2.542372881355932E-2</c:v>
                    </c:pt>
                    <c:pt idx="11">
                      <c:v>2.3922705314009661E-2</c:v>
                    </c:pt>
                    <c:pt idx="12">
                      <c:v>2.3930232558139534E-2</c:v>
                    </c:pt>
                    <c:pt idx="13">
                      <c:v>1.9840604931254936E-2</c:v>
                    </c:pt>
                    <c:pt idx="14">
                      <c:v>2.0415385034161744E-2</c:v>
                    </c:pt>
                    <c:pt idx="15">
                      <c:v>2.2024013697277689E-2</c:v>
                    </c:pt>
                    <c:pt idx="16">
                      <c:v>2.8023415120189316E-2</c:v>
                    </c:pt>
                    <c:pt idx="17">
                      <c:v>2.127508070131021E-2</c:v>
                    </c:pt>
                    <c:pt idx="18">
                      <c:v>1.7724211272598371E-2</c:v>
                    </c:pt>
                    <c:pt idx="19">
                      <c:v>2.1694028750586836E-2</c:v>
                    </c:pt>
                    <c:pt idx="20">
                      <c:v>2.4906618855520691E-2</c:v>
                    </c:pt>
                    <c:pt idx="21">
                      <c:v>2.4400195201561614E-2</c:v>
                    </c:pt>
                    <c:pt idx="22">
                      <c:v>2.2289987206081458E-2</c:v>
                    </c:pt>
                    <c:pt idx="23">
                      <c:v>2.1938314621241451E-2</c:v>
                    </c:pt>
                    <c:pt idx="24">
                      <c:v>2.3699082960119428E-2</c:v>
                    </c:pt>
                    <c:pt idx="25">
                      <c:v>1.853911753800519E-2</c:v>
                    </c:pt>
                    <c:pt idx="26">
                      <c:v>1.9560842803030304E-2</c:v>
                    </c:pt>
                    <c:pt idx="27">
                      <c:v>2.1302688953488372E-2</c:v>
                    </c:pt>
                    <c:pt idx="28">
                      <c:v>2.2464954670713688E-2</c:v>
                    </c:pt>
                    <c:pt idx="29">
                      <c:v>1.8335862417804754E-2</c:v>
                    </c:pt>
                    <c:pt idx="30">
                      <c:v>1.9023463886516868E-2</c:v>
                    </c:pt>
                    <c:pt idx="31">
                      <c:v>1.7377006051039201E-2</c:v>
                    </c:pt>
                    <c:pt idx="32">
                      <c:v>1.7144061211857822E-2</c:v>
                    </c:pt>
                    <c:pt idx="33">
                      <c:v>2.3510620829663688E-2</c:v>
                    </c:pt>
                    <c:pt idx="34">
                      <c:v>1.4932457101131801E-2</c:v>
                    </c:pt>
                    <c:pt idx="35">
                      <c:v>2.266754174428311E-2</c:v>
                    </c:pt>
                    <c:pt idx="36">
                      <c:v>1.9848888966114406E-2</c:v>
                    </c:pt>
                    <c:pt idx="37">
                      <c:v>1.9124641592174061E-2</c:v>
                    </c:pt>
                    <c:pt idx="38">
                      <c:v>2.16105280197008E-2</c:v>
                    </c:pt>
                    <c:pt idx="39">
                      <c:v>1.6033385301983043E-2</c:v>
                    </c:pt>
                    <c:pt idx="40">
                      <c:v>2.2104037902987001E-2</c:v>
                    </c:pt>
                    <c:pt idx="41">
                      <c:v>1.790998148719531E-2</c:v>
                    </c:pt>
                    <c:pt idx="42">
                      <c:v>2.3391950464396283E-2</c:v>
                    </c:pt>
                    <c:pt idx="43">
                      <c:v>2.8239936541724821E-2</c:v>
                    </c:pt>
                    <c:pt idx="44">
                      <c:v>2.0872575438222032E-2</c:v>
                    </c:pt>
                    <c:pt idx="45">
                      <c:v>1.703737210554658E-2</c:v>
                    </c:pt>
                    <c:pt idx="46">
                      <c:v>2.3517786561264825E-2</c:v>
                    </c:pt>
                    <c:pt idx="47">
                      <c:v>2.1278419545156243E-2</c:v>
                    </c:pt>
                    <c:pt idx="48">
                      <c:v>2.1310727574226494E-2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3611-6948-9797-744A4F0DF7C1}"/>
                  </c:ext>
                </c:extLst>
              </c15:ser>
            </c15:filteredScatterSeries>
          </c:ext>
        </c:extLst>
      </c:scatterChart>
      <c:valAx>
        <c:axId val="37609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4080"/>
        <c:crosses val="autoZero"/>
        <c:crossBetween val="midCat"/>
      </c:valAx>
      <c:valAx>
        <c:axId val="37609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2160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070457313655713E-2"/>
          <c:y val="0.12310233046275772"/>
          <c:w val="0.87225351417711483"/>
          <c:h val="0.73670405280812934"/>
        </c:manualLayout>
      </c:layou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211058931830397"/>
                  <c:y val="-0.330727252602358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50" baseline="0"/>
                      <a:t>y = -0.0005x + 0.9724</a:t>
                    </a:r>
                    <a:br>
                      <a:rPr lang="en-US" sz="1050" baseline="0"/>
                    </a:br>
                    <a:r>
                      <a:rPr lang="en-US" sz="1050" baseline="0"/>
                      <a:t>R² = 0.6772</a:t>
                    </a:r>
                    <a:endParaRPr lang="en-US" sz="105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Hurtecant!$E$6:$E$79</c:f>
              <c:numCache>
                <c:formatCode>0.000</c:formatCode>
                <c:ptCount val="74"/>
                <c:pt idx="0">
                  <c:v>0.88888888888888884</c:v>
                </c:pt>
                <c:pt idx="1">
                  <c:v>0.9375</c:v>
                </c:pt>
                <c:pt idx="2">
                  <c:v>0.77971014492753621</c:v>
                </c:pt>
                <c:pt idx="3">
                  <c:v>0.8214285714285714</c:v>
                </c:pt>
                <c:pt idx="4">
                  <c:v>0.88636363636363635</c:v>
                </c:pt>
                <c:pt idx="5">
                  <c:v>0.85897435897435892</c:v>
                </c:pt>
                <c:pt idx="6">
                  <c:v>0.83333333333333337</c:v>
                </c:pt>
                <c:pt idx="7">
                  <c:v>0.85051546391752575</c:v>
                </c:pt>
                <c:pt idx="8">
                  <c:v>0.78389830508474578</c:v>
                </c:pt>
                <c:pt idx="9">
                  <c:v>0.84426229508196726</c:v>
                </c:pt>
                <c:pt idx="10">
                  <c:v>0.60591133004926112</c:v>
                </c:pt>
                <c:pt idx="11">
                  <c:v>0.68181818181818177</c:v>
                </c:pt>
                <c:pt idx="12">
                  <c:v>0.76136363636363635</c:v>
                </c:pt>
                <c:pt idx="13">
                  <c:v>0.8</c:v>
                </c:pt>
                <c:pt idx="14">
                  <c:v>0.71590909090909094</c:v>
                </c:pt>
                <c:pt idx="15">
                  <c:v>0.71590909090909094</c:v>
                </c:pt>
                <c:pt idx="16">
                  <c:v>0.83863636363636362</c:v>
                </c:pt>
                <c:pt idx="17">
                  <c:v>0.67409144196951931</c:v>
                </c:pt>
                <c:pt idx="18">
                  <c:v>0.96</c:v>
                </c:pt>
                <c:pt idx="19">
                  <c:v>0.91891891891891897</c:v>
                </c:pt>
                <c:pt idx="20">
                  <c:v>1</c:v>
                </c:pt>
                <c:pt idx="21">
                  <c:v>1</c:v>
                </c:pt>
                <c:pt idx="22">
                  <c:v>0.8571428571428571</c:v>
                </c:pt>
                <c:pt idx="23">
                  <c:v>0.81818181818181823</c:v>
                </c:pt>
                <c:pt idx="24">
                  <c:v>0.84563758389261745</c:v>
                </c:pt>
                <c:pt idx="25">
                  <c:v>0.875</c:v>
                </c:pt>
                <c:pt idx="26">
                  <c:v>0.83333333333333337</c:v>
                </c:pt>
                <c:pt idx="27">
                  <c:v>0.86486486486486491</c:v>
                </c:pt>
                <c:pt idx="28">
                  <c:v>0.86956521739130432</c:v>
                </c:pt>
                <c:pt idx="29">
                  <c:v>0.93650793650793651</c:v>
                </c:pt>
                <c:pt idx="30">
                  <c:v>0.66666666666666663</c:v>
                </c:pt>
                <c:pt idx="31">
                  <c:v>0.90679611650485437</c:v>
                </c:pt>
                <c:pt idx="32">
                  <c:v>0.83682008368200833</c:v>
                </c:pt>
                <c:pt idx="33">
                  <c:v>0.82372881355932204</c:v>
                </c:pt>
                <c:pt idx="34">
                  <c:v>0.6</c:v>
                </c:pt>
                <c:pt idx="35">
                  <c:v>0.64800000000000002</c:v>
                </c:pt>
                <c:pt idx="36">
                  <c:v>0.69318181818181823</c:v>
                </c:pt>
                <c:pt idx="37">
                  <c:v>0.69318181818181823</c:v>
                </c:pt>
                <c:pt idx="38">
                  <c:v>0.68409090909090908</c:v>
                </c:pt>
                <c:pt idx="39">
                  <c:v>0.66909090909090907</c:v>
                </c:pt>
                <c:pt idx="40">
                  <c:v>0.66363636363636369</c:v>
                </c:pt>
                <c:pt idx="41">
                  <c:v>0.64533333333333331</c:v>
                </c:pt>
                <c:pt idx="42">
                  <c:v>0.71078431372549022</c:v>
                </c:pt>
                <c:pt idx="43">
                  <c:v>0.75</c:v>
                </c:pt>
                <c:pt idx="44">
                  <c:v>0.72682926829268291</c:v>
                </c:pt>
                <c:pt idx="45">
                  <c:v>0.83139534883720934</c:v>
                </c:pt>
                <c:pt idx="46">
                  <c:v>0.90116279069767447</c:v>
                </c:pt>
                <c:pt idx="47">
                  <c:v>0.92500000000000004</c:v>
                </c:pt>
                <c:pt idx="48">
                  <c:v>0.8928571428571429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0.94871794871794868</c:v>
                </c:pt>
                <c:pt idx="55">
                  <c:v>0.95348837209302328</c:v>
                </c:pt>
                <c:pt idx="56">
                  <c:v>1</c:v>
                </c:pt>
                <c:pt idx="57">
                  <c:v>1</c:v>
                </c:pt>
                <c:pt idx="58">
                  <c:v>0.94871794871794868</c:v>
                </c:pt>
                <c:pt idx="59">
                  <c:v>0.9285714285714286</c:v>
                </c:pt>
                <c:pt idx="60">
                  <c:v>0.94339622641509435</c:v>
                </c:pt>
                <c:pt idx="61">
                  <c:v>0.91228070175438591</c:v>
                </c:pt>
                <c:pt idx="62">
                  <c:v>1.0508474576271187</c:v>
                </c:pt>
                <c:pt idx="63">
                  <c:v>0.71232876712328763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0.88990825688073394</c:v>
                </c:pt>
                <c:pt idx="69">
                  <c:v>0.9</c:v>
                </c:pt>
                <c:pt idx="70">
                  <c:v>0.8214285714285714</c:v>
                </c:pt>
                <c:pt idx="71">
                  <c:v>0.91891891891891897</c:v>
                </c:pt>
                <c:pt idx="72">
                  <c:v>1.0204081632653061</c:v>
                </c:pt>
                <c:pt idx="73">
                  <c:v>0.65217391304347827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5-C040-B860-8C0CA45E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92512"/>
        <c:axId val="37699443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017769223598507E-3"/>
                        <c:y val="-0.34216683168442835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</c:v>
                    </c:pt>
                    <c:pt idx="1">
                      <c:v>1</c:v>
                    </c:pt>
                    <c:pt idx="2">
                      <c:v>1</c:v>
                    </c:pt>
                    <c:pt idx="3">
                      <c:v>0.94594594594594594</c:v>
                    </c:pt>
                    <c:pt idx="4">
                      <c:v>0.94871794871794868</c:v>
                    </c:pt>
                    <c:pt idx="5">
                      <c:v>0.95</c:v>
                    </c:pt>
                    <c:pt idx="6">
                      <c:v>0.96</c:v>
                    </c:pt>
                    <c:pt idx="7">
                      <c:v>1</c:v>
                    </c:pt>
                    <c:pt idx="8">
                      <c:v>1</c:v>
                    </c:pt>
                    <c:pt idx="9">
                      <c:v>0.8928571428571429</c:v>
                    </c:pt>
                    <c:pt idx="10">
                      <c:v>0.91891891891891897</c:v>
                    </c:pt>
                    <c:pt idx="11">
                      <c:v>0.94871794871794868</c:v>
                    </c:pt>
                    <c:pt idx="12">
                      <c:v>0.86046511627906974</c:v>
                    </c:pt>
                    <c:pt idx="13">
                      <c:v>0.9285714285714286</c:v>
                    </c:pt>
                    <c:pt idx="14">
                      <c:v>0.88990825688073394</c:v>
                    </c:pt>
                    <c:pt idx="15">
                      <c:v>0.92452830188679247</c:v>
                    </c:pt>
                    <c:pt idx="16">
                      <c:v>1</c:v>
                    </c:pt>
                    <c:pt idx="17">
                      <c:v>0.9152542372881356</c:v>
                    </c:pt>
                    <c:pt idx="18">
                      <c:v>0.81818181818181823</c:v>
                    </c:pt>
                    <c:pt idx="19">
                      <c:v>0.79487179487179482</c:v>
                    </c:pt>
                    <c:pt idx="20">
                      <c:v>0.86486486486486491</c:v>
                    </c:pt>
                    <c:pt idx="21">
                      <c:v>0.85906040268456374</c:v>
                    </c:pt>
                    <c:pt idx="22">
                      <c:v>0.86904761904761907</c:v>
                    </c:pt>
                    <c:pt idx="23">
                      <c:v>0.83333333333333337</c:v>
                    </c:pt>
                    <c:pt idx="24">
                      <c:v>0.90116279069767447</c:v>
                    </c:pt>
                    <c:pt idx="25">
                      <c:v>0.86956521739130432</c:v>
                    </c:pt>
                    <c:pt idx="26">
                      <c:v>0.93650793650793651</c:v>
                    </c:pt>
                    <c:pt idx="27">
                      <c:v>0.77824267782426781</c:v>
                    </c:pt>
                    <c:pt idx="28">
                      <c:v>0.93220338983050843</c:v>
                    </c:pt>
                    <c:pt idx="29">
                      <c:v>0.8172413793103448</c:v>
                    </c:pt>
                    <c:pt idx="30">
                      <c:v>0.64533333333333331</c:v>
                    </c:pt>
                    <c:pt idx="31">
                      <c:v>0.60837438423645318</c:v>
                    </c:pt>
                    <c:pt idx="32">
                      <c:v>0.62954545454545452</c:v>
                    </c:pt>
                    <c:pt idx="33">
                      <c:v>0.62954545454545452</c:v>
                    </c:pt>
                    <c:pt idx="34">
                      <c:v>0.68627450980392157</c:v>
                    </c:pt>
                    <c:pt idx="35">
                      <c:v>0.78780487804878052</c:v>
                    </c:pt>
                    <c:pt idx="36">
                      <c:v>0.68631578947368421</c:v>
                    </c:pt>
                    <c:pt idx="37">
                      <c:v>0.67272727272727273</c:v>
                    </c:pt>
                    <c:pt idx="38">
                      <c:v>0.81521739130434778</c:v>
                    </c:pt>
                    <c:pt idx="39">
                      <c:v>0.64102564102564108</c:v>
                    </c:pt>
                    <c:pt idx="40">
                      <c:v>0.90679611650485437</c:v>
                    </c:pt>
                    <c:pt idx="41">
                      <c:v>0.65064478311840568</c:v>
                    </c:pt>
                  </c:numLit>
                </c:yVal>
                <c:smooth val="0"/>
                <c:extLst>
                  <c:ext uri="{02D57815-91ED-43cb-92C2-25804820EDAC}">
                    <c15:filteredSeriesTitle>
                      <c15:tx>
                        <c:v>Statistic</c:v>
                      </c15:tx>
                    </c15:filteredSeriesTitle>
                  </c:ext>
                  <c:ext xmlns:c16="http://schemas.microsoft.com/office/drawing/2014/chart" uri="{C3380CC4-5D6E-409C-BE32-E72D297353CC}">
                    <c16:uniqueId val="{00000003-0A75-C040-B860-8C0CA45E7512}"/>
                  </c:ext>
                </c:extLst>
              </c15:ser>
            </c15:filteredScatterSeries>
          </c:ext>
        </c:extLst>
      </c:scatterChart>
      <c:valAx>
        <c:axId val="37699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4432"/>
        <c:crosses val="autoZero"/>
        <c:crossBetween val="midCat"/>
      </c:valAx>
      <c:valAx>
        <c:axId val="3769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425619945069198"/>
                  <c:y val="2.663754847739619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0.6696x + 22.858</a:t>
                    </a:r>
                    <a:br>
                      <a:rPr lang="en-US"/>
                    </a:br>
                    <a:r>
                      <a:rPr lang="en-US"/>
                      <a:t>R² = 0.9711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Hurtecant!$D$6:$D$79</c:f>
              <c:numCache>
                <c:formatCode>General</c:formatCode>
                <c:ptCount val="74"/>
                <c:pt idx="0">
                  <c:v>120</c:v>
                </c:pt>
                <c:pt idx="1">
                  <c:v>150</c:v>
                </c:pt>
                <c:pt idx="2">
                  <c:v>269</c:v>
                </c:pt>
                <c:pt idx="3">
                  <c:v>230</c:v>
                </c:pt>
                <c:pt idx="4">
                  <c:v>117</c:v>
                </c:pt>
                <c:pt idx="5">
                  <c:v>134</c:v>
                </c:pt>
                <c:pt idx="6">
                  <c:v>150</c:v>
                </c:pt>
                <c:pt idx="7">
                  <c:v>165</c:v>
                </c:pt>
                <c:pt idx="8">
                  <c:v>185</c:v>
                </c:pt>
                <c:pt idx="9">
                  <c:v>206</c:v>
                </c:pt>
                <c:pt idx="10">
                  <c:v>246</c:v>
                </c:pt>
                <c:pt idx="11">
                  <c:v>300</c:v>
                </c:pt>
                <c:pt idx="12">
                  <c:v>335</c:v>
                </c:pt>
                <c:pt idx="13">
                  <c:v>380</c:v>
                </c:pt>
                <c:pt idx="14">
                  <c:v>315</c:v>
                </c:pt>
                <c:pt idx="15">
                  <c:v>315</c:v>
                </c:pt>
                <c:pt idx="16">
                  <c:v>369</c:v>
                </c:pt>
                <c:pt idx="17">
                  <c:v>575</c:v>
                </c:pt>
                <c:pt idx="18">
                  <c:v>48</c:v>
                </c:pt>
                <c:pt idx="19">
                  <c:v>68</c:v>
                </c:pt>
                <c:pt idx="20">
                  <c:v>19</c:v>
                </c:pt>
                <c:pt idx="21">
                  <c:v>106</c:v>
                </c:pt>
                <c:pt idx="22">
                  <c:v>162</c:v>
                </c:pt>
                <c:pt idx="23">
                  <c:v>180</c:v>
                </c:pt>
                <c:pt idx="24">
                  <c:v>126</c:v>
                </c:pt>
                <c:pt idx="25">
                  <c:v>147</c:v>
                </c:pt>
                <c:pt idx="26">
                  <c:v>110</c:v>
                </c:pt>
                <c:pt idx="27">
                  <c:v>128</c:v>
                </c:pt>
                <c:pt idx="28">
                  <c:v>160</c:v>
                </c:pt>
                <c:pt idx="29">
                  <c:v>177</c:v>
                </c:pt>
                <c:pt idx="30">
                  <c:v>416</c:v>
                </c:pt>
                <c:pt idx="31">
                  <c:v>467</c:v>
                </c:pt>
                <c:pt idx="32">
                  <c:v>200</c:v>
                </c:pt>
                <c:pt idx="33">
                  <c:v>243</c:v>
                </c:pt>
                <c:pt idx="34">
                  <c:v>210</c:v>
                </c:pt>
                <c:pt idx="35">
                  <c:v>243</c:v>
                </c:pt>
                <c:pt idx="36">
                  <c:v>305</c:v>
                </c:pt>
                <c:pt idx="37">
                  <c:v>305</c:v>
                </c:pt>
                <c:pt idx="38">
                  <c:v>301</c:v>
                </c:pt>
                <c:pt idx="39">
                  <c:v>368</c:v>
                </c:pt>
                <c:pt idx="40">
                  <c:v>365</c:v>
                </c:pt>
                <c:pt idx="41">
                  <c:v>242</c:v>
                </c:pt>
                <c:pt idx="42">
                  <c:v>290</c:v>
                </c:pt>
                <c:pt idx="43">
                  <c:v>330</c:v>
                </c:pt>
                <c:pt idx="44">
                  <c:v>298</c:v>
                </c:pt>
                <c:pt idx="45">
                  <c:v>143</c:v>
                </c:pt>
                <c:pt idx="46">
                  <c:v>155</c:v>
                </c:pt>
                <c:pt idx="47">
                  <c:v>37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37</c:v>
                </c:pt>
                <c:pt idx="55">
                  <c:v>82</c:v>
                </c:pt>
                <c:pt idx="56">
                  <c:v>19</c:v>
                </c:pt>
                <c:pt idx="57">
                  <c:v>19</c:v>
                </c:pt>
                <c:pt idx="58">
                  <c:v>74</c:v>
                </c:pt>
                <c:pt idx="59">
                  <c:v>78</c:v>
                </c:pt>
                <c:pt idx="60">
                  <c:v>100</c:v>
                </c:pt>
                <c:pt idx="61">
                  <c:v>104</c:v>
                </c:pt>
                <c:pt idx="62">
                  <c:v>124</c:v>
                </c:pt>
                <c:pt idx="63">
                  <c:v>104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97</c:v>
                </c:pt>
                <c:pt idx="69">
                  <c:v>72</c:v>
                </c:pt>
                <c:pt idx="70">
                  <c:v>46</c:v>
                </c:pt>
                <c:pt idx="71">
                  <c:v>34</c:v>
                </c:pt>
                <c:pt idx="72">
                  <c:v>100</c:v>
                </c:pt>
                <c:pt idx="73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17-3949-969C-7A2E0E2D7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077760"/>
        <c:axId val="37707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4159658614101807E-2"/>
                        <c:y val="-7.1095060025331294E-2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lang="en-US" sz="1200" b="0" i="0" u="none" strike="noStrike" kern="1200" baseline="0">
                            <a:solidFill>
                              <a:sysClr val="windowText" lastClr="000000">
                                <a:lumMod val="65000"/>
                                <a:lumOff val="35000"/>
                              </a:sys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35</c:v>
                    </c:pt>
                    <c:pt idx="4">
                      <c:v>37</c:v>
                    </c:pt>
                    <c:pt idx="5">
                      <c:v>38</c:v>
                    </c:pt>
                    <c:pt idx="6">
                      <c:v>48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50</c:v>
                    </c:pt>
                    <c:pt idx="10">
                      <c:v>68</c:v>
                    </c:pt>
                    <c:pt idx="11">
                      <c:v>74</c:v>
                    </c:pt>
                    <c:pt idx="12">
                      <c:v>74</c:v>
                    </c:pt>
                    <c:pt idx="13">
                      <c:v>78</c:v>
                    </c:pt>
                    <c:pt idx="14">
                      <c:v>97</c:v>
                    </c:pt>
                    <c:pt idx="15">
                      <c:v>98</c:v>
                    </c:pt>
                    <c:pt idx="16">
                      <c:v>106</c:v>
                    </c:pt>
                    <c:pt idx="17">
                      <c:v>108</c:v>
                    </c:pt>
                    <c:pt idx="18">
                      <c:v>108</c:v>
                    </c:pt>
                    <c:pt idx="19">
                      <c:v>124</c:v>
                    </c:pt>
                    <c:pt idx="20">
                      <c:v>128</c:v>
                    </c:pt>
                    <c:pt idx="21">
                      <c:v>128</c:v>
                    </c:pt>
                    <c:pt idx="22">
                      <c:v>146</c:v>
                    </c:pt>
                    <c:pt idx="23">
                      <c:v>150</c:v>
                    </c:pt>
                    <c:pt idx="24">
                      <c:v>155</c:v>
                    </c:pt>
                    <c:pt idx="25">
                      <c:v>160</c:v>
                    </c:pt>
                    <c:pt idx="26">
                      <c:v>177</c:v>
                    </c:pt>
                    <c:pt idx="27">
                      <c:v>186</c:v>
                    </c:pt>
                    <c:pt idx="28">
                      <c:v>220</c:v>
                    </c:pt>
                    <c:pt idx="29">
                      <c:v>237</c:v>
                    </c:pt>
                    <c:pt idx="30">
                      <c:v>242</c:v>
                    </c:pt>
                    <c:pt idx="31">
                      <c:v>247</c:v>
                    </c:pt>
                    <c:pt idx="32">
                      <c:v>277</c:v>
                    </c:pt>
                    <c:pt idx="33">
                      <c:v>277</c:v>
                    </c:pt>
                    <c:pt idx="34">
                      <c:v>280</c:v>
                    </c:pt>
                    <c:pt idx="35">
                      <c:v>323</c:v>
                    </c:pt>
                    <c:pt idx="36">
                      <c:v>326</c:v>
                    </c:pt>
                    <c:pt idx="37">
                      <c:v>370</c:v>
                    </c:pt>
                    <c:pt idx="38">
                      <c:v>375</c:v>
                    </c:pt>
                    <c:pt idx="39">
                      <c:v>400</c:v>
                    </c:pt>
                    <c:pt idx="40">
                      <c:v>467</c:v>
                    </c:pt>
                    <c:pt idx="41">
                      <c:v>555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7017-3949-969C-7A2E0E2D7458}"/>
                  </c:ext>
                </c:extLst>
              </c15:ser>
            </c15:filteredScatterSeries>
          </c:ext>
        </c:extLst>
      </c:scatterChart>
      <c:valAx>
        <c:axId val="37707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Maximum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9680"/>
        <c:crosses val="autoZero"/>
        <c:crossBetween val="midCat"/>
      </c:valAx>
      <c:valAx>
        <c:axId val="37707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Typical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ysClr val="windowText" lastClr="000000">
              <a:lumMod val="65000"/>
              <a:lumOff val="35000"/>
            </a:sysClr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Hurtecant!$U$6:$U$35</c:f>
              <c:numCache>
                <c:formatCode>0.000000</c:formatCode>
                <c:ptCount val="30"/>
                <c:pt idx="0">
                  <c:v>2.2221766973589607E-3</c:v>
                </c:pt>
                <c:pt idx="1">
                  <c:v>4.4443533947179214E-3</c:v>
                </c:pt>
                <c:pt idx="2">
                  <c:v>6.6665300920768821E-3</c:v>
                </c:pt>
                <c:pt idx="3">
                  <c:v>8.8887067894358428E-3</c:v>
                </c:pt>
                <c:pt idx="4">
                  <c:v>1.1110883486794804E-2</c:v>
                </c:pt>
                <c:pt idx="5">
                  <c:v>1.3333060184153766E-2</c:v>
                </c:pt>
                <c:pt idx="6">
                  <c:v>1.5555236881512727E-2</c:v>
                </c:pt>
                <c:pt idx="7">
                  <c:v>1.7777413578871689E-2</c:v>
                </c:pt>
                <c:pt idx="8">
                  <c:v>1.9999590276230651E-2</c:v>
                </c:pt>
                <c:pt idx="9">
                  <c:v>2.2221766973589612E-2</c:v>
                </c:pt>
                <c:pt idx="10">
                  <c:v>2.4443943670948574E-2</c:v>
                </c:pt>
                <c:pt idx="11">
                  <c:v>2.6666120368307535E-2</c:v>
                </c:pt>
                <c:pt idx="12">
                  <c:v>2.8888297065666497E-2</c:v>
                </c:pt>
                <c:pt idx="13">
                  <c:v>3.1110473763025458E-2</c:v>
                </c:pt>
                <c:pt idx="14">
                  <c:v>3.3332650460384416E-2</c:v>
                </c:pt>
                <c:pt idx="15">
                  <c:v>3.5554827157743378E-2</c:v>
                </c:pt>
                <c:pt idx="16">
                  <c:v>3.777700385510234E-2</c:v>
                </c:pt>
                <c:pt idx="17">
                  <c:v>3.9999180552461301E-2</c:v>
                </c:pt>
                <c:pt idx="18">
                  <c:v>4.2221357249820263E-2</c:v>
                </c:pt>
                <c:pt idx="19">
                  <c:v>4.4443533947179224E-2</c:v>
                </c:pt>
                <c:pt idx="20">
                  <c:v>4.6665710644538186E-2</c:v>
                </c:pt>
                <c:pt idx="21">
                  <c:v>4.8887887341897147E-2</c:v>
                </c:pt>
                <c:pt idx="22">
                  <c:v>5.1110064039256109E-2</c:v>
                </c:pt>
                <c:pt idx="23">
                  <c:v>5.3332240736615071E-2</c:v>
                </c:pt>
                <c:pt idx="24">
                  <c:v>5.5554417433974032E-2</c:v>
                </c:pt>
                <c:pt idx="25">
                  <c:v>5.7776594131332994E-2</c:v>
                </c:pt>
                <c:pt idx="26">
                  <c:v>5.9998770828691955E-2</c:v>
                </c:pt>
                <c:pt idx="27">
                  <c:v>6.2220947526050917E-2</c:v>
                </c:pt>
                <c:pt idx="28">
                  <c:v>6.4443124223409878E-2</c:v>
                </c:pt>
                <c:pt idx="29">
                  <c:v>6.6665300920768833E-2</c:v>
                </c:pt>
              </c:numCache>
            </c:numRef>
          </c:cat>
          <c:val>
            <c:numRef>
              <c:f>Hurtecant!$V$6:$V$35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4-B545-B394-12CE7876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202944"/>
        <c:axId val="377229696"/>
      </c:barChart>
      <c:catAx>
        <c:axId val="37720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Fuel consumption (kg/km/seat)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29696"/>
        <c:crosses val="autoZero"/>
        <c:auto val="1"/>
        <c:lblAlgn val="ctr"/>
        <c:lblOffset val="100"/>
        <c:noMultiLvlLbl val="0"/>
      </c:catAx>
      <c:valAx>
        <c:axId val="3772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Quantity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0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chemeClr val="tx1">
              <a:lumMod val="65000"/>
              <a:lumOff val="35000"/>
            </a:schemeClr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Overview!$B$57:$H$57</c:f>
              <c:numCache>
                <c:formatCode>0.00000</c:formatCode>
                <c:ptCount val="7"/>
                <c:pt idx="0">
                  <c:v>0.27283102480798815</c:v>
                </c:pt>
                <c:pt idx="1">
                  <c:v>1.8468930952279505</c:v>
                </c:pt>
                <c:pt idx="2">
                  <c:v>0.30603913566215479</c:v>
                </c:pt>
                <c:pt idx="3">
                  <c:v>0.25596433495304677</c:v>
                </c:pt>
                <c:pt idx="4">
                  <c:v>0.30685213838830877</c:v>
                </c:pt>
                <c:pt idx="5">
                  <c:v>0.21611430480961924</c:v>
                </c:pt>
                <c:pt idx="6">
                  <c:v>0.2630745752823348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4-1F4C-A89F-4C2CBBEE8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coeff. of variation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val>
            <c:numRef>
              <c:f>Matrix!$C$12:$I$12</c:f>
              <c:numCache>
                <c:formatCode>0.00000</c:formatCode>
                <c:ptCount val="7"/>
                <c:pt idx="0">
                  <c:v>0.37821407493079801</c:v>
                </c:pt>
                <c:pt idx="1">
                  <c:v>0.45780337533622895</c:v>
                </c:pt>
                <c:pt idx="2">
                  <c:v>0.26069352530441275</c:v>
                </c:pt>
                <c:pt idx="3">
                  <c:v>0.38029476080668578</c:v>
                </c:pt>
                <c:pt idx="4">
                  <c:v>0.23824292020275553</c:v>
                </c:pt>
                <c:pt idx="5">
                  <c:v>0.24250157529038963</c:v>
                </c:pt>
                <c:pt idx="6">
                  <c:v>0.36952510344341205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4-F345-AEBB-DBBD72D26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214848"/>
        <c:axId val="272166912"/>
      </c:barChart>
      <c:catAx>
        <c:axId val="2712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166912"/>
        <c:crosses val="autoZero"/>
        <c:auto val="1"/>
        <c:lblAlgn val="ctr"/>
        <c:lblOffset val="100"/>
        <c:noMultiLvlLbl val="0"/>
      </c:catAx>
      <c:valAx>
        <c:axId val="272166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average of determination coefficient[-]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14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121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Overview!$D$127:$D$133</c:f>
              <c:numCache>
                <c:formatCode>General</c:formatCode>
                <c:ptCount val="7"/>
                <c:pt idx="0">
                  <c:v>0.46189999999999998</c:v>
                </c:pt>
                <c:pt idx="1">
                  <c:v>0.58309999999999995</c:v>
                </c:pt>
                <c:pt idx="2">
                  <c:v>2.1499999999999998E-2</c:v>
                </c:pt>
                <c:pt idx="3">
                  <c:v>0.4834</c:v>
                </c:pt>
                <c:pt idx="4">
                  <c:v>4.7100000000000003E-2</c:v>
                </c:pt>
                <c:pt idx="5">
                  <c:v>3.4099999999999998E-2</c:v>
                </c:pt>
                <c:pt idx="6">
                  <c:v>0.4572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5-824A-8CF7-30A14C70A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170368"/>
        <c:axId val="272255232"/>
      </c:barChart>
      <c:catAx>
        <c:axId val="27217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255232"/>
        <c:crosses val="autoZero"/>
        <c:auto val="1"/>
        <c:lblAlgn val="ctr"/>
        <c:lblOffset val="100"/>
        <c:noMultiLvlLbl val="0"/>
      </c:catAx>
      <c:valAx>
        <c:axId val="272255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vaules of the eigenvector of highest eigenvalue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28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17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val>
            <c:numRef>
              <c:f>Matrix!$X$4:$X$10</c:f>
              <c:numCache>
                <c:formatCode>0.00000</c:formatCode>
                <c:ptCount val="7"/>
                <c:pt idx="0">
                  <c:v>0.35858560865350708</c:v>
                </c:pt>
                <c:pt idx="1">
                  <c:v>0.23122637985172942</c:v>
                </c:pt>
                <c:pt idx="2">
                  <c:v>0.20346937370049964</c:v>
                </c:pt>
                <c:pt idx="3">
                  <c:v>0.15244799447885646</c:v>
                </c:pt>
                <c:pt idx="4">
                  <c:v>0.27260085309123827</c:v>
                </c:pt>
                <c:pt idx="5">
                  <c:v>0.18314183087330557</c:v>
                </c:pt>
                <c:pt idx="6">
                  <c:v>0.23574964473907611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0-1743-B203-78009A925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350592"/>
        <c:axId val="272652160"/>
      </c:barChart>
      <c:catAx>
        <c:axId val="2723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652160"/>
        <c:crosses val="autoZero"/>
        <c:auto val="1"/>
        <c:lblAlgn val="ctr"/>
        <c:lblOffset val="100"/>
        <c:noMultiLvlLbl val="0"/>
      </c:catAx>
      <c:valAx>
        <c:axId val="272652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MAPE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3152894429862933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35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Overview!$B$56:$H$56</c:f>
              <c:numCache>
                <c:formatCode>0.00000</c:formatCode>
                <c:ptCount val="7"/>
                <c:pt idx="0">
                  <c:v>5.75543721607648E-3</c:v>
                </c:pt>
                <c:pt idx="1">
                  <c:v>8.2788986515791529E-2</c:v>
                </c:pt>
                <c:pt idx="2">
                  <c:v>6.2856244271234669E-3</c:v>
                </c:pt>
                <c:pt idx="3">
                  <c:v>6.9442296627939106E-3</c:v>
                </c:pt>
                <c:pt idx="4">
                  <c:v>6.2807078344739569E-3</c:v>
                </c:pt>
                <c:pt idx="5">
                  <c:v>4.5335894404507394E-3</c:v>
                </c:pt>
                <c:pt idx="6">
                  <c:v>6.8222787963537019E-3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F-9D44-9B1D-CA4DFB91F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  <c:max val="9.0000000000000028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standard deviation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Fuel Consumption, SAR (kg/km/seat)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Analysis'!$B$2:$B$51</c:f>
              <c:numCache>
                <c:formatCode>0.00000</c:formatCode>
                <c:ptCount val="30"/>
                <c:pt idx="0">
                  <c:v>1.4973628691983123E-2</c:v>
                </c:pt>
                <c:pt idx="1">
                  <c:v>1.7155601303825697E-2</c:v>
                </c:pt>
                <c:pt idx="2">
                  <c:v>1.8335862417804754E-2</c:v>
                </c:pt>
                <c:pt idx="3">
                  <c:v>1.3905139814485087E-2</c:v>
                </c:pt>
                <c:pt idx="4">
                  <c:v>1.7757516552697274E-2</c:v>
                </c:pt>
                <c:pt idx="5">
                  <c:v>1.514441951440002E-2</c:v>
                </c:pt>
                <c:pt idx="6">
                  <c:v>2.2289987206081458E-2</c:v>
                </c:pt>
                <c:pt idx="7">
                  <c:v>1.5381437835141541E-2</c:v>
                </c:pt>
                <c:pt idx="8">
                  <c:v>1.5166712466794907E-2</c:v>
                </c:pt>
                <c:pt idx="9">
                  <c:v>2.1640826873385012E-2</c:v>
                </c:pt>
                <c:pt idx="10">
                  <c:v>2.2312131849824477E-2</c:v>
                </c:pt>
                <c:pt idx="11">
                  <c:v>2.3268190542662711E-2</c:v>
                </c:pt>
                <c:pt idx="12">
                  <c:v>2.0794985497545739E-2</c:v>
                </c:pt>
                <c:pt idx="13">
                  <c:v>1.8957909029192123E-2</c:v>
                </c:pt>
                <c:pt idx="14">
                  <c:v>1.7824956503039901E-2</c:v>
                </c:pt>
                <c:pt idx="15">
                  <c:v>2.1864877371587231E-2</c:v>
                </c:pt>
                <c:pt idx="16">
                  <c:v>1.937711609657311E-2</c:v>
                </c:pt>
                <c:pt idx="17">
                  <c:v>2.1346886912325287E-2</c:v>
                </c:pt>
                <c:pt idx="18">
                  <c:v>2.4224299065420559E-2</c:v>
                </c:pt>
                <c:pt idx="19">
                  <c:v>2.0345707870697873E-2</c:v>
                </c:pt>
                <c:pt idx="20">
                  <c:v>1.9816118935837245E-2</c:v>
                </c:pt>
                <c:pt idx="21">
                  <c:v>1.743908265647396E-2</c:v>
                </c:pt>
                <c:pt idx="22">
                  <c:v>2.2850469069351172E-2</c:v>
                </c:pt>
                <c:pt idx="23">
                  <c:v>2.2657754616517502E-2</c:v>
                </c:pt>
                <c:pt idx="24">
                  <c:v>2.3912191297530382E-2</c:v>
                </c:pt>
                <c:pt idx="25">
                  <c:v>1.9107564347532878E-2</c:v>
                </c:pt>
                <c:pt idx="26">
                  <c:v>1.8508486818345972E-2</c:v>
                </c:pt>
                <c:pt idx="27">
                  <c:v>2.8077753779697626E-2</c:v>
                </c:pt>
                <c:pt idx="28">
                  <c:v>2.2077597957342241E-2</c:v>
                </c:pt>
                <c:pt idx="29">
                  <c:v>1.7717478052673583E-2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EA-5242-A5BD-119278933D34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Fuel Consumption, Extended Payload-Range Diagram (kg/km/seat)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Analysis'!$C$2:$C$51</c:f>
              <c:numCache>
                <c:formatCode>0.00000</c:formatCode>
                <c:ptCount val="30"/>
                <c:pt idx="0">
                  <c:v>2.1225701943844488E-2</c:v>
                </c:pt>
                <c:pt idx="1">
                  <c:v>2.7400793011185975E-2</c:v>
                </c:pt>
                <c:pt idx="2">
                  <c:v>2.6618581487205903E-2</c:v>
                </c:pt>
                <c:pt idx="3">
                  <c:v>2.1683263732733694E-2</c:v>
                </c:pt>
                <c:pt idx="4">
                  <c:v>2.0134013016575303E-2</c:v>
                </c:pt>
                <c:pt idx="5">
                  <c:v>2.0367620948433311E-2</c:v>
                </c:pt>
                <c:pt idx="6">
                  <c:v>4.0145071456327446E-2</c:v>
                </c:pt>
                <c:pt idx="7">
                  <c:v>2.127985068918567E-2</c:v>
                </c:pt>
                <c:pt idx="8">
                  <c:v>2.079073674106071E-2</c:v>
                </c:pt>
                <c:pt idx="9">
                  <c:v>2.9832869466483888E-2</c:v>
                </c:pt>
                <c:pt idx="10">
                  <c:v>3.1255350513440486E-2</c:v>
                </c:pt>
                <c:pt idx="11">
                  <c:v>4.3930021868166212E-2</c:v>
                </c:pt>
                <c:pt idx="12">
                  <c:v>2.9463719898605838E-2</c:v>
                </c:pt>
                <c:pt idx="13">
                  <c:v>2.7139999999999991E-2</c:v>
                </c:pt>
                <c:pt idx="14">
                  <c:v>1.7780441971421951E-2</c:v>
                </c:pt>
                <c:pt idx="15">
                  <c:v>2.9391344596158289E-2</c:v>
                </c:pt>
                <c:pt idx="16">
                  <c:v>3.3889803443408938E-2</c:v>
                </c:pt>
                <c:pt idx="17">
                  <c:v>4.6732090284592728E-2</c:v>
                </c:pt>
                <c:pt idx="18">
                  <c:v>4.4882186616399616E-2</c:v>
                </c:pt>
                <c:pt idx="19">
                  <c:v>3.4518447252955498E-2</c:v>
                </c:pt>
                <c:pt idx="20">
                  <c:v>3.7942771431868014E-2</c:v>
                </c:pt>
                <c:pt idx="21">
                  <c:v>2.8071557155715562E-2</c:v>
                </c:pt>
                <c:pt idx="22">
                  <c:v>4.4396581671645924E-2</c:v>
                </c:pt>
                <c:pt idx="23">
                  <c:v>4.0969131878222771E-2</c:v>
                </c:pt>
                <c:pt idx="24">
                  <c:v>3.8811771238200996E-2</c:v>
                </c:pt>
                <c:pt idx="25">
                  <c:v>3.4227939575987125E-2</c:v>
                </c:pt>
                <c:pt idx="26">
                  <c:v>2.6367849257874824E-2</c:v>
                </c:pt>
                <c:pt idx="27">
                  <c:v>3.9795338260375221E-2</c:v>
                </c:pt>
                <c:pt idx="28">
                  <c:v>3.9020390811229357E-2</c:v>
                </c:pt>
                <c:pt idx="29">
                  <c:v>4.0692041522491333E-2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EA-5242-A5BD-119278933D34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Fuel Consumption, Bathtub Curve (Harmonic Range) (kg/km/seat)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Analysis'!$D$2:$D$51</c:f>
              <c:numCache>
                <c:formatCode>0.00000</c:formatCode>
                <c:ptCount val="30"/>
                <c:pt idx="0">
                  <c:v>1.8266666666666667E-2</c:v>
                </c:pt>
                <c:pt idx="1">
                  <c:v>2.2388059701492536E-2</c:v>
                </c:pt>
                <c:pt idx="2">
                  <c:v>2.0933333333333335E-2</c:v>
                </c:pt>
                <c:pt idx="3">
                  <c:v>1.7575757575757574E-2</c:v>
                </c:pt>
                <c:pt idx="4">
                  <c:v>1.6108108108108109E-2</c:v>
                </c:pt>
                <c:pt idx="5">
                  <c:v>1.7184466019417477E-2</c:v>
                </c:pt>
                <c:pt idx="6">
                  <c:v>2.5754716981132075E-2</c:v>
                </c:pt>
                <c:pt idx="7">
                  <c:v>1.7469135802469136E-2</c:v>
                </c:pt>
                <c:pt idx="8">
                  <c:v>1.6944444444444443E-2</c:v>
                </c:pt>
                <c:pt idx="9">
                  <c:v>2.2777777777777779E-2</c:v>
                </c:pt>
                <c:pt idx="10">
                  <c:v>2.3537414965986395E-2</c:v>
                </c:pt>
                <c:pt idx="11">
                  <c:v>3.1909090909090908E-2</c:v>
                </c:pt>
                <c:pt idx="12">
                  <c:v>2.328125E-2</c:v>
                </c:pt>
                <c:pt idx="13">
                  <c:v>2.1187500000000001E-2</c:v>
                </c:pt>
                <c:pt idx="14">
                  <c:v>1.3785310734463277E-2</c:v>
                </c:pt>
                <c:pt idx="15">
                  <c:v>2.3700000000000002E-2</c:v>
                </c:pt>
                <c:pt idx="16">
                  <c:v>2.3636363636363636E-2</c:v>
                </c:pt>
                <c:pt idx="17">
                  <c:v>1.1399999999999999E-2</c:v>
                </c:pt>
                <c:pt idx="18">
                  <c:v>1.24E-2</c:v>
                </c:pt>
                <c:pt idx="19">
                  <c:v>1.9358974358974358E-2</c:v>
                </c:pt>
                <c:pt idx="20">
                  <c:v>2.2555555555555554E-2</c:v>
                </c:pt>
                <c:pt idx="21">
                  <c:v>1.8173076923076924E-2</c:v>
                </c:pt>
                <c:pt idx="22">
                  <c:v>2.662162162162162E-2</c:v>
                </c:pt>
                <c:pt idx="23">
                  <c:v>2.3461538461538461E-2</c:v>
                </c:pt>
                <c:pt idx="24">
                  <c:v>2.2099999999999998E-2</c:v>
                </c:pt>
                <c:pt idx="25">
                  <c:v>1.6451612903225808E-2</c:v>
                </c:pt>
                <c:pt idx="26">
                  <c:v>2.0192307692307693E-2</c:v>
                </c:pt>
                <c:pt idx="27">
                  <c:v>2.2200000000000001E-2</c:v>
                </c:pt>
                <c:pt idx="28">
                  <c:v>2.4020618556701033E-2</c:v>
                </c:pt>
                <c:pt idx="29">
                  <c:v>1.9E-2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EA-5242-A5BD-119278933D34}"/>
            </c:ext>
          </c:extLst>
        </c:ser>
        <c:ser>
          <c:idx val="0"/>
          <c:order val="3"/>
          <c:tx>
            <c:strRef>
              <c:f>'Fuel Consumption Analysis'!$E$1</c:f>
              <c:strCache>
                <c:ptCount val="1"/>
                <c:pt idx="0">
                  <c:v>Fuel Consumption, EEA Master Emission Calculator (kg/km/seat)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Analysis'!$E$2:$E$51</c:f>
              <c:numCache>
                <c:formatCode>0.00000</c:formatCode>
                <c:ptCount val="30"/>
                <c:pt idx="1">
                  <c:v>2.1596015602333905E-2</c:v>
                </c:pt>
                <c:pt idx="2">
                  <c:v>2.1738279237506441E-2</c:v>
                </c:pt>
                <c:pt idx="4">
                  <c:v>2.1769100060915009E-2</c:v>
                </c:pt>
                <c:pt idx="6">
                  <c:v>3.1029748283752861E-2</c:v>
                </c:pt>
                <c:pt idx="7">
                  <c:v>2.0479472312736804E-2</c:v>
                </c:pt>
                <c:pt idx="8">
                  <c:v>1.94016558675306E-2</c:v>
                </c:pt>
                <c:pt idx="9">
                  <c:v>2.7905398856256664E-2</c:v>
                </c:pt>
                <c:pt idx="10">
                  <c:v>2.6013204545169817E-2</c:v>
                </c:pt>
                <c:pt idx="11">
                  <c:v>3.1055295220243671E-2</c:v>
                </c:pt>
                <c:pt idx="12">
                  <c:v>2.4817411280101391E-2</c:v>
                </c:pt>
                <c:pt idx="13">
                  <c:v>2.1632000000000002E-2</c:v>
                </c:pt>
                <c:pt idx="14">
                  <c:v>2.0470158997449694E-2</c:v>
                </c:pt>
                <c:pt idx="15">
                  <c:v>2.4276556352696134E-2</c:v>
                </c:pt>
                <c:pt idx="16">
                  <c:v>3.0674194176674149E-2</c:v>
                </c:pt>
                <c:pt idx="20">
                  <c:v>2.859005422868351E-2</c:v>
                </c:pt>
                <c:pt idx="22">
                  <c:v>3.2640867088167859E-2</c:v>
                </c:pt>
                <c:pt idx="23">
                  <c:v>3.166066256975348E-2</c:v>
                </c:pt>
                <c:pt idx="24">
                  <c:v>3.2252082176568581E-2</c:v>
                </c:pt>
                <c:pt idx="25">
                  <c:v>2.7900396151669497E-2</c:v>
                </c:pt>
                <c:pt idx="26">
                  <c:v>2.5626981004218858E-2</c:v>
                </c:pt>
                <c:pt idx="27">
                  <c:v>3.6604889141557705E-2</c:v>
                </c:pt>
                <c:pt idx="28">
                  <c:v>3.3925471559651602E-2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88EA-5242-A5BD-119278933D34}"/>
            </c:ext>
          </c:extLst>
        </c:ser>
        <c:ser>
          <c:idx val="4"/>
          <c:order val="4"/>
          <c:tx>
            <c:strRef>
              <c:f>'Fuel Consumption Analysis'!$F$1</c:f>
              <c:strCache>
                <c:ptCount val="1"/>
                <c:pt idx="0">
                  <c:v>Fuel Consumption, BADA (kg/km/seat)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Analysis'!$F$2:$F$51</c:f>
              <c:numCache>
                <c:formatCode>0.00000</c:formatCode>
                <c:ptCount val="30"/>
                <c:pt idx="2">
                  <c:v>1.9310691354613139E-2</c:v>
                </c:pt>
                <c:pt idx="9">
                  <c:v>2.3527383546380294E-2</c:v>
                </c:pt>
                <c:pt idx="10">
                  <c:v>2.0166328754040251E-2</c:v>
                </c:pt>
                <c:pt idx="11">
                  <c:v>2.694954842585379E-2</c:v>
                </c:pt>
                <c:pt idx="12">
                  <c:v>3.0355530448458845E-2</c:v>
                </c:pt>
                <c:pt idx="13">
                  <c:v>2.4284424358767077E-2</c:v>
                </c:pt>
                <c:pt idx="15">
                  <c:v>2.0687181572734151E-2</c:v>
                </c:pt>
                <c:pt idx="16">
                  <c:v>2.4063292725679707E-2</c:v>
                </c:pt>
                <c:pt idx="28">
                  <c:v>2.219061544142191E-2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88EA-5242-A5BD-119278933D34}"/>
            </c:ext>
          </c:extLst>
        </c:ser>
        <c:ser>
          <c:idx val="5"/>
          <c:order val="5"/>
          <c:tx>
            <c:strRef>
              <c:f>'Fuel Consumption Analysis'!$G$1</c:f>
              <c:strCache>
                <c:ptCount val="1"/>
                <c:pt idx="0">
                  <c:v>Fuel Consumption, Handbook Methods (kg/km/seat)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Analysis'!$G$2:$G$51</c:f>
              <c:numCache>
                <c:formatCode>0.00000</c:formatCode>
                <c:ptCount val="30"/>
                <c:pt idx="0">
                  <c:v>1.4454743795292326E-2</c:v>
                </c:pt>
                <c:pt idx="1">
                  <c:v>2.0842312585967006E-2</c:v>
                </c:pt>
                <c:pt idx="2">
                  <c:v>1.9808164212606581E-2</c:v>
                </c:pt>
                <c:pt idx="3">
                  <c:v>1.5173537318064468E-2</c:v>
                </c:pt>
                <c:pt idx="4">
                  <c:v>1.962226134258228E-2</c:v>
                </c:pt>
                <c:pt idx="5">
                  <c:v>1.4399446119038739E-2</c:v>
                </c:pt>
                <c:pt idx="6">
                  <c:v>1.277511049732645E-2</c:v>
                </c:pt>
                <c:pt idx="7">
                  <c:v>1.7096347711813648E-2</c:v>
                </c:pt>
                <c:pt idx="8">
                  <c:v>1.654243077155056E-2</c:v>
                </c:pt>
                <c:pt idx="9">
                  <c:v>2.1505421768622586E-2</c:v>
                </c:pt>
                <c:pt idx="10">
                  <c:v>2.0469488397419605E-2</c:v>
                </c:pt>
                <c:pt idx="11">
                  <c:v>2.4385836272180196E-2</c:v>
                </c:pt>
                <c:pt idx="12">
                  <c:v>2.1102979634677506E-2</c:v>
                </c:pt>
                <c:pt idx="13">
                  <c:v>1.9335959540771976E-2</c:v>
                </c:pt>
                <c:pt idx="14">
                  <c:v>1.6927057579567518E-2</c:v>
                </c:pt>
                <c:pt idx="15">
                  <c:v>2.1869181912474379E-2</c:v>
                </c:pt>
                <c:pt idx="16">
                  <c:v>2.2928504088358195E-2</c:v>
                </c:pt>
                <c:pt idx="17">
                  <c:v>1.8964041321593437E-2</c:v>
                </c:pt>
                <c:pt idx="18">
                  <c:v>1.8943503525986907E-2</c:v>
                </c:pt>
                <c:pt idx="19">
                  <c:v>1.8797915196435474E-2</c:v>
                </c:pt>
                <c:pt idx="20">
                  <c:v>1.8626311532869602E-2</c:v>
                </c:pt>
                <c:pt idx="21">
                  <c:v>1.7362786693673686E-2</c:v>
                </c:pt>
                <c:pt idx="22">
                  <c:v>2.0893849574731151E-2</c:v>
                </c:pt>
                <c:pt idx="23">
                  <c:v>2.0982137857828265E-2</c:v>
                </c:pt>
                <c:pt idx="24">
                  <c:v>1.6655375787836733E-2</c:v>
                </c:pt>
                <c:pt idx="25">
                  <c:v>1.3082963201166111E-2</c:v>
                </c:pt>
                <c:pt idx="26">
                  <c:v>1.8428636458143025E-2</c:v>
                </c:pt>
                <c:pt idx="27">
                  <c:v>1.9206750491913904E-2</c:v>
                </c:pt>
                <c:pt idx="28">
                  <c:v>2.3379662989747387E-2</c:v>
                </c:pt>
                <c:pt idx="29">
                  <c:v>1.9923066893285987E-2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8EA-5242-A5BD-119278933D34}"/>
            </c:ext>
          </c:extLst>
        </c:ser>
        <c:ser>
          <c:idx val="6"/>
          <c:order val="6"/>
          <c:tx>
            <c:strRef>
              <c:f>'Fuel Consumption Analysis'!$H$1</c:f>
              <c:strCache>
                <c:ptCount val="1"/>
                <c:pt idx="0">
                  <c:v>Fuel Consumption, Literature Review (kg/km/seat)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30"/>
                <c:pt idx="0">
                  <c:v>Airbus A220-300</c:v>
                </c:pt>
                <c:pt idx="1">
                  <c:v>Airbus A319</c:v>
                </c:pt>
                <c:pt idx="2">
                  <c:v>Airbus A320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Airbus A321neo</c:v>
                </c:pt>
                <c:pt idx="6">
                  <c:v>Boeing 717-200</c:v>
                </c:pt>
                <c:pt idx="7">
                  <c:v>Boeing 737 Max 8</c:v>
                </c:pt>
                <c:pt idx="8">
                  <c:v>Boeing 737 MAX 9</c:v>
                </c:pt>
                <c:pt idx="9">
                  <c:v>Boeing 737-300</c:v>
                </c:pt>
                <c:pt idx="10">
                  <c:v>Boeing 737-400</c:v>
                </c:pt>
                <c:pt idx="11">
                  <c:v>Boeing 737-500</c:v>
                </c:pt>
                <c:pt idx="12">
                  <c:v>Boeing 737-700</c:v>
                </c:pt>
                <c:pt idx="13">
                  <c:v>Boeing 737-800</c:v>
                </c:pt>
                <c:pt idx="14">
                  <c:v>Boeing 737-900</c:v>
                </c:pt>
                <c:pt idx="15">
                  <c:v>Boeing 757-200</c:v>
                </c:pt>
                <c:pt idx="16">
                  <c:v>Boeing MD-80</c:v>
                </c:pt>
                <c:pt idx="17">
                  <c:v>Bombardier CRJ100</c:v>
                </c:pt>
                <c:pt idx="18">
                  <c:v>Bombardier CRJ200</c:v>
                </c:pt>
                <c:pt idx="19">
                  <c:v>Bombardier CRJ700</c:v>
                </c:pt>
                <c:pt idx="20">
                  <c:v>Bombardier CRJ900</c:v>
                </c:pt>
                <c:pt idx="21">
                  <c:v>Bombardier CRJ1000</c:v>
                </c:pt>
                <c:pt idx="22">
                  <c:v>Embraer E170</c:v>
                </c:pt>
                <c:pt idx="23">
                  <c:v>Embraer E175</c:v>
                </c:pt>
                <c:pt idx="24">
                  <c:v>Embraer E190</c:v>
                </c:pt>
                <c:pt idx="25">
                  <c:v>Embraer E195</c:v>
                </c:pt>
                <c:pt idx="26">
                  <c:v>Embraer E195-E2</c:v>
                </c:pt>
                <c:pt idx="27">
                  <c:v>Embraer ERJ-145</c:v>
                </c:pt>
                <c:pt idx="28">
                  <c:v>Fokker 100</c:v>
                </c:pt>
                <c:pt idx="29">
                  <c:v>Sukhoi Superjet 100</c:v>
                </c:pt>
              </c:strCache>
            </c:strRef>
          </c:cat>
          <c:val>
            <c:numRef>
              <c:f>'Fuel Consumption Analysis'!$H$2:$H$51</c:f>
              <c:numCache>
                <c:formatCode>0.00000</c:formatCode>
                <c:ptCount val="30"/>
                <c:pt idx="0">
                  <c:v>1.9E-2</c:v>
                </c:pt>
                <c:pt idx="1">
                  <c:v>2.3912834987313801E-2</c:v>
                </c:pt>
                <c:pt idx="2">
                  <c:v>2.11365784332311E-2</c:v>
                </c:pt>
                <c:pt idx="3">
                  <c:v>1.8194732838307477E-2</c:v>
                </c:pt>
                <c:pt idx="4">
                  <c:v>2.023519258185745E-2</c:v>
                </c:pt>
                <c:pt idx="5">
                  <c:v>1.7742375727119331E-2</c:v>
                </c:pt>
                <c:pt idx="7">
                  <c:v>1.8466149558172211E-2</c:v>
                </c:pt>
                <c:pt idx="8">
                  <c:v>1.84931822011879E-2</c:v>
                </c:pt>
                <c:pt idx="9">
                  <c:v>2.7698412698412701E-2</c:v>
                </c:pt>
                <c:pt idx="12">
                  <c:v>2.2408207343412527E-2</c:v>
                </c:pt>
                <c:pt idx="13">
                  <c:v>1.9546436285097193E-2</c:v>
                </c:pt>
                <c:pt idx="14">
                  <c:v>1.9006479481641469E-2</c:v>
                </c:pt>
                <c:pt idx="15">
                  <c:v>1.8574514038876888E-2</c:v>
                </c:pt>
                <c:pt idx="17">
                  <c:v>3.7400000000000003E-2</c:v>
                </c:pt>
                <c:pt idx="18">
                  <c:v>3.6000000000000004E-2</c:v>
                </c:pt>
                <c:pt idx="19">
                  <c:v>3.5230057223718962E-2</c:v>
                </c:pt>
                <c:pt idx="20">
                  <c:v>3.3170583683490948E-2</c:v>
                </c:pt>
                <c:pt idx="21">
                  <c:v>2.6600000000000002E-2</c:v>
                </c:pt>
                <c:pt idx="22">
                  <c:v>3.3023342529235181E-2</c:v>
                </c:pt>
                <c:pt idx="23">
                  <c:v>3.1662780679049679E-2</c:v>
                </c:pt>
                <c:pt idx="24">
                  <c:v>2.8615069399156777E-2</c:v>
                </c:pt>
                <c:pt idx="25">
                  <c:v>2.6515103919099139E-2</c:v>
                </c:pt>
                <c:pt idx="26">
                  <c:v>2.3257575757575755E-2</c:v>
                </c:pt>
                <c:pt idx="27">
                  <c:v>3.1229503662361938E-2</c:v>
                </c:pt>
                <c:pt idx="29">
                  <c:v>2.8673469387755102E-2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88EA-5242-A5BD-119278933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124875961699553"/>
          <c:y val="2.339911730778876E-2"/>
          <c:w val="0.15019996477527051"/>
          <c:h val="0.942428657405085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5811047276348679E-2"/>
                  <c:y val="-0.46113692159664876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Hurtecant!$F$11:$F$77</c:f>
              <c:numCache>
                <c:formatCode>General</c:formatCode>
                <c:ptCount val="67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185</c:v>
                </c:pt>
                <c:pt idx="4">
                  <c:v>206</c:v>
                </c:pt>
                <c:pt idx="5">
                  <c:v>246</c:v>
                </c:pt>
                <c:pt idx="6">
                  <c:v>300</c:v>
                </c:pt>
                <c:pt idx="7">
                  <c:v>335</c:v>
                </c:pt>
                <c:pt idx="8">
                  <c:v>380</c:v>
                </c:pt>
                <c:pt idx="9">
                  <c:v>315</c:v>
                </c:pt>
                <c:pt idx="10">
                  <c:v>315</c:v>
                </c:pt>
                <c:pt idx="11">
                  <c:v>369</c:v>
                </c:pt>
                <c:pt idx="12">
                  <c:v>575</c:v>
                </c:pt>
                <c:pt idx="13">
                  <c:v>48</c:v>
                </c:pt>
                <c:pt idx="14">
                  <c:v>68</c:v>
                </c:pt>
                <c:pt idx="15">
                  <c:v>19</c:v>
                </c:pt>
                <c:pt idx="16">
                  <c:v>106</c:v>
                </c:pt>
                <c:pt idx="17">
                  <c:v>162</c:v>
                </c:pt>
                <c:pt idx="18">
                  <c:v>180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467</c:v>
                </c:pt>
                <c:pt idx="27">
                  <c:v>200</c:v>
                </c:pt>
                <c:pt idx="28">
                  <c:v>243</c:v>
                </c:pt>
                <c:pt idx="29">
                  <c:v>210</c:v>
                </c:pt>
                <c:pt idx="30">
                  <c:v>243</c:v>
                </c:pt>
                <c:pt idx="31">
                  <c:v>305</c:v>
                </c:pt>
                <c:pt idx="32">
                  <c:v>305</c:v>
                </c:pt>
                <c:pt idx="33">
                  <c:v>301</c:v>
                </c:pt>
                <c:pt idx="34">
                  <c:v>368</c:v>
                </c:pt>
                <c:pt idx="35">
                  <c:v>365</c:v>
                </c:pt>
                <c:pt idx="36">
                  <c:v>242</c:v>
                </c:pt>
                <c:pt idx="37">
                  <c:v>290</c:v>
                </c:pt>
                <c:pt idx="38">
                  <c:v>330</c:v>
                </c:pt>
                <c:pt idx="39">
                  <c:v>298</c:v>
                </c:pt>
                <c:pt idx="40">
                  <c:v>143</c:v>
                </c:pt>
                <c:pt idx="41">
                  <c:v>155</c:v>
                </c:pt>
                <c:pt idx="42">
                  <c:v>37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78</c:v>
                </c:pt>
                <c:pt idx="47">
                  <c:v>90</c:v>
                </c:pt>
                <c:pt idx="48">
                  <c:v>104</c:v>
                </c:pt>
                <c:pt idx="49">
                  <c:v>37</c:v>
                </c:pt>
                <c:pt idx="50">
                  <c:v>82</c:v>
                </c:pt>
                <c:pt idx="51">
                  <c:v>19</c:v>
                </c:pt>
                <c:pt idx="52">
                  <c:v>19</c:v>
                </c:pt>
                <c:pt idx="53">
                  <c:v>74</c:v>
                </c:pt>
                <c:pt idx="54">
                  <c:v>78</c:v>
                </c:pt>
                <c:pt idx="55">
                  <c:v>100</c:v>
                </c:pt>
                <c:pt idx="56">
                  <c:v>104</c:v>
                </c:pt>
                <c:pt idx="57">
                  <c:v>124</c:v>
                </c:pt>
                <c:pt idx="58">
                  <c:v>104</c:v>
                </c:pt>
                <c:pt idx="59">
                  <c:v>30</c:v>
                </c:pt>
                <c:pt idx="60">
                  <c:v>37</c:v>
                </c:pt>
                <c:pt idx="61">
                  <c:v>44</c:v>
                </c:pt>
                <c:pt idx="62">
                  <c:v>50</c:v>
                </c:pt>
                <c:pt idx="63">
                  <c:v>97</c:v>
                </c:pt>
                <c:pt idx="64">
                  <c:v>72</c:v>
                </c:pt>
                <c:pt idx="65">
                  <c:v>46</c:v>
                </c:pt>
                <c:pt idx="66">
                  <c:v>34</c:v>
                </c:pt>
              </c:numCache>
            </c:numRef>
          </c:xVal>
          <c:yVal>
            <c:numRef>
              <c:f>Hurtecant!$O$11:$O$77</c:f>
              <c:numCache>
                <c:formatCode>0.0000</c:formatCode>
                <c:ptCount val="67"/>
                <c:pt idx="0">
                  <c:v>2.7400793011185975E-2</c:v>
                </c:pt>
                <c:pt idx="1">
                  <c:v>2.6618581487205903E-2</c:v>
                </c:pt>
                <c:pt idx="2">
                  <c:v>2.1683263732733694E-2</c:v>
                </c:pt>
                <c:pt idx="3">
                  <c:v>2.0134013016575303E-2</c:v>
                </c:pt>
                <c:pt idx="4">
                  <c:v>2.0367620948433311E-2</c:v>
                </c:pt>
                <c:pt idx="5">
                  <c:v>3.409633350760348E-2</c:v>
                </c:pt>
                <c:pt idx="6">
                  <c:v>2.8917950710000428E-2</c:v>
                </c:pt>
                <c:pt idx="7">
                  <c:v>3.0591521609127197E-2</c:v>
                </c:pt>
                <c:pt idx="8">
                  <c:v>3.0031936400660212E-2</c:v>
                </c:pt>
                <c:pt idx="9">
                  <c:v>2.4786426564698302E-2</c:v>
                </c:pt>
                <c:pt idx="10">
                  <c:v>2.5874324290551021E-2</c:v>
                </c:pt>
                <c:pt idx="11">
                  <c:v>2.5085584960564671E-2</c:v>
                </c:pt>
                <c:pt idx="12">
                  <c:v>2.9532674104790813E-2</c:v>
                </c:pt>
                <c:pt idx="13">
                  <c:v>4.0849673202614387E-2</c:v>
                </c:pt>
                <c:pt idx="14">
                  <c:v>3.1762164909160215E-2</c:v>
                </c:pt>
                <c:pt idx="15">
                  <c:v>7.9802069275753479E-2</c:v>
                </c:pt>
                <c:pt idx="16">
                  <c:v>4.0145071456327446E-2</c:v>
                </c:pt>
                <c:pt idx="17">
                  <c:v>2.127985068918567E-2</c:v>
                </c:pt>
                <c:pt idx="18">
                  <c:v>2.079073674106071E-2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2.9957161653921042E-2</c:v>
                </c:pt>
                <c:pt idx="27">
                  <c:v>2.9391344596158289E-2</c:v>
                </c:pt>
                <c:pt idx="28">
                  <c:v>2.6403043773160884E-2</c:v>
                </c:pt>
                <c:pt idx="29">
                  <c:v>3.1705673094926043E-2</c:v>
                </c:pt>
                <c:pt idx="30">
                  <c:v>3.2600186984960346E-2</c:v>
                </c:pt>
                <c:pt idx="31">
                  <c:v>2.7980430864303487E-2</c:v>
                </c:pt>
                <c:pt idx="32">
                  <c:v>2.4164068982530103E-2</c:v>
                </c:pt>
                <c:pt idx="33">
                  <c:v>3.2720243643373795E-2</c:v>
                </c:pt>
                <c:pt idx="34">
                  <c:v>3.0126414363501476E-2</c:v>
                </c:pt>
                <c:pt idx="35">
                  <c:v>2.9614167606309725E-2</c:v>
                </c:pt>
                <c:pt idx="36">
                  <c:v>2.7141855698876925E-2</c:v>
                </c:pt>
                <c:pt idx="37">
                  <c:v>2.5762319581407563E-2</c:v>
                </c:pt>
                <c:pt idx="38">
                  <c:v>2.4086267661034021E-2</c:v>
                </c:pt>
                <c:pt idx="39">
                  <c:v>3.2795346343344391E-2</c:v>
                </c:pt>
                <c:pt idx="40">
                  <c:v>3.3889803443408938E-2</c:v>
                </c:pt>
                <c:pt idx="41">
                  <c:v>3.3400003058763957E-2</c:v>
                </c:pt>
                <c:pt idx="42">
                  <c:v>4.1860764656634415E-2</c:v>
                </c:pt>
                <c:pt idx="43">
                  <c:v>4.4195804195804191E-2</c:v>
                </c:pt>
                <c:pt idx="44">
                  <c:v>4.6732090284592728E-2</c:v>
                </c:pt>
                <c:pt idx="45">
                  <c:v>4.4882186616399616E-2</c:v>
                </c:pt>
                <c:pt idx="46">
                  <c:v>3.4518447252955498E-2</c:v>
                </c:pt>
                <c:pt idx="47">
                  <c:v>3.7942771431868014E-2</c:v>
                </c:pt>
                <c:pt idx="48">
                  <c:v>2.8071557155715562E-2</c:v>
                </c:pt>
                <c:pt idx="49">
                  <c:v>4.6377911388710544E-2</c:v>
                </c:pt>
                <c:pt idx="50">
                  <c:v>2.9719057935565032E-2</c:v>
                </c:pt>
                <c:pt idx="51">
                  <c:v>0.61896100943503474</c:v>
                </c:pt>
                <c:pt idx="52">
                  <c:v>6.1137692716640102E-2</c:v>
                </c:pt>
                <c:pt idx="53">
                  <c:v>4.4396581671645924E-2</c:v>
                </c:pt>
                <c:pt idx="54">
                  <c:v>4.0969131878222771E-2</c:v>
                </c:pt>
                <c:pt idx="55">
                  <c:v>3.8811771238200996E-2</c:v>
                </c:pt>
                <c:pt idx="56">
                  <c:v>2.3422709886798284E-2</c:v>
                </c:pt>
                <c:pt idx="57">
                  <c:v>3.4227939575987125E-2</c:v>
                </c:pt>
                <c:pt idx="58">
                  <c:v>2.6367849257874824E-2</c:v>
                </c:pt>
                <c:pt idx="59">
                  <c:v>6.2073246430788369E-2</c:v>
                </c:pt>
                <c:pt idx="60">
                  <c:v>4.9617652209444862E-2</c:v>
                </c:pt>
                <c:pt idx="61">
                  <c:v>4.9086982132338502E-2</c:v>
                </c:pt>
                <c:pt idx="62">
                  <c:v>3.9795338260375221E-2</c:v>
                </c:pt>
                <c:pt idx="63">
                  <c:v>3.9020390811229357E-2</c:v>
                </c:pt>
                <c:pt idx="64">
                  <c:v>4.4699557657776029E-2</c:v>
                </c:pt>
                <c:pt idx="65">
                  <c:v>3.7568974288733202E-2</c:v>
                </c:pt>
                <c:pt idx="66">
                  <c:v>1.313676835498466E-2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2-6749-AEFF-3340EAEAA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65216"/>
        <c:axId val="179467392"/>
      </c:scatterChart>
      <c:valAx>
        <c:axId val="17946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7392"/>
        <c:crosses val="autoZero"/>
        <c:crossBetween val="midCat"/>
      </c:valAx>
      <c:valAx>
        <c:axId val="1794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5216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Statistic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177692235985078E-3"/>
                  <c:y val="-0.34216683168442841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(Hurtecant!$E$11:$E$13,Hurtecant!$E$16:$E$18,Hurtecant!$E$24:$E$25,Hurtecant!$E$27,Hurtecant!$E$30:$E$32,Hurtecant!$E$35:$E$57,Hurtecant!$E$60:$E$77)</c:f>
              <c:numCache>
                <c:formatCode>0.000</c:formatCode>
                <c:ptCount val="53"/>
                <c:pt idx="0">
                  <c:v>0.85897435897435892</c:v>
                </c:pt>
                <c:pt idx="1">
                  <c:v>0.83333333333333337</c:v>
                </c:pt>
                <c:pt idx="2">
                  <c:v>0.85051546391752575</c:v>
                </c:pt>
                <c:pt idx="3">
                  <c:v>0.60591133004926112</c:v>
                </c:pt>
                <c:pt idx="4">
                  <c:v>0.68181818181818177</c:v>
                </c:pt>
                <c:pt idx="5">
                  <c:v>0.76136363636363635</c:v>
                </c:pt>
                <c:pt idx="6">
                  <c:v>0.96</c:v>
                </c:pt>
                <c:pt idx="7">
                  <c:v>0.91891891891891897</c:v>
                </c:pt>
                <c:pt idx="8">
                  <c:v>1</c:v>
                </c:pt>
                <c:pt idx="9">
                  <c:v>0.84563758389261745</c:v>
                </c:pt>
                <c:pt idx="10">
                  <c:v>0.875</c:v>
                </c:pt>
                <c:pt idx="11">
                  <c:v>0.83333333333333337</c:v>
                </c:pt>
                <c:pt idx="12">
                  <c:v>0.93650793650793651</c:v>
                </c:pt>
                <c:pt idx="13">
                  <c:v>0.66666666666666663</c:v>
                </c:pt>
                <c:pt idx="14">
                  <c:v>0.90679611650485437</c:v>
                </c:pt>
                <c:pt idx="15">
                  <c:v>0.83682008368200833</c:v>
                </c:pt>
                <c:pt idx="16">
                  <c:v>0.82372881355932204</c:v>
                </c:pt>
                <c:pt idx="17">
                  <c:v>0.6</c:v>
                </c:pt>
                <c:pt idx="18">
                  <c:v>0.64800000000000002</c:v>
                </c:pt>
                <c:pt idx="19">
                  <c:v>0.69318181818181823</c:v>
                </c:pt>
                <c:pt idx="20">
                  <c:v>0.69318181818181823</c:v>
                </c:pt>
                <c:pt idx="21">
                  <c:v>0.68409090909090908</c:v>
                </c:pt>
                <c:pt idx="22">
                  <c:v>0.66909090909090907</c:v>
                </c:pt>
                <c:pt idx="23">
                  <c:v>0.66363636363636369</c:v>
                </c:pt>
                <c:pt idx="24">
                  <c:v>0.64533333333333331</c:v>
                </c:pt>
                <c:pt idx="25">
                  <c:v>0.71078431372549022</c:v>
                </c:pt>
                <c:pt idx="26">
                  <c:v>0.75</c:v>
                </c:pt>
                <c:pt idx="27">
                  <c:v>0.72682926829268291</c:v>
                </c:pt>
                <c:pt idx="28">
                  <c:v>0.83139534883720934</c:v>
                </c:pt>
                <c:pt idx="29">
                  <c:v>0.90116279069767447</c:v>
                </c:pt>
                <c:pt idx="30">
                  <c:v>0.92500000000000004</c:v>
                </c:pt>
                <c:pt idx="31">
                  <c:v>0.8928571428571429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0.94871794871794868</c:v>
                </c:pt>
                <c:pt idx="36">
                  <c:v>0.95348837209302328</c:v>
                </c:pt>
                <c:pt idx="37">
                  <c:v>1</c:v>
                </c:pt>
                <c:pt idx="38">
                  <c:v>1</c:v>
                </c:pt>
                <c:pt idx="39">
                  <c:v>0.94871794871794868</c:v>
                </c:pt>
                <c:pt idx="40">
                  <c:v>0.9285714285714286</c:v>
                </c:pt>
                <c:pt idx="41">
                  <c:v>0.94339622641509435</c:v>
                </c:pt>
                <c:pt idx="42">
                  <c:v>0.91228070175438591</c:v>
                </c:pt>
                <c:pt idx="43">
                  <c:v>1.0508474576271187</c:v>
                </c:pt>
                <c:pt idx="44">
                  <c:v>0.71232876712328763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0.88990825688073394</c:v>
                </c:pt>
                <c:pt idx="50">
                  <c:v>0.9</c:v>
                </c:pt>
                <c:pt idx="51">
                  <c:v>0.8214285714285714</c:v>
                </c:pt>
                <c:pt idx="52">
                  <c:v>0.91891891891891897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FD-5844-AC27-04097A82A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3760"/>
        <c:axId val="212271488"/>
      </c:scatterChart>
      <c:valAx>
        <c:axId val="18549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271488"/>
        <c:crosses val="autoZero"/>
        <c:crossBetween val="midCat"/>
      </c:valAx>
      <c:valAx>
        <c:axId val="21227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493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59</xdr:row>
      <xdr:rowOff>12700</xdr:rowOff>
    </xdr:from>
    <xdr:to>
      <xdr:col>6</xdr:col>
      <xdr:colOff>752475</xdr:colOff>
      <xdr:row>72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5B2D6C3-5FCD-2641-B148-5186DAB813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647700</xdr:colOff>
      <xdr:row>91</xdr:row>
      <xdr:rowOff>63500</xdr:rowOff>
    </xdr:from>
    <xdr:to>
      <xdr:col>6</xdr:col>
      <xdr:colOff>777875</xdr:colOff>
      <xdr:row>105</xdr:row>
      <xdr:rowOff>3175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0845771-DC58-5E48-9A4B-38BB9A354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736600</xdr:colOff>
      <xdr:row>108</xdr:row>
      <xdr:rowOff>152400</xdr:rowOff>
    </xdr:from>
    <xdr:to>
      <xdr:col>6</xdr:col>
      <xdr:colOff>866775</xdr:colOff>
      <xdr:row>122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702C846-9E82-A348-BAD0-30870F42F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698500</xdr:colOff>
      <xdr:row>125</xdr:row>
      <xdr:rowOff>50800</xdr:rowOff>
    </xdr:from>
    <xdr:to>
      <xdr:col>6</xdr:col>
      <xdr:colOff>828675</xdr:colOff>
      <xdr:row>138</xdr:row>
      <xdr:rowOff>196850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589CF76-31C4-BA4A-8AA6-C46E7E7A9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546100</xdr:colOff>
      <xdr:row>142</xdr:row>
      <xdr:rowOff>0</xdr:rowOff>
    </xdr:from>
    <xdr:to>
      <xdr:col>6</xdr:col>
      <xdr:colOff>676275</xdr:colOff>
      <xdr:row>155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14F813C6-FBFB-6049-BF02-FB3760EEC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660400</xdr:colOff>
      <xdr:row>74</xdr:row>
      <xdr:rowOff>165100</xdr:rowOff>
    </xdr:from>
    <xdr:to>
      <xdr:col>6</xdr:col>
      <xdr:colOff>790575</xdr:colOff>
      <xdr:row>88</xdr:row>
      <xdr:rowOff>104775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7957F4F1-7758-BA44-807B-F30E7EDB2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768350</xdr:colOff>
      <xdr:row>1</xdr:row>
      <xdr:rowOff>0</xdr:rowOff>
    </xdr:from>
    <xdr:to>
      <xdr:col>25</xdr:col>
      <xdr:colOff>25400</xdr:colOff>
      <xdr:row>52</xdr:row>
      <xdr:rowOff>139700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936A2A2-BF85-3B49-2918-90B508ECC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387350</xdr:colOff>
      <xdr:row>11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11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259618</xdr:colOff>
      <xdr:row>11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22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22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22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38100</xdr:colOff>
      <xdr:row>22</xdr:row>
      <xdr:rowOff>43673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22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431800</xdr:colOff>
      <xdr:row>11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28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28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28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28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38100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342900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2" name="Grafiek 2">
          <a:extLst>
            <a:ext uri="{FF2B5EF4-FFF2-40B4-BE49-F238E27FC236}">
              <a16:creationId xmlns:a16="http://schemas.microsoft.com/office/drawing/2014/main" id="{478F2693-A596-E243-8861-5B9A01D44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12117</xdr:colOff>
      <xdr:row>89</xdr:row>
      <xdr:rowOff>20569</xdr:rowOff>
    </xdr:from>
    <xdr:to>
      <xdr:col>5</xdr:col>
      <xdr:colOff>1228143</xdr:colOff>
      <xdr:row>112</xdr:row>
      <xdr:rowOff>161729</xdr:rowOff>
    </xdr:to>
    <xdr:graphicFrame macro="">
      <xdr:nvGraphicFramePr>
        <xdr:cNvPr id="3" name="Grafiek 3">
          <a:extLst>
            <a:ext uri="{FF2B5EF4-FFF2-40B4-BE49-F238E27FC236}">
              <a16:creationId xmlns:a16="http://schemas.microsoft.com/office/drawing/2014/main" id="{0511FC58-07CB-6946-B89E-FDD6055FB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1402292</xdr:colOff>
      <xdr:row>89</xdr:row>
      <xdr:rowOff>13228</xdr:rowOff>
    </xdr:from>
    <xdr:to>
      <xdr:col>10</xdr:col>
      <xdr:colOff>306917</xdr:colOff>
      <xdr:row>112</xdr:row>
      <xdr:rowOff>157692</xdr:rowOff>
    </xdr:to>
    <xdr:graphicFrame macro="">
      <xdr:nvGraphicFramePr>
        <xdr:cNvPr id="4" name="Grafiek 4">
          <a:extLst>
            <a:ext uri="{FF2B5EF4-FFF2-40B4-BE49-F238E27FC236}">
              <a16:creationId xmlns:a16="http://schemas.microsoft.com/office/drawing/2014/main" id="{C0A6B209-DFAD-074F-A6C0-7536B523C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5" name="Grafiek 2">
          <a:extLst>
            <a:ext uri="{FF2B5EF4-FFF2-40B4-BE49-F238E27FC236}">
              <a16:creationId xmlns:a16="http://schemas.microsoft.com/office/drawing/2014/main" id="{01394707-7A01-8D49-A95E-38303F1B6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12116</xdr:colOff>
      <xdr:row>89</xdr:row>
      <xdr:rowOff>3636</xdr:rowOff>
    </xdr:from>
    <xdr:to>
      <xdr:col>15</xdr:col>
      <xdr:colOff>694742</xdr:colOff>
      <xdr:row>112</xdr:row>
      <xdr:rowOff>144796</xdr:rowOff>
    </xdr:to>
    <xdr:graphicFrame macro="">
      <xdr:nvGraphicFramePr>
        <xdr:cNvPr id="6" name="Grafiek 3">
          <a:extLst>
            <a:ext uri="{FF2B5EF4-FFF2-40B4-BE49-F238E27FC236}">
              <a16:creationId xmlns:a16="http://schemas.microsoft.com/office/drawing/2014/main" id="{88B92F44-8143-884D-9784-E5ECE5062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305858</xdr:colOff>
      <xdr:row>89</xdr:row>
      <xdr:rowOff>20320</xdr:rowOff>
    </xdr:from>
    <xdr:to>
      <xdr:col>18</xdr:col>
      <xdr:colOff>963083</xdr:colOff>
      <xdr:row>111</xdr:row>
      <xdr:rowOff>146956</xdr:rowOff>
    </xdr:to>
    <xdr:graphicFrame macro="">
      <xdr:nvGraphicFramePr>
        <xdr:cNvPr id="7" name="Grafiek 4">
          <a:extLst>
            <a:ext uri="{FF2B5EF4-FFF2-40B4-BE49-F238E27FC236}">
              <a16:creationId xmlns:a16="http://schemas.microsoft.com/office/drawing/2014/main" id="{3B4AE1D3-82BA-BB44-9D87-2B3A0BB39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220134</xdr:colOff>
      <xdr:row>4</xdr:row>
      <xdr:rowOff>67733</xdr:rowOff>
    </xdr:from>
    <xdr:to>
      <xdr:col>36</xdr:col>
      <xdr:colOff>287866</xdr:colOff>
      <xdr:row>26</xdr:row>
      <xdr:rowOff>25399</xdr:rowOff>
    </xdr:to>
    <xdr:graphicFrame macro="">
      <xdr:nvGraphicFramePr>
        <xdr:cNvPr id="8" name="Chart 11">
          <a:extLst>
            <a:ext uri="{FF2B5EF4-FFF2-40B4-BE49-F238E27FC236}">
              <a16:creationId xmlns:a16="http://schemas.microsoft.com/office/drawing/2014/main" id="{C0D793F9-82D9-C445-913D-5E90E4091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amsung_T5/HAW/Studienarbeit/Ecolabel_Calculator_SLZ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OLABEL"/>
      <sheetName val="Database"/>
      <sheetName val="Fuel"/>
      <sheetName val="PM"/>
      <sheetName val="Boeing FFM2"/>
      <sheetName val="CO2 equivalents"/>
      <sheetName val="TCDSN_Jets"/>
      <sheetName val="TCDSN_Props"/>
      <sheetName val="Noise"/>
      <sheetName val="Lists"/>
      <sheetName val="WorldAirlinerCensus2020"/>
      <sheetName val="Auxiliary Data Sheet"/>
    </sheetNames>
    <sheetDataSet>
      <sheetData sheetId="0"/>
      <sheetData sheetId="1">
        <row r="1">
          <cell r="B1" t="str">
            <v xml:space="preserve">General Information 
</v>
          </cell>
          <cell r="G1" t="str">
            <v>Travel Class Rating</v>
          </cell>
          <cell r="S1" t="str">
            <v>Noise Rating Jets</v>
          </cell>
          <cell r="AE1" t="str">
            <v>Air Quality Rating</v>
          </cell>
        </row>
        <row r="2">
          <cell r="G2" t="str">
            <v>Economy</v>
          </cell>
          <cell r="J2" t="str">
            <v>Premium Economy</v>
          </cell>
          <cell r="M2" t="str">
            <v>Business</v>
          </cell>
          <cell r="P2" t="str">
            <v>First</v>
          </cell>
          <cell r="S2" t="str">
            <v>Lateral</v>
          </cell>
          <cell r="U2" t="str">
            <v>Flyover</v>
          </cell>
          <cell r="W2" t="str">
            <v>Approach</v>
          </cell>
        </row>
        <row r="3">
          <cell r="B3" t="str">
            <v>AircraftType</v>
          </cell>
          <cell r="C3" t="str">
            <v>Airline</v>
          </cell>
          <cell r="D3" t="str">
            <v>EngineType</v>
          </cell>
          <cell r="E3" t="str">
            <v>Thrust (kN)</v>
          </cell>
          <cell r="F3" t="str">
            <v>MTOW (kg)</v>
          </cell>
          <cell r="G3" t="str">
            <v>Pitch (in)</v>
          </cell>
          <cell r="H3" t="str">
            <v>Width (in)</v>
          </cell>
          <cell r="I3" t="str">
            <v>Seats</v>
          </cell>
          <cell r="J3" t="str">
            <v>Pitch (in)</v>
          </cell>
          <cell r="K3" t="str">
            <v>Width (in)</v>
          </cell>
          <cell r="L3" t="str">
            <v>Seats</v>
          </cell>
          <cell r="M3" t="str">
            <v>Pitch (in)</v>
          </cell>
          <cell r="N3" t="str">
            <v>Width (in)</v>
          </cell>
          <cell r="O3" t="str">
            <v>Seats</v>
          </cell>
          <cell r="P3" t="str">
            <v>Pitch (in)</v>
          </cell>
          <cell r="Q3" t="str">
            <v>Width (in)</v>
          </cell>
          <cell r="R3" t="str">
            <v>Seats</v>
          </cell>
          <cell r="S3" t="str">
            <v>Noise Level (EPNdB)</v>
          </cell>
          <cell r="T3" t="str">
            <v>Noise Limit (EPNdB)</v>
          </cell>
          <cell r="U3" t="str">
            <v>Noise Level (EPNdB)</v>
          </cell>
          <cell r="V3" t="str">
            <v>Noise Limit (EPNdB)</v>
          </cell>
          <cell r="W3" t="str">
            <v>Noise Level (EPNdB)</v>
          </cell>
          <cell r="X3" t="str">
            <v>Noise Limit (EPNdB)</v>
          </cell>
          <cell r="AE3" t="str">
            <v>LTO HC (g)</v>
          </cell>
          <cell r="AF3" t="str">
            <v>LTO CO (g)</v>
          </cell>
          <cell r="AG3" t="str">
            <v>LTO NOx (g)</v>
          </cell>
          <cell r="AH3" t="str">
            <v>Fuel LTO Cycle (kg)</v>
          </cell>
          <cell r="AJ3" t="str">
            <v>Smoke Number T/O</v>
          </cell>
          <cell r="AK3" t="str">
            <v>Smoke Number C/O</v>
          </cell>
          <cell r="AL3" t="str">
            <v>Smoke Number App</v>
          </cell>
          <cell r="AM3" t="str">
            <v>Smoke Number Idle</v>
          </cell>
          <cell r="AN3" t="str">
            <v>Fuel Flow T/O (kg/sec)</v>
          </cell>
          <cell r="AO3" t="str">
            <v>Fuel Flow C/O (kg/sec)</v>
          </cell>
          <cell r="AP3" t="str">
            <v>Fuel Flow App (kg/sec)</v>
          </cell>
          <cell r="AQ3" t="str">
            <v>Fuel Flow Idle (kg/sec)</v>
          </cell>
          <cell r="AT3" t="str">
            <v>EINOx (kg/kg fuel)</v>
          </cell>
          <cell r="AU3" t="str">
            <v>sO3(S),100</v>
          </cell>
          <cell r="AV3" t="str">
            <v>sO3(L),100</v>
          </cell>
          <cell r="AW3" t="str">
            <v>sCH4,100</v>
          </cell>
          <cell r="AX3" t="str">
            <v>CFmidpoint,NOx</v>
          </cell>
          <cell r="AY3" t="str">
            <v>scontrails,100</v>
          </cell>
          <cell r="AZ3" t="str">
            <v>scirrus,100</v>
          </cell>
          <cell r="BA3" t="str">
            <v>CFmidpoint,cloudinesss</v>
          </cell>
        </row>
        <row r="4">
          <cell r="B4" t="str">
            <v>Airbus A220-100</v>
          </cell>
          <cell r="C4" t="str">
            <v>Swiss</v>
          </cell>
          <cell r="D4" t="str">
            <v>PW1524G</v>
          </cell>
          <cell r="E4">
            <v>108.53</v>
          </cell>
          <cell r="F4">
            <v>60781</v>
          </cell>
          <cell r="G4">
            <v>30</v>
          </cell>
          <cell r="H4">
            <v>18.5</v>
          </cell>
          <cell r="I4">
            <v>105</v>
          </cell>
          <cell r="J4">
            <v>30</v>
          </cell>
          <cell r="K4">
            <v>18.5</v>
          </cell>
          <cell r="L4">
            <v>20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88</v>
          </cell>
          <cell r="T4">
            <v>96</v>
          </cell>
          <cell r="U4">
            <v>78.8</v>
          </cell>
          <cell r="V4">
            <v>90.4</v>
          </cell>
          <cell r="W4">
            <v>91.5</v>
          </cell>
          <cell r="X4">
            <v>99.9</v>
          </cell>
          <cell r="AE4">
            <v>30</v>
          </cell>
          <cell r="AF4">
            <v>1719</v>
          </cell>
          <cell r="AG4">
            <v>4125</v>
          </cell>
          <cell r="AH4">
            <v>299</v>
          </cell>
          <cell r="AJ4">
            <v>3.4</v>
          </cell>
          <cell r="AK4">
            <v>2.8</v>
          </cell>
          <cell r="AL4">
            <v>2.4</v>
          </cell>
          <cell r="AM4">
            <v>2.5</v>
          </cell>
          <cell r="AN4">
            <v>0.79</v>
          </cell>
          <cell r="AO4">
            <v>0.65</v>
          </cell>
          <cell r="AP4">
            <v>0.23</v>
          </cell>
          <cell r="AQ4">
            <v>0.08</v>
          </cell>
          <cell r="AT4">
            <v>3.1483299270248316E-2</v>
          </cell>
          <cell r="AU4">
            <v>1.5331822002957392</v>
          </cell>
          <cell r="AV4">
            <v>1.1810341179343091</v>
          </cell>
          <cell r="AW4">
            <v>1.1810341179343091</v>
          </cell>
          <cell r="AX4">
            <v>182.51295789444902</v>
          </cell>
          <cell r="AY4">
            <v>1.662496549555577</v>
          </cell>
          <cell r="AZ4">
            <v>1.662496549555577</v>
          </cell>
          <cell r="BA4">
            <v>25.494709656592505</v>
          </cell>
        </row>
        <row r="5">
          <cell r="B5" t="str">
            <v>Airbus A320</v>
          </cell>
          <cell r="C5" t="str">
            <v>Aegean</v>
          </cell>
          <cell r="D5" t="str">
            <v>V2527-A5</v>
          </cell>
          <cell r="E5">
            <v>111.2</v>
          </cell>
          <cell r="F5">
            <v>78000</v>
          </cell>
          <cell r="G5">
            <v>30</v>
          </cell>
          <cell r="H5">
            <v>18</v>
          </cell>
          <cell r="I5">
            <v>174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91.3</v>
          </cell>
          <cell r="T5">
            <v>97</v>
          </cell>
          <cell r="U5">
            <v>84.9</v>
          </cell>
          <cell r="V5">
            <v>91.8</v>
          </cell>
          <cell r="W5">
            <v>94.4</v>
          </cell>
          <cell r="X5">
            <v>100.7</v>
          </cell>
          <cell r="AE5">
            <v>32</v>
          </cell>
          <cell r="AF5">
            <v>2764</v>
          </cell>
          <cell r="AG5">
            <v>5382</v>
          </cell>
          <cell r="AH5">
            <v>437</v>
          </cell>
          <cell r="AJ5">
            <v>5.2</v>
          </cell>
          <cell r="AK5">
            <v>7.2</v>
          </cell>
          <cell r="AL5">
            <v>4.2</v>
          </cell>
          <cell r="AM5">
            <v>2.6</v>
          </cell>
          <cell r="AN5">
            <v>1.0529999999999999</v>
          </cell>
          <cell r="AO5">
            <v>0.88</v>
          </cell>
          <cell r="AP5">
            <v>0.31900000000000001</v>
          </cell>
          <cell r="AQ5">
            <v>0.128</v>
          </cell>
          <cell r="AT5">
            <v>2.8597287885879265E-2</v>
          </cell>
          <cell r="AU5">
            <v>1.5331822002957392</v>
          </cell>
          <cell r="AV5">
            <v>1.1810341179343091</v>
          </cell>
          <cell r="AW5">
            <v>1.1810341179343091</v>
          </cell>
          <cell r="AX5">
            <v>182.51295789444902</v>
          </cell>
          <cell r="AY5">
            <v>1.662496549555577</v>
          </cell>
          <cell r="AZ5">
            <v>1.662496549555577</v>
          </cell>
          <cell r="BA5">
            <v>25.494709656592505</v>
          </cell>
        </row>
        <row r="6">
          <cell r="B6" t="str">
            <v>Airbus A330-300</v>
          </cell>
          <cell r="C6" t="str">
            <v>Aer Lingus</v>
          </cell>
          <cell r="D6" t="str">
            <v>CF6-80E1A4</v>
          </cell>
          <cell r="E6">
            <v>297.44</v>
          </cell>
          <cell r="F6">
            <v>242000</v>
          </cell>
          <cell r="G6">
            <v>31</v>
          </cell>
          <cell r="H6">
            <v>17</v>
          </cell>
          <cell r="I6">
            <v>287</v>
          </cell>
          <cell r="J6">
            <v>0</v>
          </cell>
          <cell r="K6">
            <v>0</v>
          </cell>
          <cell r="L6">
            <v>0</v>
          </cell>
          <cell r="M6">
            <v>58</v>
          </cell>
          <cell r="N6">
            <v>21</v>
          </cell>
          <cell r="O6">
            <v>30</v>
          </cell>
          <cell r="P6">
            <v>0</v>
          </cell>
          <cell r="Q6">
            <v>0</v>
          </cell>
          <cell r="R6">
            <v>0</v>
          </cell>
          <cell r="S6">
            <v>98.1</v>
          </cell>
          <cell r="T6">
            <v>101.2</v>
          </cell>
          <cell r="U6">
            <v>93.1</v>
          </cell>
          <cell r="V6">
            <v>98.3</v>
          </cell>
          <cell r="W6">
            <v>99.5</v>
          </cell>
          <cell r="X6">
            <v>104.5</v>
          </cell>
          <cell r="AE6">
            <v>3726</v>
          </cell>
          <cell r="AF6">
            <v>13860</v>
          </cell>
          <cell r="AG6">
            <v>18055</v>
          </cell>
          <cell r="AH6">
            <v>963</v>
          </cell>
          <cell r="AJ6">
            <v>10.09</v>
          </cell>
          <cell r="AK6">
            <v>8.06</v>
          </cell>
          <cell r="AL6">
            <v>0</v>
          </cell>
          <cell r="AM6">
            <v>0</v>
          </cell>
          <cell r="AN6">
            <v>2.9039999999999999</v>
          </cell>
          <cell r="AO6">
            <v>2.3370000000000002</v>
          </cell>
          <cell r="AP6">
            <v>0.74399999999999999</v>
          </cell>
          <cell r="AQ6">
            <v>0.22700000000000001</v>
          </cell>
          <cell r="AT6">
            <v>4.0082972805128396E-2</v>
          </cell>
          <cell r="AU6">
            <v>1.6052294051517633</v>
          </cell>
          <cell r="AV6">
            <v>1.2086148990711754</v>
          </cell>
          <cell r="AW6">
            <v>1.2086148990711754</v>
          </cell>
          <cell r="AX6">
            <v>194.84374957907579</v>
          </cell>
          <cell r="AY6">
            <v>1.5570406693491181</v>
          </cell>
          <cell r="AZ6">
            <v>1.5570406693491181</v>
          </cell>
          <cell r="BA6">
            <v>23.877523113761615</v>
          </cell>
        </row>
        <row r="7">
          <cell r="B7" t="str">
            <v>Airbus A320</v>
          </cell>
          <cell r="C7" t="str">
            <v>Aeroflot</v>
          </cell>
          <cell r="D7" t="str">
            <v>CFM56-5B4/P</v>
          </cell>
          <cell r="E7">
            <v>120.11</v>
          </cell>
          <cell r="F7">
            <v>78000</v>
          </cell>
          <cell r="G7">
            <v>31</v>
          </cell>
          <cell r="H7">
            <v>18</v>
          </cell>
          <cell r="I7">
            <v>120</v>
          </cell>
          <cell r="J7">
            <v>0</v>
          </cell>
          <cell r="K7">
            <v>0</v>
          </cell>
          <cell r="L7">
            <v>0</v>
          </cell>
          <cell r="M7">
            <v>38</v>
          </cell>
          <cell r="N7">
            <v>21</v>
          </cell>
          <cell r="O7">
            <v>20</v>
          </cell>
          <cell r="P7">
            <v>0</v>
          </cell>
          <cell r="Q7">
            <v>0</v>
          </cell>
          <cell r="R7">
            <v>0</v>
          </cell>
          <cell r="S7">
            <v>92.8</v>
          </cell>
          <cell r="T7">
            <v>97</v>
          </cell>
          <cell r="U7">
            <v>85.2</v>
          </cell>
          <cell r="V7">
            <v>91.8</v>
          </cell>
          <cell r="W7">
            <v>95.2</v>
          </cell>
          <cell r="X7">
            <v>100.7</v>
          </cell>
          <cell r="AE7">
            <v>818</v>
          </cell>
          <cell r="AF7">
            <v>4123</v>
          </cell>
          <cell r="AG7">
            <v>5641</v>
          </cell>
          <cell r="AH7">
            <v>408</v>
          </cell>
          <cell r="AJ7">
            <v>5.4</v>
          </cell>
          <cell r="AK7">
            <v>4.0999999999999996</v>
          </cell>
          <cell r="AL7">
            <v>0.2</v>
          </cell>
          <cell r="AM7">
            <v>0.5</v>
          </cell>
          <cell r="AN7">
            <v>1.1319999999999999</v>
          </cell>
          <cell r="AO7">
            <v>0.93500000000000005</v>
          </cell>
          <cell r="AP7">
            <v>0.312</v>
          </cell>
          <cell r="AQ7">
            <v>0.104</v>
          </cell>
          <cell r="AT7">
            <v>2.8597287885879265E-2</v>
          </cell>
          <cell r="AU7">
            <v>1.5331822002957392</v>
          </cell>
          <cell r="AV7">
            <v>1.1810341179343091</v>
          </cell>
          <cell r="AW7">
            <v>1.1810341179343091</v>
          </cell>
          <cell r="AX7">
            <v>182.51295789444902</v>
          </cell>
          <cell r="AY7">
            <v>1.662496549555577</v>
          </cell>
          <cell r="AZ7">
            <v>1.662496549555577</v>
          </cell>
          <cell r="BA7">
            <v>25.494709656592505</v>
          </cell>
        </row>
        <row r="8">
          <cell r="B8" t="str">
            <v>Boeing 737-800</v>
          </cell>
          <cell r="C8" t="str">
            <v>Aeroflot</v>
          </cell>
          <cell r="D8" t="str">
            <v>CFM56-7B26E</v>
          </cell>
          <cell r="E8">
            <v>117</v>
          </cell>
          <cell r="F8">
            <v>79016</v>
          </cell>
          <cell r="G8">
            <v>30</v>
          </cell>
          <cell r="H8">
            <v>18</v>
          </cell>
          <cell r="I8">
            <v>138</v>
          </cell>
          <cell r="J8">
            <v>0</v>
          </cell>
          <cell r="K8">
            <v>0</v>
          </cell>
          <cell r="L8">
            <v>0</v>
          </cell>
          <cell r="M8">
            <v>38</v>
          </cell>
          <cell r="N8">
            <v>21</v>
          </cell>
          <cell r="O8">
            <v>20</v>
          </cell>
          <cell r="P8">
            <v>0</v>
          </cell>
          <cell r="Q8">
            <v>0</v>
          </cell>
          <cell r="R8">
            <v>0</v>
          </cell>
          <cell r="S8">
            <v>94</v>
          </cell>
          <cell r="T8">
            <v>97</v>
          </cell>
          <cell r="U8">
            <v>86.8</v>
          </cell>
          <cell r="V8">
            <v>91.8</v>
          </cell>
          <cell r="W8">
            <v>96</v>
          </cell>
          <cell r="X8">
            <v>100.7</v>
          </cell>
          <cell r="AE8">
            <v>302</v>
          </cell>
          <cell r="AF8">
            <v>5476</v>
          </cell>
          <cell r="AG8">
            <v>4762</v>
          </cell>
          <cell r="AH8">
            <v>429</v>
          </cell>
          <cell r="AJ8">
            <v>13.1</v>
          </cell>
          <cell r="AK8">
            <v>9.8000000000000007</v>
          </cell>
          <cell r="AL8">
            <v>2.1</v>
          </cell>
          <cell r="AM8">
            <v>2.1</v>
          </cell>
          <cell r="AN8">
            <v>1.2130000000000001</v>
          </cell>
          <cell r="AO8">
            <v>0.98599999999999999</v>
          </cell>
          <cell r="AP8">
            <v>0.33100000000000002</v>
          </cell>
          <cell r="AQ8">
            <v>0.108</v>
          </cell>
          <cell r="AT8">
            <v>2.5518577028328184E-2</v>
          </cell>
          <cell r="AU8">
            <v>1.5426742566452178</v>
          </cell>
          <cell r="AV8">
            <v>1.1846678234921715</v>
          </cell>
          <cell r="AW8">
            <v>1.1846678234921715</v>
          </cell>
          <cell r="AX8">
            <v>184.13751182042103</v>
          </cell>
          <cell r="AY8">
            <v>1.6486029757617855</v>
          </cell>
          <cell r="AZ8">
            <v>1.6486029757617855</v>
          </cell>
          <cell r="BA8">
            <v>25.281648985844143</v>
          </cell>
        </row>
        <row r="9">
          <cell r="B9" t="str">
            <v>Sukhoi Superjet 100</v>
          </cell>
          <cell r="C9" t="str">
            <v>Aeroflot</v>
          </cell>
          <cell r="D9" t="str">
            <v>SaM146-1S17</v>
          </cell>
          <cell r="E9">
            <v>69.209999999999994</v>
          </cell>
          <cell r="F9">
            <v>45880</v>
          </cell>
          <cell r="G9">
            <v>30</v>
          </cell>
          <cell r="H9">
            <v>18.3</v>
          </cell>
          <cell r="I9">
            <v>75</v>
          </cell>
          <cell r="J9">
            <v>0</v>
          </cell>
          <cell r="K9">
            <v>0</v>
          </cell>
          <cell r="L9">
            <v>0</v>
          </cell>
          <cell r="M9">
            <v>36</v>
          </cell>
          <cell r="N9">
            <v>18.3</v>
          </cell>
          <cell r="O9">
            <v>12</v>
          </cell>
          <cell r="P9">
            <v>0</v>
          </cell>
          <cell r="Q9">
            <v>0</v>
          </cell>
          <cell r="R9">
            <v>0</v>
          </cell>
          <cell r="S9">
            <v>90.9</v>
          </cell>
          <cell r="T9">
            <v>95</v>
          </cell>
          <cell r="U9">
            <v>82.9</v>
          </cell>
          <cell r="V9">
            <v>89</v>
          </cell>
          <cell r="W9">
            <v>94.3</v>
          </cell>
          <cell r="X9">
            <v>98.9</v>
          </cell>
          <cell r="AE9">
            <v>167</v>
          </cell>
          <cell r="AF9">
            <v>4776</v>
          </cell>
          <cell r="AG9">
            <v>2695</v>
          </cell>
          <cell r="AH9">
            <v>326</v>
          </cell>
          <cell r="AJ9">
            <v>12.6</v>
          </cell>
          <cell r="AK9">
            <v>11.7</v>
          </cell>
          <cell r="AL9">
            <v>0.1</v>
          </cell>
          <cell r="AM9">
            <v>0.1</v>
          </cell>
          <cell r="AN9">
            <v>0.79100000000000004</v>
          </cell>
          <cell r="AO9">
            <v>0.65300000000000002</v>
          </cell>
          <cell r="AP9">
            <v>0.22800000000000001</v>
          </cell>
          <cell r="AQ9">
            <v>9.7000000000000003E-2</v>
          </cell>
          <cell r="AT9">
            <v>2.6035939614557402E-2</v>
          </cell>
          <cell r="AU9">
            <v>1.5331822002957392</v>
          </cell>
          <cell r="AV9">
            <v>1.1810341179343091</v>
          </cell>
          <cell r="AW9">
            <v>1.1810341179343091</v>
          </cell>
          <cell r="AX9">
            <v>182.51295789444902</v>
          </cell>
          <cell r="AY9">
            <v>1.662496549555577</v>
          </cell>
          <cell r="AZ9">
            <v>1.662496549555577</v>
          </cell>
          <cell r="BA9">
            <v>25.494709656592505</v>
          </cell>
        </row>
        <row r="10">
          <cell r="B10" t="str">
            <v>Airbus A220-300</v>
          </cell>
          <cell r="C10" t="str">
            <v>Air Baltic</v>
          </cell>
          <cell r="D10" t="str">
            <v>PW1524G-3</v>
          </cell>
          <cell r="E10">
            <v>108.53</v>
          </cell>
          <cell r="F10">
            <v>67585</v>
          </cell>
          <cell r="G10">
            <v>32</v>
          </cell>
          <cell r="H10">
            <v>18.5</v>
          </cell>
          <cell r="I10">
            <v>145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87.8</v>
          </cell>
          <cell r="T10">
            <v>96.4</v>
          </cell>
          <cell r="U10">
            <v>81.2</v>
          </cell>
          <cell r="V10">
            <v>91</v>
          </cell>
          <cell r="W10">
            <v>92.4</v>
          </cell>
          <cell r="X10">
            <v>100.2</v>
          </cell>
          <cell r="AE10">
            <v>18</v>
          </cell>
          <cell r="AF10">
            <v>2084</v>
          </cell>
          <cell r="AG10">
            <v>3903</v>
          </cell>
          <cell r="AH10">
            <v>292.2</v>
          </cell>
          <cell r="AJ10">
            <v>3.4</v>
          </cell>
          <cell r="AK10">
            <v>2</v>
          </cell>
          <cell r="AL10">
            <v>0.8</v>
          </cell>
          <cell r="AM10">
            <v>0.5</v>
          </cell>
          <cell r="AN10">
            <v>0.79</v>
          </cell>
          <cell r="AO10">
            <v>0.65</v>
          </cell>
          <cell r="AP10">
            <v>0.23</v>
          </cell>
          <cell r="AQ10">
            <v>0.08</v>
          </cell>
          <cell r="AT10">
            <v>3.1250844818720647E-2</v>
          </cell>
          <cell r="AU10">
            <v>1.5331822002957392</v>
          </cell>
          <cell r="AV10">
            <v>1.1810341179343091</v>
          </cell>
          <cell r="AW10">
            <v>1.1810341179343091</v>
          </cell>
          <cell r="AX10">
            <v>182.51295789444902</v>
          </cell>
          <cell r="AY10">
            <v>1.662496549555577</v>
          </cell>
          <cell r="AZ10">
            <v>1.662496549555577</v>
          </cell>
          <cell r="BA10">
            <v>25.494709656592505</v>
          </cell>
        </row>
        <row r="11">
          <cell r="B11" t="str">
            <v>Airbus A340-300</v>
          </cell>
          <cell r="C11" t="str">
            <v>Air Belgium</v>
          </cell>
          <cell r="D11" t="str">
            <v>CFM56-5C4/P</v>
          </cell>
          <cell r="E11">
            <v>149.9</v>
          </cell>
          <cell r="F11">
            <v>271000</v>
          </cell>
          <cell r="G11">
            <v>31</v>
          </cell>
          <cell r="H11">
            <v>18</v>
          </cell>
          <cell r="I11">
            <v>212</v>
          </cell>
          <cell r="J11">
            <v>0</v>
          </cell>
          <cell r="K11">
            <v>0</v>
          </cell>
          <cell r="L11">
            <v>0</v>
          </cell>
          <cell r="M11">
            <v>74</v>
          </cell>
          <cell r="N11">
            <v>21.5</v>
          </cell>
          <cell r="O11">
            <v>45</v>
          </cell>
          <cell r="P11">
            <v>0</v>
          </cell>
          <cell r="Q11">
            <v>0</v>
          </cell>
          <cell r="R11">
            <v>0</v>
          </cell>
          <cell r="S11">
            <v>96.1</v>
          </cell>
          <cell r="T11">
            <v>101.6</v>
          </cell>
          <cell r="U11">
            <v>95.4</v>
          </cell>
          <cell r="V11">
            <v>104.1</v>
          </cell>
          <cell r="W11">
            <v>96.9</v>
          </cell>
          <cell r="X11">
            <v>104.9</v>
          </cell>
          <cell r="AE11">
            <v>897</v>
          </cell>
          <cell r="AF11">
            <v>5964</v>
          </cell>
          <cell r="AG11">
            <v>7641</v>
          </cell>
          <cell r="AH11">
            <v>478</v>
          </cell>
          <cell r="AJ11">
            <v>12</v>
          </cell>
          <cell r="AK11">
            <v>9.6</v>
          </cell>
          <cell r="AL11">
            <v>1</v>
          </cell>
          <cell r="AM11">
            <v>1.1000000000000001</v>
          </cell>
          <cell r="AN11">
            <v>1.395</v>
          </cell>
          <cell r="AO11">
            <v>1.143</v>
          </cell>
          <cell r="AP11">
            <v>0.37</v>
          </cell>
          <cell r="AQ11">
            <v>0.115</v>
          </cell>
          <cell r="AT11">
            <v>8.7747504079337374E-2</v>
          </cell>
          <cell r="AU11">
            <v>1.6052294051517633</v>
          </cell>
          <cell r="AV11">
            <v>1.2086148990711754</v>
          </cell>
          <cell r="AW11">
            <v>1.2086148990711754</v>
          </cell>
          <cell r="AX11">
            <v>194.84374957907579</v>
          </cell>
          <cell r="AY11">
            <v>1.5570406693491181</v>
          </cell>
          <cell r="AZ11">
            <v>1.5570406693491181</v>
          </cell>
          <cell r="BA11">
            <v>23.877523113761615</v>
          </cell>
        </row>
        <row r="12">
          <cell r="B12" t="str">
            <v>Boeing 737 MAX 8</v>
          </cell>
          <cell r="C12" t="str">
            <v>Air Canada</v>
          </cell>
          <cell r="D12" t="str">
            <v>LEAP-1B28</v>
          </cell>
          <cell r="E12">
            <v>130.4</v>
          </cell>
          <cell r="F12">
            <v>82644</v>
          </cell>
          <cell r="G12">
            <v>30</v>
          </cell>
          <cell r="H12">
            <v>18</v>
          </cell>
          <cell r="I12">
            <v>153</v>
          </cell>
          <cell r="J12">
            <v>0</v>
          </cell>
          <cell r="K12">
            <v>0</v>
          </cell>
          <cell r="L12">
            <v>0</v>
          </cell>
          <cell r="M12">
            <v>38</v>
          </cell>
          <cell r="N12">
            <v>21</v>
          </cell>
          <cell r="O12">
            <v>16</v>
          </cell>
          <cell r="P12">
            <v>0</v>
          </cell>
          <cell r="Q12">
            <v>0</v>
          </cell>
          <cell r="R12">
            <v>0</v>
          </cell>
          <cell r="S12">
            <v>88.5</v>
          </cell>
          <cell r="T12">
            <v>97.2</v>
          </cell>
          <cell r="U12">
            <v>82.6</v>
          </cell>
          <cell r="V12">
            <v>92.1</v>
          </cell>
          <cell r="W12">
            <v>94.2</v>
          </cell>
          <cell r="X12">
            <v>100.9</v>
          </cell>
          <cell r="AE12">
            <v>97</v>
          </cell>
          <cell r="AF12">
            <v>2339</v>
          </cell>
          <cell r="AG12">
            <v>7534</v>
          </cell>
          <cell r="AH12">
            <v>378</v>
          </cell>
          <cell r="AJ12">
            <v>0.94</v>
          </cell>
          <cell r="AK12">
            <v>0.85</v>
          </cell>
          <cell r="AL12">
            <v>1.07</v>
          </cell>
          <cell r="AM12">
            <v>0.8</v>
          </cell>
          <cell r="AN12">
            <v>1.0609999999999999</v>
          </cell>
          <cell r="AO12">
            <v>0.86399999999999999</v>
          </cell>
          <cell r="AP12">
            <v>0.27700000000000002</v>
          </cell>
          <cell r="AQ12">
            <v>9.8000000000000004E-2</v>
          </cell>
          <cell r="AT12">
            <v>5.1951023443360146E-2</v>
          </cell>
          <cell r="AU12">
            <v>1.5520219521772329</v>
          </cell>
          <cell r="AV12">
            <v>1.1882462655027639</v>
          </cell>
          <cell r="AW12">
            <v>1.1882462655027639</v>
          </cell>
          <cell r="AX12">
            <v>185.73735856766029</v>
          </cell>
          <cell r="AY12">
            <v>1.6349207036708622</v>
          </cell>
          <cell r="AZ12">
            <v>1.6349207036708622</v>
          </cell>
          <cell r="BA12">
            <v>25.071828668025233</v>
          </cell>
        </row>
        <row r="13">
          <cell r="B13" t="str">
            <v>Boeing 767-300ER</v>
          </cell>
          <cell r="C13" t="str">
            <v>Air Canada</v>
          </cell>
          <cell r="D13" t="str">
            <v>CF6-80C2B6</v>
          </cell>
          <cell r="E13">
            <v>267.2</v>
          </cell>
          <cell r="F13">
            <v>181437</v>
          </cell>
          <cell r="G13">
            <v>30</v>
          </cell>
          <cell r="H13">
            <v>17.5</v>
          </cell>
          <cell r="I13">
            <v>219</v>
          </cell>
          <cell r="J13">
            <v>35</v>
          </cell>
          <cell r="K13">
            <v>18</v>
          </cell>
          <cell r="L13">
            <v>36</v>
          </cell>
          <cell r="M13">
            <v>37</v>
          </cell>
          <cell r="N13">
            <v>18.5</v>
          </cell>
          <cell r="O13">
            <v>24</v>
          </cell>
          <cell r="P13">
            <v>0</v>
          </cell>
          <cell r="Q13">
            <v>0</v>
          </cell>
          <cell r="R13">
            <v>0</v>
          </cell>
          <cell r="S13">
            <v>96.2</v>
          </cell>
          <cell r="T13">
            <v>100.2</v>
          </cell>
          <cell r="U13">
            <v>91.5</v>
          </cell>
          <cell r="V13">
            <v>96.8</v>
          </cell>
          <cell r="W13">
            <v>98.4</v>
          </cell>
          <cell r="X13">
            <v>103.6</v>
          </cell>
          <cell r="AE13">
            <v>2966</v>
          </cell>
          <cell r="AF13">
            <v>13970</v>
          </cell>
          <cell r="AG13">
            <v>12362</v>
          </cell>
          <cell r="AH13">
            <v>871</v>
          </cell>
          <cell r="AJ13">
            <v>7.8</v>
          </cell>
          <cell r="AK13">
            <v>5.4</v>
          </cell>
          <cell r="AL13">
            <v>2.2999999999999998</v>
          </cell>
          <cell r="AM13">
            <v>3</v>
          </cell>
          <cell r="AN13">
            <v>2.5790000000000002</v>
          </cell>
          <cell r="AO13">
            <v>2.081</v>
          </cell>
          <cell r="AP13">
            <v>0.68600000000000005</v>
          </cell>
          <cell r="AQ13">
            <v>0.20699999999999999</v>
          </cell>
          <cell r="AT13">
            <v>3.3005584008804323E-2</v>
          </cell>
          <cell r="AU13">
            <v>1.570295437136549</v>
          </cell>
          <cell r="AV13">
            <v>1.1952416373603938</v>
          </cell>
          <cell r="AW13">
            <v>1.1952416373603938</v>
          </cell>
          <cell r="AX13">
            <v>188.86484334428377</v>
          </cell>
          <cell r="AY13">
            <v>1.608173705717574</v>
          </cell>
          <cell r="AZ13">
            <v>1.608173705717574</v>
          </cell>
          <cell r="BA13">
            <v>24.661658224551623</v>
          </cell>
        </row>
        <row r="14">
          <cell r="B14" t="str">
            <v>ATR 72</v>
          </cell>
          <cell r="C14" t="str">
            <v>Air Corsica</v>
          </cell>
          <cell r="D14" t="str">
            <v>PW127F</v>
          </cell>
          <cell r="E14" t="e">
            <v>#N/A</v>
          </cell>
          <cell r="F14">
            <v>22500</v>
          </cell>
          <cell r="G14">
            <v>31</v>
          </cell>
          <cell r="H14">
            <v>17</v>
          </cell>
          <cell r="I14">
            <v>70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 t="e">
            <v>#N/A</v>
          </cell>
          <cell r="T14" t="e">
            <v>#N/A</v>
          </cell>
          <cell r="U14" t="e">
            <v>#N/A</v>
          </cell>
          <cell r="V14" t="e">
            <v>#N/A</v>
          </cell>
          <cell r="W14" t="e">
            <v>#N/A</v>
          </cell>
          <cell r="X14" t="e">
            <v>#N/A</v>
          </cell>
          <cell r="AE14" t="e">
            <v>#N/A</v>
          </cell>
          <cell r="AF14" t="e">
            <v>#N/A</v>
          </cell>
          <cell r="AG14" t="e">
            <v>#N/A</v>
          </cell>
          <cell r="AH14" t="e">
            <v>#N/A</v>
          </cell>
          <cell r="AJ14" t="e">
            <v>#N/A</v>
          </cell>
          <cell r="AK14" t="e">
            <v>#N/A</v>
          </cell>
          <cell r="AL14" t="e">
            <v>#N/A</v>
          </cell>
          <cell r="AM14" t="e">
            <v>#N/A</v>
          </cell>
          <cell r="AN14" t="e">
            <v>#N/A</v>
          </cell>
          <cell r="AO14" t="e">
            <v>#N/A</v>
          </cell>
          <cell r="AP14" t="e">
            <v>#N/A</v>
          </cell>
          <cell r="AQ14" t="e">
            <v>#N/A</v>
          </cell>
          <cell r="AT14">
            <v>2.0942678082516972E-2</v>
          </cell>
          <cell r="AU14">
            <v>0.64327342209102822</v>
          </cell>
          <cell r="AV14">
            <v>0.95730011932345882</v>
          </cell>
          <cell r="AW14">
            <v>0.95730011932345882</v>
          </cell>
          <cell r="AX14">
            <v>14.48174300676996</v>
          </cell>
          <cell r="AY14">
            <v>4.1185246303678369E-2</v>
          </cell>
          <cell r="AZ14">
            <v>4.1185246303678369E-2</v>
          </cell>
          <cell r="BA14">
            <v>0.63158380504802858</v>
          </cell>
        </row>
        <row r="15">
          <cell r="B15" t="str">
            <v>Airbus A318</v>
          </cell>
          <cell r="C15" t="str">
            <v>Air France</v>
          </cell>
          <cell r="D15" t="str">
            <v>CFM56-5B8/P</v>
          </cell>
          <cell r="E15">
            <v>94.7</v>
          </cell>
          <cell r="F15">
            <v>68000</v>
          </cell>
          <cell r="G15">
            <v>32</v>
          </cell>
          <cell r="H15">
            <v>18</v>
          </cell>
          <cell r="I15">
            <v>92</v>
          </cell>
          <cell r="J15">
            <v>0</v>
          </cell>
          <cell r="K15">
            <v>0</v>
          </cell>
          <cell r="L15">
            <v>0</v>
          </cell>
          <cell r="M15">
            <v>32</v>
          </cell>
          <cell r="N15">
            <v>18</v>
          </cell>
          <cell r="O15">
            <v>26</v>
          </cell>
          <cell r="P15">
            <v>0</v>
          </cell>
          <cell r="Q15">
            <v>0</v>
          </cell>
          <cell r="R15">
            <v>0</v>
          </cell>
          <cell r="S15">
            <v>90.4</v>
          </cell>
          <cell r="T15">
            <v>96.5</v>
          </cell>
          <cell r="U15">
            <v>84.1</v>
          </cell>
          <cell r="V15">
            <v>91</v>
          </cell>
          <cell r="W15">
            <v>93.9</v>
          </cell>
          <cell r="X15">
            <v>100.2</v>
          </cell>
          <cell r="AE15">
            <v>1023</v>
          </cell>
          <cell r="AF15">
            <v>5176</v>
          </cell>
          <cell r="AG15">
            <v>3358</v>
          </cell>
          <cell r="AH15">
            <v>342</v>
          </cell>
          <cell r="AJ15">
            <v>5.4</v>
          </cell>
          <cell r="AK15">
            <v>1.5</v>
          </cell>
          <cell r="AL15">
            <v>0.3</v>
          </cell>
          <cell r="AM15">
            <v>0.6</v>
          </cell>
          <cell r="AN15">
            <v>0.875</v>
          </cell>
          <cell r="AO15">
            <v>0.72899999999999998</v>
          </cell>
          <cell r="AP15">
            <v>0.26200000000000001</v>
          </cell>
          <cell r="AQ15">
            <v>9.4E-2</v>
          </cell>
          <cell r="AT15">
            <v>1.6299615580223695E-2</v>
          </cell>
          <cell r="AU15">
            <v>1.5331822002957392</v>
          </cell>
          <cell r="AV15">
            <v>1.1810341179343091</v>
          </cell>
          <cell r="AW15">
            <v>1.1810341179343091</v>
          </cell>
          <cell r="AX15">
            <v>182.51295789444902</v>
          </cell>
          <cell r="AY15">
            <v>1.662496549555577</v>
          </cell>
          <cell r="AZ15">
            <v>1.662496549555577</v>
          </cell>
          <cell r="BA15">
            <v>25.494709656592505</v>
          </cell>
        </row>
        <row r="16">
          <cell r="B16" t="str">
            <v>Boeing 777-300ER</v>
          </cell>
          <cell r="C16" t="str">
            <v>Air France</v>
          </cell>
          <cell r="D16" t="str">
            <v>GE90-115B</v>
          </cell>
          <cell r="E16">
            <v>513.9</v>
          </cell>
          <cell r="F16">
            <v>351535</v>
          </cell>
          <cell r="G16">
            <v>32</v>
          </cell>
          <cell r="H16">
            <v>17</v>
          </cell>
          <cell r="I16">
            <v>315</v>
          </cell>
          <cell r="J16">
            <v>38</v>
          </cell>
          <cell r="K16">
            <v>19</v>
          </cell>
          <cell r="L16">
            <v>24</v>
          </cell>
          <cell r="M16">
            <v>61</v>
          </cell>
          <cell r="N16">
            <v>21.5</v>
          </cell>
          <cell r="O16">
            <v>42</v>
          </cell>
          <cell r="P16">
            <v>0</v>
          </cell>
          <cell r="Q16">
            <v>0</v>
          </cell>
          <cell r="R16">
            <v>0</v>
          </cell>
          <cell r="S16">
            <v>99.2</v>
          </cell>
          <cell r="T16">
            <v>102.5</v>
          </cell>
          <cell r="U16">
            <v>92</v>
          </cell>
          <cell r="V16">
            <v>100.4</v>
          </cell>
          <cell r="W16">
            <v>100.3</v>
          </cell>
          <cell r="X16">
            <v>105</v>
          </cell>
          <cell r="AE16">
            <v>2559</v>
          </cell>
          <cell r="AF16">
            <v>23858</v>
          </cell>
          <cell r="AG16">
            <v>34888</v>
          </cell>
          <cell r="AH16">
            <v>1546</v>
          </cell>
          <cell r="AJ16">
            <v>4.0999999999999996</v>
          </cell>
          <cell r="AK16">
            <v>2.5</v>
          </cell>
          <cell r="AL16">
            <v>1.45</v>
          </cell>
          <cell r="AM16">
            <v>0.87</v>
          </cell>
          <cell r="AN16">
            <v>4.6900000000000004</v>
          </cell>
          <cell r="AO16">
            <v>3.67</v>
          </cell>
          <cell r="AP16">
            <v>1.1299999999999999</v>
          </cell>
          <cell r="AQ16">
            <v>0.38</v>
          </cell>
          <cell r="AT16">
            <v>4.2129907386228703E-2</v>
          </cell>
          <cell r="AU16">
            <v>1.6369561075759755</v>
          </cell>
          <cell r="AV16">
            <v>1.2138321074811573</v>
          </cell>
          <cell r="AW16">
            <v>1.2138321074811573</v>
          </cell>
          <cell r="AX16">
            <v>201.20537463592822</v>
          </cell>
          <cell r="AY16">
            <v>1.4850206028140427</v>
          </cell>
          <cell r="AZ16">
            <v>1.4850206028140427</v>
          </cell>
          <cell r="BA16">
            <v>22.773081311310317</v>
          </cell>
        </row>
        <row r="17">
          <cell r="B17" t="str">
            <v>Airbus A350-900</v>
          </cell>
          <cell r="C17" t="str">
            <v>Air France</v>
          </cell>
          <cell r="D17" t="str">
            <v>Trent XWB-84</v>
          </cell>
          <cell r="E17">
            <v>379</v>
          </cell>
          <cell r="F17">
            <v>280000</v>
          </cell>
          <cell r="G17">
            <v>31</v>
          </cell>
          <cell r="H17">
            <v>17</v>
          </cell>
          <cell r="I17">
            <v>266</v>
          </cell>
          <cell r="J17">
            <v>37</v>
          </cell>
          <cell r="K17">
            <v>18.8</v>
          </cell>
          <cell r="L17">
            <v>24</v>
          </cell>
          <cell r="M17">
            <v>78</v>
          </cell>
          <cell r="N17">
            <v>21</v>
          </cell>
          <cell r="O17">
            <v>34</v>
          </cell>
          <cell r="P17">
            <v>0</v>
          </cell>
          <cell r="Q17">
            <v>0</v>
          </cell>
          <cell r="R17">
            <v>0</v>
          </cell>
          <cell r="S17">
            <v>91.5</v>
          </cell>
          <cell r="T17">
            <v>101.7</v>
          </cell>
          <cell r="U17">
            <v>86.5</v>
          </cell>
          <cell r="V17">
            <v>99.2</v>
          </cell>
          <cell r="W17">
            <v>96.5</v>
          </cell>
          <cell r="X17">
            <v>105</v>
          </cell>
          <cell r="AE17">
            <v>424</v>
          </cell>
          <cell r="AF17">
            <v>9760</v>
          </cell>
          <cell r="AG17">
            <v>20243</v>
          </cell>
          <cell r="AH17">
            <v>1069</v>
          </cell>
          <cell r="AJ17">
            <v>5.8</v>
          </cell>
          <cell r="AK17">
            <v>6.4</v>
          </cell>
          <cell r="AL17">
            <v>6.6</v>
          </cell>
          <cell r="AM17">
            <v>1.2</v>
          </cell>
          <cell r="AN17">
            <v>2.819</v>
          </cell>
          <cell r="AO17">
            <v>2.306</v>
          </cell>
          <cell r="AP17">
            <v>0.80100000000000005</v>
          </cell>
          <cell r="AQ17">
            <v>0.29099999999999998</v>
          </cell>
          <cell r="AT17">
            <v>4.588535564997364E-2</v>
          </cell>
          <cell r="AU17">
            <v>1.6513343009971913</v>
          </cell>
          <cell r="AV17">
            <v>1.2129334174299515</v>
          </cell>
          <cell r="AW17">
            <v>1.2129334174299515</v>
          </cell>
          <cell r="AX17">
            <v>204.52717618547004</v>
          </cell>
          <cell r="AY17">
            <v>1.4396031444039483</v>
          </cell>
          <cell r="AZ17">
            <v>1.4396031444039483</v>
          </cell>
          <cell r="BA17">
            <v>22.076595706082895</v>
          </cell>
        </row>
        <row r="18">
          <cell r="B18" t="str">
            <v>Bombardier CRJ700</v>
          </cell>
          <cell r="C18" t="str">
            <v>Air France - HOP!</v>
          </cell>
          <cell r="D18" t="str">
            <v>CF34-8C1</v>
          </cell>
          <cell r="E18">
            <v>56.36</v>
          </cell>
          <cell r="F18">
            <v>32995</v>
          </cell>
          <cell r="G18">
            <v>32</v>
          </cell>
          <cell r="H18">
            <v>17</v>
          </cell>
          <cell r="I18">
            <v>72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89.4</v>
          </cell>
          <cell r="T18">
            <v>94</v>
          </cell>
          <cell r="U18">
            <v>82.7</v>
          </cell>
          <cell r="V18">
            <v>89</v>
          </cell>
          <cell r="W18">
            <v>92.6</v>
          </cell>
          <cell r="X18">
            <v>98</v>
          </cell>
          <cell r="AE18">
            <v>13</v>
          </cell>
          <cell r="AF18">
            <v>2845</v>
          </cell>
          <cell r="AG18">
            <v>2120</v>
          </cell>
          <cell r="AH18">
            <v>239</v>
          </cell>
          <cell r="AJ18">
            <v>5.33</v>
          </cell>
          <cell r="AK18">
            <v>1.48</v>
          </cell>
          <cell r="AL18">
            <v>0</v>
          </cell>
          <cell r="AM18">
            <v>0</v>
          </cell>
          <cell r="AN18">
            <v>0.60419999999999996</v>
          </cell>
          <cell r="AO18">
            <v>0.49409999999999998</v>
          </cell>
          <cell r="AP18">
            <v>0.1681</v>
          </cell>
          <cell r="AQ18">
            <v>6.9000000000000006E-2</v>
          </cell>
          <cell r="AT18">
            <v>1.7880258446365191E-2</v>
          </cell>
          <cell r="AU18">
            <v>1.5331822002957392</v>
          </cell>
          <cell r="AV18">
            <v>1.1810341179343091</v>
          </cell>
          <cell r="AW18">
            <v>1.1810341179343091</v>
          </cell>
          <cell r="AX18">
            <v>182.51295789444902</v>
          </cell>
          <cell r="AY18">
            <v>1.662496549555577</v>
          </cell>
          <cell r="AZ18">
            <v>1.662496549555577</v>
          </cell>
          <cell r="BA18">
            <v>25.494709656592505</v>
          </cell>
        </row>
        <row r="19">
          <cell r="B19" t="str">
            <v>Boeing 787-9</v>
          </cell>
          <cell r="C19" t="str">
            <v>Air New Zealand</v>
          </cell>
          <cell r="D19" t="str">
            <v>Trent 1000-J2</v>
          </cell>
          <cell r="E19">
            <v>350.9</v>
          </cell>
          <cell r="F19">
            <v>254011</v>
          </cell>
          <cell r="G19">
            <v>31</v>
          </cell>
          <cell r="H19">
            <v>17.2</v>
          </cell>
          <cell r="I19">
            <v>215</v>
          </cell>
          <cell r="J19">
            <v>42</v>
          </cell>
          <cell r="K19">
            <v>19</v>
          </cell>
          <cell r="L19">
            <v>33</v>
          </cell>
          <cell r="M19">
            <v>80</v>
          </cell>
          <cell r="N19">
            <v>22</v>
          </cell>
          <cell r="O19">
            <v>27</v>
          </cell>
          <cell r="P19">
            <v>0</v>
          </cell>
          <cell r="Q19">
            <v>0</v>
          </cell>
          <cell r="R19">
            <v>0</v>
          </cell>
          <cell r="S19">
            <v>91.3</v>
          </cell>
          <cell r="T19">
            <v>101.3</v>
          </cell>
          <cell r="U19">
            <v>88.1</v>
          </cell>
          <cell r="V19">
            <v>98.6</v>
          </cell>
          <cell r="W19">
            <v>95.7</v>
          </cell>
          <cell r="X19">
            <v>104.7</v>
          </cell>
          <cell r="AE19">
            <v>9.01</v>
          </cell>
          <cell r="AF19">
            <v>2984</v>
          </cell>
          <cell r="AG19">
            <v>23531</v>
          </cell>
          <cell r="AH19">
            <v>962</v>
          </cell>
          <cell r="AJ19">
            <v>3.9</v>
          </cell>
          <cell r="AK19">
            <v>3.6</v>
          </cell>
          <cell r="AL19">
            <v>4.0999999999999996</v>
          </cell>
          <cell r="AM19">
            <v>0.5</v>
          </cell>
          <cell r="AN19">
            <v>2.6629999999999998</v>
          </cell>
          <cell r="AO19">
            <v>2.173</v>
          </cell>
          <cell r="AP19">
            <v>0.69599999999999995</v>
          </cell>
          <cell r="AQ19">
            <v>0.254</v>
          </cell>
          <cell r="AT19">
            <v>5.1320959922805741E-2</v>
          </cell>
          <cell r="AU19">
            <v>1.6513343009971913</v>
          </cell>
          <cell r="AV19">
            <v>1.2129334174299515</v>
          </cell>
          <cell r="AW19">
            <v>1.2129334174299515</v>
          </cell>
          <cell r="AX19">
            <v>204.52717618547004</v>
          </cell>
          <cell r="AY19">
            <v>1.4396031444039483</v>
          </cell>
          <cell r="AZ19">
            <v>1.4396031444039483</v>
          </cell>
          <cell r="BA19">
            <v>22.076595706082895</v>
          </cell>
        </row>
        <row r="20">
          <cell r="B20" t="str">
            <v>Airbus A330-300</v>
          </cell>
          <cell r="C20" t="str">
            <v>Air Transat</v>
          </cell>
          <cell r="D20" t="str">
            <v>Trent 772B-60</v>
          </cell>
          <cell r="E20">
            <v>315.89999999999998</v>
          </cell>
          <cell r="F20">
            <v>242000</v>
          </cell>
          <cell r="G20">
            <v>33</v>
          </cell>
          <cell r="H20">
            <v>17</v>
          </cell>
          <cell r="I20">
            <v>334</v>
          </cell>
          <cell r="J20">
            <v>0</v>
          </cell>
          <cell r="K20">
            <v>0</v>
          </cell>
          <cell r="L20">
            <v>0</v>
          </cell>
          <cell r="M20">
            <v>36</v>
          </cell>
          <cell r="N20">
            <v>21.5</v>
          </cell>
          <cell r="O20">
            <v>12</v>
          </cell>
          <cell r="P20">
            <v>0</v>
          </cell>
          <cell r="Q20">
            <v>0</v>
          </cell>
          <cell r="R20">
            <v>0</v>
          </cell>
          <cell r="S20">
            <v>97.3</v>
          </cell>
          <cell r="T20">
            <v>101.1</v>
          </cell>
          <cell r="U20">
            <v>91.9</v>
          </cell>
          <cell r="V20">
            <v>98.3</v>
          </cell>
          <cell r="W20">
            <v>96.9</v>
          </cell>
          <cell r="X20">
            <v>104.5</v>
          </cell>
          <cell r="AE20">
            <v>735</v>
          </cell>
          <cell r="AF20">
            <v>4175</v>
          </cell>
          <cell r="AG20">
            <v>21462</v>
          </cell>
          <cell r="AH20">
            <v>1096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3.15</v>
          </cell>
          <cell r="AO20">
            <v>2.58</v>
          </cell>
          <cell r="AP20">
            <v>0.84</v>
          </cell>
          <cell r="AQ20">
            <v>0.27</v>
          </cell>
          <cell r="AT20">
            <v>4.0082972805128396E-2</v>
          </cell>
          <cell r="AU20">
            <v>1.6052294051517633</v>
          </cell>
          <cell r="AV20">
            <v>1.2086148990711754</v>
          </cell>
          <cell r="AW20">
            <v>1.2086148990711754</v>
          </cell>
          <cell r="AX20">
            <v>194.84374957907579</v>
          </cell>
          <cell r="AY20">
            <v>1.5570406693491181</v>
          </cell>
          <cell r="AZ20">
            <v>1.5570406693491181</v>
          </cell>
          <cell r="BA20">
            <v>23.877523113761615</v>
          </cell>
        </row>
        <row r="21">
          <cell r="B21" t="str">
            <v>Airbus A220-100</v>
          </cell>
          <cell r="C21" t="str">
            <v>Airbus standard config.</v>
          </cell>
          <cell r="D21" t="str">
            <v>PW1524G</v>
          </cell>
          <cell r="E21">
            <v>108.53</v>
          </cell>
          <cell r="F21">
            <v>60781</v>
          </cell>
          <cell r="G21">
            <v>32</v>
          </cell>
          <cell r="H21">
            <v>18.5</v>
          </cell>
          <cell r="I21">
            <v>110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88</v>
          </cell>
          <cell r="T21">
            <v>96</v>
          </cell>
          <cell r="U21">
            <v>78.8</v>
          </cell>
          <cell r="V21">
            <v>90.4</v>
          </cell>
          <cell r="W21">
            <v>91.5</v>
          </cell>
          <cell r="X21">
            <v>99.9</v>
          </cell>
          <cell r="AE21">
            <v>30</v>
          </cell>
          <cell r="AF21">
            <v>1719</v>
          </cell>
          <cell r="AG21">
            <v>4125</v>
          </cell>
          <cell r="AH21">
            <v>299</v>
          </cell>
          <cell r="AJ21">
            <v>3.4</v>
          </cell>
          <cell r="AK21">
            <v>2.8</v>
          </cell>
          <cell r="AL21">
            <v>2.4</v>
          </cell>
          <cell r="AM21">
            <v>2.5</v>
          </cell>
          <cell r="AN21">
            <v>0.79</v>
          </cell>
          <cell r="AO21">
            <v>0.65</v>
          </cell>
          <cell r="AP21">
            <v>0.23</v>
          </cell>
          <cell r="AQ21">
            <v>0.08</v>
          </cell>
          <cell r="AT21">
            <v>3.1483299270248316E-2</v>
          </cell>
          <cell r="AU21">
            <v>1.5331822002957392</v>
          </cell>
          <cell r="AV21">
            <v>1.1810341179343091</v>
          </cell>
          <cell r="AW21">
            <v>1.1810341179343091</v>
          </cell>
          <cell r="AX21">
            <v>182.51295789444902</v>
          </cell>
          <cell r="AY21">
            <v>1.662496549555577</v>
          </cell>
          <cell r="AZ21">
            <v>1.662496549555577</v>
          </cell>
          <cell r="BA21">
            <v>25.494709656592505</v>
          </cell>
        </row>
        <row r="22">
          <cell r="B22" t="str">
            <v>Airbus A220-300</v>
          </cell>
          <cell r="C22" t="str">
            <v>Airbus standard config.</v>
          </cell>
          <cell r="D22" t="str">
            <v>PW1521G-3</v>
          </cell>
          <cell r="E22">
            <v>97.72</v>
          </cell>
          <cell r="F22">
            <v>67585</v>
          </cell>
          <cell r="G22">
            <v>32</v>
          </cell>
          <cell r="H22">
            <v>18.5</v>
          </cell>
          <cell r="I22">
            <v>135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86.4</v>
          </cell>
          <cell r="T22">
            <v>96.4</v>
          </cell>
          <cell r="U22">
            <v>83.3</v>
          </cell>
          <cell r="V22">
            <v>91</v>
          </cell>
          <cell r="W22">
            <v>92.4</v>
          </cell>
          <cell r="X22">
            <v>100.2</v>
          </cell>
          <cell r="AE22">
            <v>20</v>
          </cell>
          <cell r="AF22">
            <v>2260</v>
          </cell>
          <cell r="AG22">
            <v>3139</v>
          </cell>
          <cell r="AH22">
            <v>265.3</v>
          </cell>
          <cell r="AJ22">
            <v>2.4</v>
          </cell>
          <cell r="AK22">
            <v>1.5</v>
          </cell>
          <cell r="AL22">
            <v>0.8</v>
          </cell>
          <cell r="AM22">
            <v>0.5</v>
          </cell>
          <cell r="AN22">
            <v>0.69</v>
          </cell>
          <cell r="AO22">
            <v>0.57999999999999996</v>
          </cell>
          <cell r="AP22">
            <v>0.21</v>
          </cell>
          <cell r="AQ22">
            <v>7.0000000000000007E-2</v>
          </cell>
          <cell r="AT22">
            <v>3.1250844818720647E-2</v>
          </cell>
          <cell r="AU22">
            <v>1.5331822002957392</v>
          </cell>
          <cell r="AV22">
            <v>1.1810341179343091</v>
          </cell>
          <cell r="AW22">
            <v>1.1810341179343091</v>
          </cell>
          <cell r="AX22">
            <v>182.51295789444902</v>
          </cell>
          <cell r="AY22">
            <v>1.662496549555577</v>
          </cell>
          <cell r="AZ22">
            <v>1.662496549555577</v>
          </cell>
          <cell r="BA22">
            <v>25.494709656592505</v>
          </cell>
        </row>
        <row r="23">
          <cell r="B23" t="str">
            <v>Airbus A300</v>
          </cell>
          <cell r="C23" t="str">
            <v>Airbus standard config.</v>
          </cell>
          <cell r="D23" t="str">
            <v>CF6-50C2</v>
          </cell>
          <cell r="E23">
            <v>230.4</v>
          </cell>
          <cell r="F23">
            <v>165000</v>
          </cell>
          <cell r="G23">
            <v>34</v>
          </cell>
          <cell r="H23">
            <v>20</v>
          </cell>
          <cell r="I23">
            <v>281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97.8</v>
          </cell>
          <cell r="T23">
            <v>99.2</v>
          </cell>
          <cell r="U23">
            <v>88.2</v>
          </cell>
          <cell r="V23">
            <v>95.3</v>
          </cell>
          <cell r="W23">
            <v>102</v>
          </cell>
          <cell r="X23">
            <v>102.7</v>
          </cell>
          <cell r="AE23">
            <v>788</v>
          </cell>
          <cell r="AF23">
            <v>6863</v>
          </cell>
          <cell r="AG23">
            <v>11884</v>
          </cell>
          <cell r="AH23">
            <v>769</v>
          </cell>
          <cell r="AJ23">
            <v>10.95</v>
          </cell>
          <cell r="AK23">
            <v>11.72</v>
          </cell>
          <cell r="AL23">
            <v>1.62</v>
          </cell>
          <cell r="AM23">
            <v>1.4</v>
          </cell>
          <cell r="AN23">
            <v>2.3610000000000002</v>
          </cell>
          <cell r="AO23">
            <v>1.94</v>
          </cell>
          <cell r="AP23">
            <v>0.66300000000000003</v>
          </cell>
          <cell r="AQ23">
            <v>0.16300000000000001</v>
          </cell>
          <cell r="AT23">
            <v>0</v>
          </cell>
          <cell r="AU23">
            <v>1.5331822002957392</v>
          </cell>
          <cell r="AV23">
            <v>1.1810341179343091</v>
          </cell>
          <cell r="AW23">
            <v>1.1810341179343091</v>
          </cell>
          <cell r="AX23">
            <v>182.51295789444902</v>
          </cell>
          <cell r="AY23">
            <v>1.662496549555577</v>
          </cell>
          <cell r="AZ23">
            <v>1.662496549555577</v>
          </cell>
          <cell r="BA23">
            <v>25.494709656592505</v>
          </cell>
        </row>
        <row r="24">
          <cell r="B24" t="str">
            <v>Airbus A310</v>
          </cell>
          <cell r="C24" t="str">
            <v>Airbus standard config.</v>
          </cell>
          <cell r="D24" t="str">
            <v>CF6-80A3</v>
          </cell>
          <cell r="E24">
            <v>217.8</v>
          </cell>
          <cell r="F24">
            <v>138600</v>
          </cell>
          <cell r="G24">
            <v>34</v>
          </cell>
          <cell r="H24">
            <v>20</v>
          </cell>
          <cell r="I24">
            <v>243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96.4</v>
          </cell>
          <cell r="T24">
            <v>99.3</v>
          </cell>
          <cell r="U24">
            <v>90.5</v>
          </cell>
          <cell r="V24">
            <v>95.4</v>
          </cell>
          <cell r="W24">
            <v>100</v>
          </cell>
          <cell r="X24">
            <v>102.8</v>
          </cell>
          <cell r="AE24">
            <v>1659</v>
          </cell>
          <cell r="AF24">
            <v>7398</v>
          </cell>
          <cell r="AG24">
            <v>11878</v>
          </cell>
          <cell r="AH24">
            <v>731</v>
          </cell>
          <cell r="AJ24">
            <v>12</v>
          </cell>
          <cell r="AK24">
            <v>10</v>
          </cell>
          <cell r="AL24">
            <v>2</v>
          </cell>
          <cell r="AM24">
            <v>2</v>
          </cell>
          <cell r="AN24">
            <v>2.254</v>
          </cell>
          <cell r="AO24">
            <v>1.885</v>
          </cell>
          <cell r="AP24">
            <v>0.64100000000000001</v>
          </cell>
          <cell r="AQ24">
            <v>0.15</v>
          </cell>
          <cell r="AT24">
            <v>2.1271574274460418E-2</v>
          </cell>
          <cell r="AU24">
            <v>1.570295437136549</v>
          </cell>
          <cell r="AV24">
            <v>1.1952416373603938</v>
          </cell>
          <cell r="AW24">
            <v>1.1952416373603938</v>
          </cell>
          <cell r="AX24">
            <v>188.86484334428377</v>
          </cell>
          <cell r="AY24">
            <v>1.608173705717574</v>
          </cell>
          <cell r="AZ24">
            <v>1.608173705717574</v>
          </cell>
          <cell r="BA24">
            <v>24.661658224551623</v>
          </cell>
        </row>
        <row r="25">
          <cell r="B25" t="str">
            <v>Airbus A318</v>
          </cell>
          <cell r="C25" t="str">
            <v>Airbus standard config.</v>
          </cell>
          <cell r="D25" t="str">
            <v>CFM56-5B8/3</v>
          </cell>
          <cell r="E25">
            <v>96.1</v>
          </cell>
          <cell r="F25">
            <v>68000</v>
          </cell>
          <cell r="G25">
            <v>30</v>
          </cell>
          <cell r="H25">
            <v>18</v>
          </cell>
          <cell r="I25">
            <v>132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90.4</v>
          </cell>
          <cell r="T25">
            <v>96.5</v>
          </cell>
          <cell r="U25">
            <v>84.1</v>
          </cell>
          <cell r="V25">
            <v>91</v>
          </cell>
          <cell r="W25">
            <v>93.9</v>
          </cell>
          <cell r="X25">
            <v>100.2</v>
          </cell>
          <cell r="AE25">
            <v>544</v>
          </cell>
          <cell r="AF25">
            <v>6448</v>
          </cell>
          <cell r="AG25">
            <v>2950</v>
          </cell>
          <cell r="AH25">
            <v>338</v>
          </cell>
          <cell r="AJ25">
            <v>9.6999999999999993</v>
          </cell>
          <cell r="AK25">
            <v>7</v>
          </cell>
          <cell r="AL25">
            <v>2.1</v>
          </cell>
          <cell r="AM25">
            <v>2.1</v>
          </cell>
          <cell r="AN25">
            <v>0.875</v>
          </cell>
          <cell r="AO25">
            <v>0.72699999999999998</v>
          </cell>
          <cell r="AP25">
            <v>0.26</v>
          </cell>
          <cell r="AQ25">
            <v>9.0999999999999998E-2</v>
          </cell>
          <cell r="AT25">
            <v>1.6299615580223695E-2</v>
          </cell>
          <cell r="AU25">
            <v>1.5331822002957392</v>
          </cell>
          <cell r="AV25">
            <v>1.1810341179343091</v>
          </cell>
          <cell r="AW25">
            <v>1.1810341179343091</v>
          </cell>
          <cell r="AX25">
            <v>182.51295789444902</v>
          </cell>
          <cell r="AY25">
            <v>1.662496549555577</v>
          </cell>
          <cell r="AZ25">
            <v>1.662496549555577</v>
          </cell>
          <cell r="BA25">
            <v>25.494709656592505</v>
          </cell>
        </row>
        <row r="26">
          <cell r="B26" t="str">
            <v>Airbus A319</v>
          </cell>
          <cell r="C26" t="str">
            <v>Airbus standard config.</v>
          </cell>
          <cell r="D26" t="str">
            <v>CFM56-5B5/3</v>
          </cell>
          <cell r="E26">
            <v>97.9</v>
          </cell>
          <cell r="F26">
            <v>75500</v>
          </cell>
          <cell r="G26">
            <v>29</v>
          </cell>
          <cell r="H26">
            <v>18</v>
          </cell>
          <cell r="I26">
            <v>156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90.5</v>
          </cell>
          <cell r="T26">
            <v>96.8</v>
          </cell>
          <cell r="U26">
            <v>86.3</v>
          </cell>
          <cell r="V26">
            <v>91.6</v>
          </cell>
          <cell r="W26">
            <v>93.4</v>
          </cell>
          <cell r="X26">
            <v>100.6</v>
          </cell>
          <cell r="AE26">
            <v>520</v>
          </cell>
          <cell r="AF26">
            <v>6343</v>
          </cell>
          <cell r="AG26">
            <v>3047</v>
          </cell>
          <cell r="AH26">
            <v>343</v>
          </cell>
          <cell r="AJ26">
            <v>9.6999999999999993</v>
          </cell>
          <cell r="AK26">
            <v>8</v>
          </cell>
          <cell r="AL26">
            <v>2.1</v>
          </cell>
          <cell r="AM26">
            <v>2.1</v>
          </cell>
          <cell r="AN26">
            <v>0.89400000000000002</v>
          </cell>
          <cell r="AO26">
            <v>0.74299999999999999</v>
          </cell>
          <cell r="AP26">
            <v>0.26400000000000001</v>
          </cell>
          <cell r="AQ26">
            <v>9.1999999999999998E-2</v>
          </cell>
          <cell r="AT26">
            <v>2.5642921689705618E-2</v>
          </cell>
          <cell r="AU26">
            <v>1.5331822002957392</v>
          </cell>
          <cell r="AV26">
            <v>1.1810341179343091</v>
          </cell>
          <cell r="AW26">
            <v>1.1810341179343091</v>
          </cell>
          <cell r="AX26">
            <v>182.51295789444902</v>
          </cell>
          <cell r="AY26">
            <v>1.662496549555577</v>
          </cell>
          <cell r="AZ26">
            <v>1.662496549555577</v>
          </cell>
          <cell r="BA26">
            <v>25.494709656592505</v>
          </cell>
        </row>
        <row r="27">
          <cell r="B27" t="str">
            <v>Airbus A320</v>
          </cell>
          <cell r="C27" t="str">
            <v>Airbus standard config.</v>
          </cell>
          <cell r="D27" t="str">
            <v>CFM56-5B4</v>
          </cell>
          <cell r="E27">
            <v>117.9</v>
          </cell>
          <cell r="F27">
            <v>78000</v>
          </cell>
          <cell r="G27">
            <v>29</v>
          </cell>
          <cell r="H27">
            <v>18</v>
          </cell>
          <cell r="I27">
            <v>180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92.8</v>
          </cell>
          <cell r="T27">
            <v>97</v>
          </cell>
          <cell r="U27">
            <v>85.7</v>
          </cell>
          <cell r="V27">
            <v>91.8</v>
          </cell>
          <cell r="W27">
            <v>94.4</v>
          </cell>
          <cell r="X27">
            <v>100.7</v>
          </cell>
          <cell r="AE27">
            <v>674</v>
          </cell>
          <cell r="AF27">
            <v>5595</v>
          </cell>
          <cell r="AG27">
            <v>5861</v>
          </cell>
          <cell r="AH27">
            <v>421</v>
          </cell>
          <cell r="AJ27">
            <v>10</v>
          </cell>
          <cell r="AK27">
            <v>11.7</v>
          </cell>
          <cell r="AL27">
            <v>0</v>
          </cell>
          <cell r="AM27">
            <v>0</v>
          </cell>
          <cell r="AN27">
            <v>1.1659999999999999</v>
          </cell>
          <cell r="AO27">
            <v>0.96099999999999997</v>
          </cell>
          <cell r="AP27">
            <v>0.32600000000000001</v>
          </cell>
          <cell r="AQ27">
            <v>0.107</v>
          </cell>
          <cell r="AT27">
            <v>2.8597287885879265E-2</v>
          </cell>
          <cell r="AU27">
            <v>1.5331822002957392</v>
          </cell>
          <cell r="AV27">
            <v>1.1810341179343091</v>
          </cell>
          <cell r="AW27">
            <v>1.1810341179343091</v>
          </cell>
          <cell r="AX27">
            <v>182.51295789444902</v>
          </cell>
          <cell r="AY27">
            <v>1.662496549555577</v>
          </cell>
          <cell r="AZ27">
            <v>1.662496549555577</v>
          </cell>
          <cell r="BA27">
            <v>25.494709656592505</v>
          </cell>
        </row>
        <row r="28">
          <cell r="B28" t="str">
            <v>Airbus A320neo</v>
          </cell>
          <cell r="C28" t="str">
            <v>Airbus standard config.</v>
          </cell>
          <cell r="D28" t="str">
            <v>LEAP-1A26</v>
          </cell>
          <cell r="E28">
            <v>120.6</v>
          </cell>
          <cell r="F28">
            <v>79000</v>
          </cell>
          <cell r="G28">
            <v>29</v>
          </cell>
          <cell r="H28">
            <v>18</v>
          </cell>
          <cell r="I28">
            <v>180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86.2</v>
          </cell>
          <cell r="T28">
            <v>96.8</v>
          </cell>
          <cell r="U28">
            <v>79.7</v>
          </cell>
          <cell r="V28">
            <v>91.6</v>
          </cell>
          <cell r="W28">
            <v>91.8</v>
          </cell>
          <cell r="X28">
            <v>100.6</v>
          </cell>
          <cell r="AE28">
            <v>43</v>
          </cell>
          <cell r="AF28">
            <v>3130</v>
          </cell>
          <cell r="AG28">
            <v>2852</v>
          </cell>
          <cell r="AH28">
            <v>324</v>
          </cell>
          <cell r="AJ28">
            <v>1.3</v>
          </cell>
          <cell r="AK28">
            <v>1.17</v>
          </cell>
          <cell r="AL28">
            <v>1.31</v>
          </cell>
          <cell r="AM28">
            <v>1.25</v>
          </cell>
          <cell r="AN28">
            <v>0.85499999999999998</v>
          </cell>
          <cell r="AO28">
            <v>0.70499999999999996</v>
          </cell>
          <cell r="AP28">
            <v>0.24199999999999999</v>
          </cell>
          <cell r="AQ28">
            <v>8.7999999999999995E-2</v>
          </cell>
          <cell r="AT28">
            <v>2.8788575539066177E-2</v>
          </cell>
          <cell r="AU28">
            <v>1.5331822002957392</v>
          </cell>
          <cell r="AV28">
            <v>1.1810341179343091</v>
          </cell>
          <cell r="AW28">
            <v>1.1810341179343091</v>
          </cell>
          <cell r="AX28">
            <v>182.51295789444902</v>
          </cell>
          <cell r="AY28">
            <v>1.662496549555577</v>
          </cell>
          <cell r="AZ28">
            <v>1.662496549555577</v>
          </cell>
          <cell r="BA28">
            <v>25.494709656592505</v>
          </cell>
        </row>
        <row r="29">
          <cell r="B29" t="str">
            <v>Airbus A321</v>
          </cell>
          <cell r="C29" t="str">
            <v>Airbus standard config.</v>
          </cell>
          <cell r="D29" t="str">
            <v>CFM56-5B2</v>
          </cell>
          <cell r="E29">
            <v>137.9</v>
          </cell>
          <cell r="F29">
            <v>93500</v>
          </cell>
          <cell r="G29">
            <v>29</v>
          </cell>
          <cell r="H29">
            <v>18</v>
          </cell>
          <cell r="I29">
            <v>220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95.4</v>
          </cell>
          <cell r="T29">
            <v>97.5</v>
          </cell>
          <cell r="U29">
            <v>88.6</v>
          </cell>
          <cell r="V29">
            <v>92.6</v>
          </cell>
          <cell r="W29">
            <v>95.9</v>
          </cell>
          <cell r="X29">
            <v>101.1</v>
          </cell>
          <cell r="AE29">
            <v>596</v>
          </cell>
          <cell r="AF29">
            <v>5319</v>
          </cell>
          <cell r="AG29">
            <v>8485</v>
          </cell>
          <cell r="AH29">
            <v>489</v>
          </cell>
          <cell r="AJ29">
            <v>8.1999999999999993</v>
          </cell>
          <cell r="AK29">
            <v>10.1</v>
          </cell>
          <cell r="AL29">
            <v>0</v>
          </cell>
          <cell r="AM29">
            <v>0</v>
          </cell>
          <cell r="AN29">
            <v>1.4259999999999999</v>
          </cell>
          <cell r="AO29">
            <v>1.1579999999999999</v>
          </cell>
          <cell r="AP29">
            <v>0.376</v>
          </cell>
          <cell r="AQ29">
            <v>0.11899999999999999</v>
          </cell>
          <cell r="AT29">
            <v>2.7628795708091864E-2</v>
          </cell>
          <cell r="AU29">
            <v>1.5331822002957392</v>
          </cell>
          <cell r="AV29">
            <v>1.1810341179343091</v>
          </cell>
          <cell r="AW29">
            <v>1.1810341179343091</v>
          </cell>
          <cell r="AX29">
            <v>182.51295789444902</v>
          </cell>
          <cell r="AY29">
            <v>1.662496549555577</v>
          </cell>
          <cell r="AZ29">
            <v>1.662496549555577</v>
          </cell>
          <cell r="BA29">
            <v>25.494709656592505</v>
          </cell>
        </row>
        <row r="30">
          <cell r="B30" t="str">
            <v>Airbus A321neo</v>
          </cell>
          <cell r="C30" t="str">
            <v>Airbus standard config.</v>
          </cell>
          <cell r="D30" t="str">
            <v>LEAP-1A32</v>
          </cell>
          <cell r="E30">
            <v>143.1</v>
          </cell>
          <cell r="F30">
            <v>97000</v>
          </cell>
          <cell r="G30">
            <v>32</v>
          </cell>
          <cell r="H30">
            <v>18</v>
          </cell>
          <cell r="I30">
            <v>202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88.7</v>
          </cell>
          <cell r="T30">
            <v>97.6</v>
          </cell>
          <cell r="U30">
            <v>83.7</v>
          </cell>
          <cell r="V30">
            <v>92.8</v>
          </cell>
          <cell r="W30">
            <v>94.1</v>
          </cell>
          <cell r="X30">
            <v>101.3</v>
          </cell>
          <cell r="AE30">
            <v>40</v>
          </cell>
          <cell r="AF30">
            <v>2964</v>
          </cell>
          <cell r="AG30">
            <v>6024</v>
          </cell>
          <cell r="AH30">
            <v>376</v>
          </cell>
          <cell r="AJ30">
            <v>1.105</v>
          </cell>
          <cell r="AK30">
            <v>1.17</v>
          </cell>
          <cell r="AL30">
            <v>1.31</v>
          </cell>
          <cell r="AM30">
            <v>1.25</v>
          </cell>
          <cell r="AN30">
            <v>1.0580000000000001</v>
          </cell>
          <cell r="AO30">
            <v>0.86399999999999999</v>
          </cell>
          <cell r="AP30">
            <v>0.28199999999999997</v>
          </cell>
          <cell r="AQ30">
            <v>9.6000000000000002E-2</v>
          </cell>
          <cell r="AT30">
            <v>5.097549313429401E-2</v>
          </cell>
          <cell r="AU30">
            <v>1.5331822002957392</v>
          </cell>
          <cell r="AV30">
            <v>1.1810341179343091</v>
          </cell>
          <cell r="AW30">
            <v>1.1810341179343091</v>
          </cell>
          <cell r="AX30">
            <v>182.51295789444902</v>
          </cell>
          <cell r="AY30">
            <v>1.662496549555577</v>
          </cell>
          <cell r="AZ30">
            <v>1.662496549555577</v>
          </cell>
          <cell r="BA30">
            <v>25.494709656592505</v>
          </cell>
        </row>
        <row r="31">
          <cell r="B31" t="str">
            <v>Airbus A330-200</v>
          </cell>
          <cell r="C31" t="str">
            <v>Airbus standard config.</v>
          </cell>
          <cell r="D31" t="str">
            <v>CF6-80E1A4</v>
          </cell>
          <cell r="E31">
            <v>297.44</v>
          </cell>
          <cell r="F31">
            <v>242000</v>
          </cell>
          <cell r="G31">
            <v>32</v>
          </cell>
          <cell r="H31">
            <v>18</v>
          </cell>
          <cell r="I31">
            <v>210</v>
          </cell>
          <cell r="J31">
            <v>0</v>
          </cell>
          <cell r="K31">
            <v>0</v>
          </cell>
          <cell r="L31">
            <v>0</v>
          </cell>
          <cell r="M31">
            <v>60</v>
          </cell>
          <cell r="N31">
            <v>21</v>
          </cell>
          <cell r="O31">
            <v>36</v>
          </cell>
          <cell r="P31">
            <v>0</v>
          </cell>
          <cell r="Q31">
            <v>0</v>
          </cell>
          <cell r="R31">
            <v>0</v>
          </cell>
          <cell r="S31">
            <v>98.1</v>
          </cell>
          <cell r="T31">
            <v>101.2</v>
          </cell>
          <cell r="U31">
            <v>93.1</v>
          </cell>
          <cell r="V31">
            <v>98.3</v>
          </cell>
          <cell r="W31">
            <v>99.5</v>
          </cell>
          <cell r="X31">
            <v>104.5</v>
          </cell>
          <cell r="AE31">
            <v>3726</v>
          </cell>
          <cell r="AF31">
            <v>13860</v>
          </cell>
          <cell r="AG31">
            <v>18055</v>
          </cell>
          <cell r="AH31">
            <v>963</v>
          </cell>
          <cell r="AJ31">
            <v>10.09</v>
          </cell>
          <cell r="AK31">
            <v>8.06</v>
          </cell>
          <cell r="AL31">
            <v>0</v>
          </cell>
          <cell r="AM31">
            <v>0</v>
          </cell>
          <cell r="AN31">
            <v>2.9039999999999999</v>
          </cell>
          <cell r="AO31">
            <v>2.3370000000000002</v>
          </cell>
          <cell r="AP31">
            <v>0.74399999999999999</v>
          </cell>
          <cell r="AQ31">
            <v>0.22700000000000001</v>
          </cell>
          <cell r="AT31">
            <v>3.8803330948589947E-2</v>
          </cell>
          <cell r="AU31">
            <v>1.6052294051517633</v>
          </cell>
          <cell r="AV31">
            <v>1.2086148990711754</v>
          </cell>
          <cell r="AW31">
            <v>1.2086148990711754</v>
          </cell>
          <cell r="AX31">
            <v>194.84374957907579</v>
          </cell>
          <cell r="AY31">
            <v>1.5570406693491181</v>
          </cell>
          <cell r="AZ31">
            <v>1.5570406693491181</v>
          </cell>
          <cell r="BA31">
            <v>23.877523113761615</v>
          </cell>
        </row>
        <row r="32">
          <cell r="B32" t="str">
            <v>Airbus A330-300</v>
          </cell>
          <cell r="C32" t="str">
            <v>Airbus standard config.</v>
          </cell>
          <cell r="D32" t="str">
            <v>CF6-80E1A3</v>
          </cell>
          <cell r="E32">
            <v>304.8</v>
          </cell>
          <cell r="F32">
            <v>242000</v>
          </cell>
          <cell r="G32">
            <v>32</v>
          </cell>
          <cell r="H32">
            <v>18</v>
          </cell>
          <cell r="I32">
            <v>264</v>
          </cell>
          <cell r="J32">
            <v>0</v>
          </cell>
          <cell r="K32">
            <v>0</v>
          </cell>
          <cell r="L32">
            <v>0</v>
          </cell>
          <cell r="M32">
            <v>60</v>
          </cell>
          <cell r="N32">
            <v>21</v>
          </cell>
          <cell r="O32">
            <v>36</v>
          </cell>
          <cell r="P32">
            <v>0</v>
          </cell>
          <cell r="Q32">
            <v>0</v>
          </cell>
          <cell r="R32">
            <v>0</v>
          </cell>
          <cell r="S32">
            <v>98.7</v>
          </cell>
          <cell r="T32">
            <v>101.1</v>
          </cell>
          <cell r="U32">
            <v>92.2</v>
          </cell>
          <cell r="V32">
            <v>98.2</v>
          </cell>
          <cell r="W32">
            <v>99.5</v>
          </cell>
          <cell r="X32">
            <v>104.4</v>
          </cell>
          <cell r="AE32">
            <v>3438</v>
          </cell>
          <cell r="AF32">
            <v>13473</v>
          </cell>
          <cell r="AG32">
            <v>19254</v>
          </cell>
          <cell r="AH32">
            <v>976</v>
          </cell>
          <cell r="AJ32">
            <v>10.1</v>
          </cell>
          <cell r="AK32">
            <v>8.6</v>
          </cell>
          <cell r="AL32">
            <v>0</v>
          </cell>
          <cell r="AM32">
            <v>0</v>
          </cell>
          <cell r="AN32">
            <v>2.9889999999999999</v>
          </cell>
          <cell r="AO32">
            <v>2.387</v>
          </cell>
          <cell r="AP32">
            <v>0.755</v>
          </cell>
          <cell r="AQ32">
            <v>0.22700000000000001</v>
          </cell>
          <cell r="AT32">
            <v>4.0082972805128396E-2</v>
          </cell>
          <cell r="AU32">
            <v>1.6052294051517633</v>
          </cell>
          <cell r="AV32">
            <v>1.2086148990711754</v>
          </cell>
          <cell r="AW32">
            <v>1.2086148990711754</v>
          </cell>
          <cell r="AX32">
            <v>194.84374957907579</v>
          </cell>
          <cell r="AY32">
            <v>1.5570406693491181</v>
          </cell>
          <cell r="AZ32">
            <v>1.5570406693491181</v>
          </cell>
          <cell r="BA32">
            <v>23.877523113761615</v>
          </cell>
        </row>
        <row r="33">
          <cell r="B33" t="str">
            <v>Airbus A330-900</v>
          </cell>
          <cell r="C33" t="str">
            <v>Airbus standard config.</v>
          </cell>
          <cell r="D33" t="str">
            <v>Trent 7000-72</v>
          </cell>
          <cell r="E33">
            <v>327.9</v>
          </cell>
          <cell r="F33">
            <v>242000</v>
          </cell>
          <cell r="G33">
            <v>32</v>
          </cell>
          <cell r="H33">
            <v>18</v>
          </cell>
          <cell r="I33">
            <v>264</v>
          </cell>
          <cell r="J33">
            <v>0</v>
          </cell>
          <cell r="K33">
            <v>0</v>
          </cell>
          <cell r="L33">
            <v>0</v>
          </cell>
          <cell r="M33">
            <v>60</v>
          </cell>
          <cell r="N33">
            <v>21</v>
          </cell>
          <cell r="O33">
            <v>36</v>
          </cell>
          <cell r="P33">
            <v>0</v>
          </cell>
          <cell r="Q33">
            <v>0</v>
          </cell>
          <cell r="R33">
            <v>0</v>
          </cell>
          <cell r="S33">
            <v>92.5</v>
          </cell>
          <cell r="T33">
            <v>101.1</v>
          </cell>
          <cell r="U33">
            <v>89.2</v>
          </cell>
          <cell r="V33">
            <v>98.3</v>
          </cell>
          <cell r="W33">
            <v>98.4</v>
          </cell>
          <cell r="X33">
            <v>104.5</v>
          </cell>
          <cell r="AE33">
            <v>0</v>
          </cell>
          <cell r="AF33">
            <v>2689</v>
          </cell>
          <cell r="AG33">
            <v>21739</v>
          </cell>
          <cell r="AH33">
            <v>909</v>
          </cell>
          <cell r="AJ33">
            <v>8.3000000000000007</v>
          </cell>
          <cell r="AK33">
            <v>11.6</v>
          </cell>
          <cell r="AL33">
            <v>8.8000000000000007</v>
          </cell>
          <cell r="AM33">
            <v>1.9</v>
          </cell>
          <cell r="AN33">
            <v>2.4780000000000002</v>
          </cell>
          <cell r="AO33">
            <v>2.0289999999999999</v>
          </cell>
          <cell r="AP33">
            <v>0.67</v>
          </cell>
          <cell r="AQ33">
            <v>0.24099999999999999</v>
          </cell>
          <cell r="AT33">
            <v>6.3194192026538476E-2</v>
          </cell>
          <cell r="AU33">
            <v>1.6052294051517633</v>
          </cell>
          <cell r="AV33">
            <v>1.2086148990711754</v>
          </cell>
          <cell r="AW33">
            <v>1.2086148990711754</v>
          </cell>
          <cell r="AX33">
            <v>194.84374957907579</v>
          </cell>
          <cell r="AY33">
            <v>1.5570406693491181</v>
          </cell>
          <cell r="AZ33">
            <v>1.5570406693491181</v>
          </cell>
          <cell r="BA33">
            <v>23.877523113761615</v>
          </cell>
        </row>
        <row r="34">
          <cell r="B34" t="str">
            <v>Airbus A340-300</v>
          </cell>
          <cell r="C34" t="str">
            <v>Airbus standard config.</v>
          </cell>
          <cell r="D34" t="str">
            <v>CFM56-5C2</v>
          </cell>
          <cell r="E34">
            <v>138.78</v>
          </cell>
          <cell r="F34">
            <v>271000</v>
          </cell>
          <cell r="G34">
            <v>31</v>
          </cell>
          <cell r="H34">
            <v>20</v>
          </cell>
          <cell r="I34">
            <v>305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78</v>
          </cell>
          <cell r="Q34">
            <v>27</v>
          </cell>
          <cell r="R34">
            <v>30</v>
          </cell>
          <cell r="S34">
            <v>95.1</v>
          </cell>
          <cell r="T34">
            <v>101.4</v>
          </cell>
          <cell r="U34">
            <v>95.4</v>
          </cell>
          <cell r="V34">
            <v>103.7</v>
          </cell>
          <cell r="W34">
            <v>97.2</v>
          </cell>
          <cell r="X34">
            <v>104.8</v>
          </cell>
          <cell r="AE34">
            <v>1050</v>
          </cell>
          <cell r="AF34">
            <v>6546</v>
          </cell>
          <cell r="AG34">
            <v>7077</v>
          </cell>
          <cell r="AH34">
            <v>466</v>
          </cell>
          <cell r="AJ34">
            <v>11.1</v>
          </cell>
          <cell r="AK34">
            <v>8.5</v>
          </cell>
          <cell r="AL34">
            <v>1</v>
          </cell>
          <cell r="AM34">
            <v>1.1000000000000001</v>
          </cell>
          <cell r="AN34">
            <v>1.3080000000000001</v>
          </cell>
          <cell r="AO34">
            <v>1.0760000000000001</v>
          </cell>
          <cell r="AP34">
            <v>0.35580000000000001</v>
          </cell>
          <cell r="AQ34">
            <v>0.11749999999999999</v>
          </cell>
          <cell r="AT34">
            <v>8.7747504079337374E-2</v>
          </cell>
          <cell r="AU34">
            <v>1.6052294051517633</v>
          </cell>
          <cell r="AV34">
            <v>1.2086148990711754</v>
          </cell>
          <cell r="AW34">
            <v>1.2086148990711754</v>
          </cell>
          <cell r="AX34">
            <v>194.84374957907579</v>
          </cell>
          <cell r="AY34">
            <v>1.5570406693491181</v>
          </cell>
          <cell r="AZ34">
            <v>1.5570406693491181</v>
          </cell>
          <cell r="BA34">
            <v>23.877523113761615</v>
          </cell>
        </row>
        <row r="35">
          <cell r="B35" t="str">
            <v>Airbus A340-600</v>
          </cell>
          <cell r="C35" t="str">
            <v>Airbus standard config.</v>
          </cell>
          <cell r="D35" t="str">
            <v>Trent 556-61</v>
          </cell>
          <cell r="E35">
            <v>261.5</v>
          </cell>
          <cell r="F35">
            <v>365000</v>
          </cell>
          <cell r="G35">
            <v>31</v>
          </cell>
          <cell r="H35">
            <v>20</v>
          </cell>
          <cell r="I35">
            <v>314</v>
          </cell>
          <cell r="J35">
            <v>0</v>
          </cell>
          <cell r="K35">
            <v>0</v>
          </cell>
          <cell r="L35">
            <v>0</v>
          </cell>
          <cell r="M35">
            <v>60</v>
          </cell>
          <cell r="N35">
            <v>27</v>
          </cell>
          <cell r="O35">
            <v>54</v>
          </cell>
          <cell r="P35">
            <v>78</v>
          </cell>
          <cell r="Q35">
            <v>27</v>
          </cell>
          <cell r="R35">
            <v>12</v>
          </cell>
          <cell r="S35">
            <v>95.6</v>
          </cell>
          <cell r="T35">
            <v>103</v>
          </cell>
          <cell r="U35">
            <v>97.5</v>
          </cell>
          <cell r="V35">
            <v>106</v>
          </cell>
          <cell r="W35">
            <v>100.2</v>
          </cell>
          <cell r="X35">
            <v>105</v>
          </cell>
          <cell r="AE35">
            <v>36</v>
          </cell>
          <cell r="AF35">
            <v>3826</v>
          </cell>
          <cell r="AG35">
            <v>16113</v>
          </cell>
          <cell r="AH35">
            <v>843</v>
          </cell>
          <cell r="AJ35">
            <v>2.2400000000000002</v>
          </cell>
          <cell r="AK35">
            <v>2.09</v>
          </cell>
          <cell r="AL35">
            <v>1.02</v>
          </cell>
          <cell r="AM35">
            <v>0.76</v>
          </cell>
          <cell r="AN35">
            <v>2.2400000000000002</v>
          </cell>
          <cell r="AO35">
            <v>1.83</v>
          </cell>
          <cell r="AP35">
            <v>0.62</v>
          </cell>
          <cell r="AQ35">
            <v>0.23</v>
          </cell>
          <cell r="AT35">
            <v>7.8359754067415258E-2</v>
          </cell>
          <cell r="AU35">
            <v>1.6052294051517633</v>
          </cell>
          <cell r="AV35">
            <v>1.2086148990711754</v>
          </cell>
          <cell r="AW35">
            <v>1.2086148990711754</v>
          </cell>
          <cell r="AX35">
            <v>194.84374957907579</v>
          </cell>
          <cell r="AY35">
            <v>1.5570406693491181</v>
          </cell>
          <cell r="AZ35">
            <v>1.5570406693491181</v>
          </cell>
          <cell r="BA35">
            <v>23.877523113761615</v>
          </cell>
        </row>
        <row r="36">
          <cell r="B36" t="str">
            <v>Airbus A350-1000</v>
          </cell>
          <cell r="C36" t="str">
            <v>Airbus standard config.</v>
          </cell>
          <cell r="D36" t="str">
            <v>Trent XWB-97</v>
          </cell>
          <cell r="E36">
            <v>436.7</v>
          </cell>
          <cell r="F36">
            <v>316000</v>
          </cell>
          <cell r="G36">
            <v>32</v>
          </cell>
          <cell r="H36">
            <v>20</v>
          </cell>
          <cell r="I36">
            <v>315</v>
          </cell>
          <cell r="J36">
            <v>0</v>
          </cell>
          <cell r="K36">
            <v>0</v>
          </cell>
          <cell r="L36">
            <v>0</v>
          </cell>
          <cell r="M36">
            <v>60</v>
          </cell>
          <cell r="N36">
            <v>29</v>
          </cell>
          <cell r="O36">
            <v>54</v>
          </cell>
          <cell r="P36">
            <v>0</v>
          </cell>
          <cell r="Q36">
            <v>0</v>
          </cell>
          <cell r="R36">
            <v>0</v>
          </cell>
          <cell r="S36">
            <v>94.7</v>
          </cell>
          <cell r="T36">
            <v>102.1</v>
          </cell>
          <cell r="U36">
            <v>89.8</v>
          </cell>
          <cell r="V36">
            <v>99.9</v>
          </cell>
          <cell r="W36">
            <v>96.8</v>
          </cell>
          <cell r="X36">
            <v>105</v>
          </cell>
          <cell r="AE36">
            <v>451</v>
          </cell>
          <cell r="AF36">
            <v>10117</v>
          </cell>
          <cell r="AG36">
            <v>28456</v>
          </cell>
          <cell r="AH36">
            <v>1242</v>
          </cell>
          <cell r="AJ36">
            <v>10.7</v>
          </cell>
          <cell r="AK36">
            <v>8.6999999999999993</v>
          </cell>
          <cell r="AL36">
            <v>6.3</v>
          </cell>
          <cell r="AM36">
            <v>1.3</v>
          </cell>
          <cell r="AN36">
            <v>3.5070000000000001</v>
          </cell>
          <cell r="AO36">
            <v>2.8050000000000002</v>
          </cell>
          <cell r="AP36">
            <v>0.90700000000000003</v>
          </cell>
          <cell r="AQ36">
            <v>0.32500000000000001</v>
          </cell>
          <cell r="AT36">
            <v>5.5511633730830838E-2</v>
          </cell>
          <cell r="AU36">
            <v>1.6513343009971913</v>
          </cell>
          <cell r="AV36">
            <v>1.2129334174299515</v>
          </cell>
          <cell r="AW36">
            <v>1.2129334174299515</v>
          </cell>
          <cell r="AX36">
            <v>204.52717618547004</v>
          </cell>
          <cell r="AY36">
            <v>1.4396031444039483</v>
          </cell>
          <cell r="AZ36">
            <v>1.4396031444039483</v>
          </cell>
          <cell r="BA36">
            <v>22.076595706082895</v>
          </cell>
        </row>
        <row r="37">
          <cell r="B37" t="str">
            <v>Airbus A350-900</v>
          </cell>
          <cell r="C37" t="str">
            <v>Airbus standard config.</v>
          </cell>
          <cell r="D37" t="str">
            <v>Trent XWB-75</v>
          </cell>
          <cell r="E37">
            <v>334</v>
          </cell>
          <cell r="F37">
            <v>280000</v>
          </cell>
          <cell r="G37">
            <v>32</v>
          </cell>
          <cell r="H37">
            <v>20</v>
          </cell>
          <cell r="I37">
            <v>267</v>
          </cell>
          <cell r="J37">
            <v>0</v>
          </cell>
          <cell r="K37">
            <v>0</v>
          </cell>
          <cell r="L37">
            <v>0</v>
          </cell>
          <cell r="M37">
            <v>60</v>
          </cell>
          <cell r="N37">
            <v>29</v>
          </cell>
          <cell r="O37">
            <v>48</v>
          </cell>
          <cell r="P37">
            <v>0</v>
          </cell>
          <cell r="Q37">
            <v>0</v>
          </cell>
          <cell r="R37">
            <v>0</v>
          </cell>
          <cell r="S37">
            <v>89.9</v>
          </cell>
          <cell r="T37">
            <v>101.7</v>
          </cell>
          <cell r="U37">
            <v>88.5</v>
          </cell>
          <cell r="V37">
            <v>99.2</v>
          </cell>
          <cell r="W37">
            <v>96.5</v>
          </cell>
          <cell r="X37">
            <v>105</v>
          </cell>
          <cell r="AE37">
            <v>549</v>
          </cell>
          <cell r="AF37">
            <v>10674</v>
          </cell>
          <cell r="AG37">
            <v>14800</v>
          </cell>
          <cell r="AH37">
            <v>955</v>
          </cell>
          <cell r="AJ37">
            <v>6.2</v>
          </cell>
          <cell r="AK37">
            <v>7.5</v>
          </cell>
          <cell r="AL37">
            <v>5.6</v>
          </cell>
          <cell r="AM37">
            <v>1.3</v>
          </cell>
          <cell r="AN37">
            <v>2.411</v>
          </cell>
          <cell r="AO37">
            <v>1.98</v>
          </cell>
          <cell r="AP37">
            <v>0.71499999999999997</v>
          </cell>
          <cell r="AQ37">
            <v>0.27</v>
          </cell>
          <cell r="AT37">
            <v>4.588535564997364E-2</v>
          </cell>
          <cell r="AU37">
            <v>1.6513343009971913</v>
          </cell>
          <cell r="AV37">
            <v>1.2129334174299515</v>
          </cell>
          <cell r="AW37">
            <v>1.2129334174299515</v>
          </cell>
          <cell r="AX37">
            <v>204.52717618547004</v>
          </cell>
          <cell r="AY37">
            <v>1.4396031444039483</v>
          </cell>
          <cell r="AZ37">
            <v>1.4396031444039483</v>
          </cell>
          <cell r="BA37">
            <v>22.076595706082895</v>
          </cell>
        </row>
        <row r="38">
          <cell r="B38" t="str">
            <v>Airbus A350-900ULR</v>
          </cell>
          <cell r="C38" t="str">
            <v>Airbus standard config.</v>
          </cell>
          <cell r="D38" t="str">
            <v>Trent XWB-75</v>
          </cell>
          <cell r="E38">
            <v>334</v>
          </cell>
          <cell r="F38">
            <v>280000</v>
          </cell>
          <cell r="G38">
            <v>32</v>
          </cell>
          <cell r="H38">
            <v>20</v>
          </cell>
          <cell r="I38">
            <v>267</v>
          </cell>
          <cell r="J38">
            <v>0</v>
          </cell>
          <cell r="K38">
            <v>0</v>
          </cell>
          <cell r="L38">
            <v>0</v>
          </cell>
          <cell r="M38">
            <v>60</v>
          </cell>
          <cell r="N38">
            <v>29</v>
          </cell>
          <cell r="O38">
            <v>48</v>
          </cell>
          <cell r="P38">
            <v>0</v>
          </cell>
          <cell r="Q38">
            <v>0</v>
          </cell>
          <cell r="R38">
            <v>0</v>
          </cell>
          <cell r="S38">
            <v>89.9</v>
          </cell>
          <cell r="T38">
            <v>101.7</v>
          </cell>
          <cell r="U38">
            <v>88.5</v>
          </cell>
          <cell r="V38">
            <v>99.2</v>
          </cell>
          <cell r="W38">
            <v>96.5</v>
          </cell>
          <cell r="X38">
            <v>105</v>
          </cell>
          <cell r="AE38">
            <v>549</v>
          </cell>
          <cell r="AF38">
            <v>10674</v>
          </cell>
          <cell r="AG38">
            <v>14800</v>
          </cell>
          <cell r="AH38">
            <v>955</v>
          </cell>
          <cell r="AJ38">
            <v>6.2</v>
          </cell>
          <cell r="AK38">
            <v>7.5</v>
          </cell>
          <cell r="AL38">
            <v>5.6</v>
          </cell>
          <cell r="AM38">
            <v>1.3</v>
          </cell>
          <cell r="AN38">
            <v>2.411</v>
          </cell>
          <cell r="AO38">
            <v>1.98</v>
          </cell>
          <cell r="AP38">
            <v>0.71499999999999997</v>
          </cell>
          <cell r="AQ38">
            <v>0.27</v>
          </cell>
          <cell r="AT38">
            <v>4.6511896278108256E-2</v>
          </cell>
          <cell r="AU38">
            <v>1.6513343009971913</v>
          </cell>
          <cell r="AV38">
            <v>1.2129334174299515</v>
          </cell>
          <cell r="AW38">
            <v>1.2129334174299515</v>
          </cell>
          <cell r="AX38">
            <v>204.52717618547004</v>
          </cell>
          <cell r="AY38">
            <v>1.4396031444039483</v>
          </cell>
          <cell r="AZ38">
            <v>1.4396031444039483</v>
          </cell>
          <cell r="BA38">
            <v>22.076595706082895</v>
          </cell>
        </row>
        <row r="39">
          <cell r="B39" t="str">
            <v>Airbus A380-800</v>
          </cell>
          <cell r="C39" t="str">
            <v>Airbus standard config.</v>
          </cell>
          <cell r="D39" t="str">
            <v>GP7270</v>
          </cell>
          <cell r="E39">
            <v>332.39</v>
          </cell>
          <cell r="F39">
            <v>575000</v>
          </cell>
          <cell r="G39">
            <v>32</v>
          </cell>
          <cell r="H39">
            <v>21</v>
          </cell>
          <cell r="I39">
            <v>437</v>
          </cell>
          <cell r="J39">
            <v>0</v>
          </cell>
          <cell r="K39">
            <v>0</v>
          </cell>
          <cell r="L39">
            <v>0</v>
          </cell>
          <cell r="M39">
            <v>60</v>
          </cell>
          <cell r="N39">
            <v>27</v>
          </cell>
          <cell r="O39">
            <v>96</v>
          </cell>
          <cell r="P39">
            <v>78</v>
          </cell>
          <cell r="Q39">
            <v>28</v>
          </cell>
          <cell r="R39">
            <v>22</v>
          </cell>
          <cell r="S39">
            <v>94.4</v>
          </cell>
          <cell r="T39">
            <v>103</v>
          </cell>
          <cell r="U39">
            <v>95.9</v>
          </cell>
          <cell r="V39">
            <v>106</v>
          </cell>
          <cell r="W39">
            <v>97.3</v>
          </cell>
          <cell r="X39">
            <v>105</v>
          </cell>
          <cell r="AE39">
            <v>1498</v>
          </cell>
          <cell r="AF39">
            <v>12497</v>
          </cell>
          <cell r="AG39">
            <v>17713</v>
          </cell>
          <cell r="AH39">
            <v>932</v>
          </cell>
          <cell r="AJ39">
            <v>4.0599999999999996</v>
          </cell>
          <cell r="AK39">
            <v>3.87</v>
          </cell>
          <cell r="AL39">
            <v>2.2000000000000002</v>
          </cell>
          <cell r="AM39">
            <v>3.08</v>
          </cell>
          <cell r="AN39">
            <v>2.637</v>
          </cell>
          <cell r="AO39">
            <v>2.169</v>
          </cell>
          <cell r="AP39">
            <v>0.71099999999999997</v>
          </cell>
          <cell r="AQ39">
            <v>0.23400000000000001</v>
          </cell>
          <cell r="AT39">
            <v>9.1689426131764937E-2</v>
          </cell>
          <cell r="AU39">
            <v>1.6513343009971913</v>
          </cell>
          <cell r="AV39">
            <v>1.2129334174299515</v>
          </cell>
          <cell r="AW39">
            <v>1.2129334174299515</v>
          </cell>
          <cell r="AX39">
            <v>204.52717618547004</v>
          </cell>
          <cell r="AY39">
            <v>1.4396031444039483</v>
          </cell>
          <cell r="AZ39">
            <v>1.4396031444039483</v>
          </cell>
          <cell r="BA39">
            <v>22.076595706082895</v>
          </cell>
        </row>
        <row r="40">
          <cell r="B40" t="str">
            <v>Boeing 737-900</v>
          </cell>
          <cell r="C40" t="str">
            <v>Alaska Airlines</v>
          </cell>
          <cell r="D40" t="str">
            <v>CFM56-7B24</v>
          </cell>
          <cell r="E40">
            <v>107.65</v>
          </cell>
          <cell r="F40">
            <v>74389</v>
          </cell>
          <cell r="G40">
            <v>31</v>
          </cell>
          <cell r="H40">
            <v>17</v>
          </cell>
          <cell r="I40">
            <v>138</v>
          </cell>
          <cell r="J40">
            <v>35</v>
          </cell>
          <cell r="K40">
            <v>17</v>
          </cell>
          <cell r="L40">
            <v>24</v>
          </cell>
          <cell r="M40">
            <v>0</v>
          </cell>
          <cell r="N40">
            <v>0</v>
          </cell>
          <cell r="O40">
            <v>0</v>
          </cell>
          <cell r="P40">
            <v>41</v>
          </cell>
          <cell r="Q40">
            <v>21</v>
          </cell>
          <cell r="R40">
            <v>16</v>
          </cell>
          <cell r="S40">
            <v>92.3</v>
          </cell>
          <cell r="T40">
            <v>97</v>
          </cell>
          <cell r="U40">
            <v>87.9</v>
          </cell>
          <cell r="V40">
            <v>91.8</v>
          </cell>
          <cell r="W40">
            <v>96</v>
          </cell>
          <cell r="X40">
            <v>100.7</v>
          </cell>
          <cell r="AE40">
            <v>432</v>
          </cell>
          <cell r="AF40">
            <v>3998</v>
          </cell>
          <cell r="AG40">
            <v>5149</v>
          </cell>
          <cell r="AH40">
            <v>412</v>
          </cell>
          <cell r="AJ40">
            <v>12.6</v>
          </cell>
          <cell r="AK40">
            <v>11.4</v>
          </cell>
          <cell r="AL40">
            <v>0</v>
          </cell>
          <cell r="AM40">
            <v>0</v>
          </cell>
          <cell r="AN40">
            <v>1.103</v>
          </cell>
          <cell r="AO40">
            <v>0.91</v>
          </cell>
          <cell r="AP40">
            <v>0.316</v>
          </cell>
          <cell r="AQ40">
            <v>0.109</v>
          </cell>
          <cell r="AT40">
            <v>1.998788652812248E-2</v>
          </cell>
          <cell r="AU40">
            <v>1.5426742566452178</v>
          </cell>
          <cell r="AV40">
            <v>1.1846678234921715</v>
          </cell>
          <cell r="AW40">
            <v>1.1846678234921715</v>
          </cell>
          <cell r="AX40">
            <v>184.13751182042103</v>
          </cell>
          <cell r="AY40">
            <v>1.6486029757617855</v>
          </cell>
          <cell r="AZ40">
            <v>1.6486029757617855</v>
          </cell>
          <cell r="BA40">
            <v>25.281648985844143</v>
          </cell>
        </row>
        <row r="41">
          <cell r="B41" t="str">
            <v>Airbus A321</v>
          </cell>
          <cell r="C41" t="str">
            <v>American Airlines</v>
          </cell>
          <cell r="D41" t="str">
            <v>V2533-A5</v>
          </cell>
          <cell r="E41">
            <v>140.56</v>
          </cell>
          <cell r="F41">
            <v>93500</v>
          </cell>
          <cell r="G41">
            <v>32</v>
          </cell>
          <cell r="H41">
            <v>18.100000000000001</v>
          </cell>
          <cell r="I41">
            <v>153</v>
          </cell>
          <cell r="J41">
            <v>34</v>
          </cell>
          <cell r="K41">
            <v>18.100000000000001</v>
          </cell>
          <cell r="L41">
            <v>18</v>
          </cell>
          <cell r="M41">
            <v>0</v>
          </cell>
          <cell r="N41">
            <v>0</v>
          </cell>
          <cell r="O41">
            <v>0</v>
          </cell>
          <cell r="P41">
            <v>36</v>
          </cell>
          <cell r="Q41">
            <v>21</v>
          </cell>
          <cell r="R41">
            <v>16</v>
          </cell>
          <cell r="S41">
            <v>94.7</v>
          </cell>
          <cell r="T41">
            <v>97.6</v>
          </cell>
          <cell r="U41">
            <v>89.2</v>
          </cell>
          <cell r="V41">
            <v>92.8</v>
          </cell>
          <cell r="W41">
            <v>95.9</v>
          </cell>
          <cell r="X41">
            <v>101.3</v>
          </cell>
          <cell r="AE41">
            <v>35</v>
          </cell>
          <cell r="AF41">
            <v>2241</v>
          </cell>
          <cell r="AG41">
            <v>8646</v>
          </cell>
          <cell r="AH41">
            <v>517</v>
          </cell>
          <cell r="AJ41">
            <v>4.7</v>
          </cell>
          <cell r="AK41">
            <v>6.2</v>
          </cell>
          <cell r="AL41">
            <v>4.8</v>
          </cell>
          <cell r="AM41">
            <v>2.4</v>
          </cell>
          <cell r="AN41">
            <v>1.4259999999999999</v>
          </cell>
          <cell r="AO41">
            <v>1.1447000000000001</v>
          </cell>
          <cell r="AP41">
            <v>0.3901</v>
          </cell>
          <cell r="AQ41">
            <v>0.1363</v>
          </cell>
          <cell r="AT41">
            <v>2.7628795708091864E-2</v>
          </cell>
          <cell r="AU41">
            <v>1.5331822002957392</v>
          </cell>
          <cell r="AV41">
            <v>1.1810341179343091</v>
          </cell>
          <cell r="AW41">
            <v>1.1810341179343091</v>
          </cell>
          <cell r="AX41">
            <v>182.51295789444902</v>
          </cell>
          <cell r="AY41">
            <v>1.662496549555577</v>
          </cell>
          <cell r="AZ41">
            <v>1.662496549555577</v>
          </cell>
          <cell r="BA41">
            <v>25.494709656592505</v>
          </cell>
        </row>
        <row r="42">
          <cell r="B42" t="str">
            <v>Boeing 737 MAX 8</v>
          </cell>
          <cell r="C42" t="str">
            <v>American Airlines</v>
          </cell>
          <cell r="D42" t="str">
            <v>LEAP-1B28</v>
          </cell>
          <cell r="E42">
            <v>130.4</v>
          </cell>
          <cell r="F42">
            <v>82644</v>
          </cell>
          <cell r="G42">
            <v>30</v>
          </cell>
          <cell r="H42">
            <v>17</v>
          </cell>
          <cell r="I42">
            <v>126</v>
          </cell>
          <cell r="J42">
            <v>33</v>
          </cell>
          <cell r="K42">
            <v>17</v>
          </cell>
          <cell r="L42">
            <v>30</v>
          </cell>
          <cell r="M42">
            <v>0</v>
          </cell>
          <cell r="N42">
            <v>0</v>
          </cell>
          <cell r="O42">
            <v>0</v>
          </cell>
          <cell r="P42">
            <v>37</v>
          </cell>
          <cell r="Q42">
            <v>21</v>
          </cell>
          <cell r="R42">
            <v>16</v>
          </cell>
          <cell r="S42">
            <v>88.5</v>
          </cell>
          <cell r="T42">
            <v>97.2</v>
          </cell>
          <cell r="U42">
            <v>82.6</v>
          </cell>
          <cell r="V42">
            <v>92.1</v>
          </cell>
          <cell r="W42">
            <v>94.2</v>
          </cell>
          <cell r="X42">
            <v>100.9</v>
          </cell>
          <cell r="AE42">
            <v>97</v>
          </cell>
          <cell r="AF42">
            <v>2339</v>
          </cell>
          <cell r="AG42">
            <v>7534</v>
          </cell>
          <cell r="AH42">
            <v>378</v>
          </cell>
          <cell r="AJ42">
            <v>0.94</v>
          </cell>
          <cell r="AK42">
            <v>0.85</v>
          </cell>
          <cell r="AL42">
            <v>1.07</v>
          </cell>
          <cell r="AM42">
            <v>0.8</v>
          </cell>
          <cell r="AN42">
            <v>1.0609999999999999</v>
          </cell>
          <cell r="AO42">
            <v>0.86399999999999999</v>
          </cell>
          <cell r="AP42">
            <v>0.27700000000000002</v>
          </cell>
          <cell r="AQ42">
            <v>9.8000000000000004E-2</v>
          </cell>
          <cell r="AT42">
            <v>5.1951023443360146E-2</v>
          </cell>
          <cell r="AU42">
            <v>1.5520219521772329</v>
          </cell>
          <cell r="AV42">
            <v>1.1882462655027639</v>
          </cell>
          <cell r="AW42">
            <v>1.1882462655027639</v>
          </cell>
          <cell r="AX42">
            <v>185.73735856766029</v>
          </cell>
          <cell r="AY42">
            <v>1.6349207036708622</v>
          </cell>
          <cell r="AZ42">
            <v>1.6349207036708622</v>
          </cell>
          <cell r="BA42">
            <v>25.071828668025233</v>
          </cell>
        </row>
        <row r="43">
          <cell r="B43" t="str">
            <v>Boeing 737-800</v>
          </cell>
          <cell r="C43" t="str">
            <v>American Airlines</v>
          </cell>
          <cell r="D43" t="str">
            <v>CFM56-7B24</v>
          </cell>
          <cell r="E43">
            <v>107.65</v>
          </cell>
          <cell r="F43">
            <v>79016</v>
          </cell>
          <cell r="G43">
            <v>30</v>
          </cell>
          <cell r="H43">
            <v>17</v>
          </cell>
          <cell r="I43">
            <v>126</v>
          </cell>
          <cell r="J43">
            <v>33</v>
          </cell>
          <cell r="K43">
            <v>17</v>
          </cell>
          <cell r="L43">
            <v>30</v>
          </cell>
          <cell r="M43">
            <v>0</v>
          </cell>
          <cell r="N43">
            <v>0</v>
          </cell>
          <cell r="O43">
            <v>0</v>
          </cell>
          <cell r="P43">
            <v>37</v>
          </cell>
          <cell r="Q43">
            <v>21</v>
          </cell>
          <cell r="R43">
            <v>16</v>
          </cell>
          <cell r="S43">
            <v>92.3</v>
          </cell>
          <cell r="T43">
            <v>97</v>
          </cell>
          <cell r="U43">
            <v>87.9</v>
          </cell>
          <cell r="V43">
            <v>91.8</v>
          </cell>
          <cell r="W43">
            <v>96</v>
          </cell>
          <cell r="X43">
            <v>100.7</v>
          </cell>
          <cell r="AE43">
            <v>432</v>
          </cell>
          <cell r="AF43">
            <v>3998</v>
          </cell>
          <cell r="AG43">
            <v>5149</v>
          </cell>
          <cell r="AH43">
            <v>412</v>
          </cell>
          <cell r="AJ43">
            <v>12.6</v>
          </cell>
          <cell r="AK43">
            <v>11.4</v>
          </cell>
          <cell r="AL43">
            <v>0</v>
          </cell>
          <cell r="AM43">
            <v>0</v>
          </cell>
          <cell r="AN43">
            <v>1.103</v>
          </cell>
          <cell r="AO43">
            <v>0.91</v>
          </cell>
          <cell r="AP43">
            <v>0.316</v>
          </cell>
          <cell r="AQ43">
            <v>0.109</v>
          </cell>
          <cell r="AT43">
            <v>2.5518577028328184E-2</v>
          </cell>
          <cell r="AU43">
            <v>1.5426742566452178</v>
          </cell>
          <cell r="AV43">
            <v>1.1846678234921715</v>
          </cell>
          <cell r="AW43">
            <v>1.1846678234921715</v>
          </cell>
          <cell r="AX43">
            <v>184.13751182042103</v>
          </cell>
          <cell r="AY43">
            <v>1.6486029757617855</v>
          </cell>
          <cell r="AZ43">
            <v>1.6486029757617855</v>
          </cell>
          <cell r="BA43">
            <v>25.281648985844143</v>
          </cell>
        </row>
        <row r="44">
          <cell r="B44" t="str">
            <v>Embraer ERJ-145</v>
          </cell>
          <cell r="C44" t="str">
            <v>American Airlines</v>
          </cell>
          <cell r="D44" t="str">
            <v>AE3007 A1</v>
          </cell>
          <cell r="E44">
            <v>34.909999999999997</v>
          </cell>
          <cell r="F44">
            <v>20600</v>
          </cell>
          <cell r="G44">
            <v>31</v>
          </cell>
          <cell r="H44">
            <v>17</v>
          </cell>
          <cell r="I44">
            <v>47</v>
          </cell>
          <cell r="J44">
            <v>33</v>
          </cell>
          <cell r="K44">
            <v>17</v>
          </cell>
          <cell r="L44">
            <v>3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84.9</v>
          </cell>
          <cell r="T44">
            <v>94</v>
          </cell>
          <cell r="U44">
            <v>81</v>
          </cell>
          <cell r="V44">
            <v>89</v>
          </cell>
          <cell r="W44">
            <v>92.5</v>
          </cell>
          <cell r="X44">
            <v>98</v>
          </cell>
          <cell r="AE44">
            <v>307</v>
          </cell>
          <cell r="AF44">
            <v>1865</v>
          </cell>
          <cell r="AG44">
            <v>1456</v>
          </cell>
          <cell r="AH44">
            <v>157</v>
          </cell>
          <cell r="AJ44">
            <v>1</v>
          </cell>
          <cell r="AK44">
            <v>0.01</v>
          </cell>
          <cell r="AL44">
            <v>0.01</v>
          </cell>
          <cell r="AM44">
            <v>0.01</v>
          </cell>
          <cell r="AN44">
            <v>0.3826</v>
          </cell>
          <cell r="AO44">
            <v>0.318</v>
          </cell>
          <cell r="AP44">
            <v>0.113</v>
          </cell>
          <cell r="AQ44">
            <v>4.6100000000000002E-2</v>
          </cell>
          <cell r="AT44">
            <v>3.1566493682729305E-2</v>
          </cell>
          <cell r="AU44">
            <v>1.4730320389050195</v>
          </cell>
          <cell r="AV44">
            <v>1.1580077085131542</v>
          </cell>
          <cell r="AW44">
            <v>1.1580077085131542</v>
          </cell>
          <cell r="AX44">
            <v>172.21833076230956</v>
          </cell>
          <cell r="AY44">
            <v>1.7505386634265436</v>
          </cell>
          <cell r="AZ44">
            <v>1.7505386634265436</v>
          </cell>
          <cell r="BA44">
            <v>26.844852687742247</v>
          </cell>
        </row>
        <row r="45">
          <cell r="B45" t="str">
            <v>Boeing 777-200</v>
          </cell>
          <cell r="C45" t="str">
            <v>ANA</v>
          </cell>
          <cell r="D45" t="str">
            <v>PW4090</v>
          </cell>
          <cell r="E45">
            <v>408.3</v>
          </cell>
          <cell r="F45">
            <v>242630</v>
          </cell>
          <cell r="G45">
            <v>31</v>
          </cell>
          <cell r="H45">
            <v>17</v>
          </cell>
          <cell r="I45">
            <v>381</v>
          </cell>
          <cell r="J45">
            <v>0</v>
          </cell>
          <cell r="K45">
            <v>0</v>
          </cell>
          <cell r="L45">
            <v>0</v>
          </cell>
          <cell r="M45">
            <v>50</v>
          </cell>
          <cell r="N45">
            <v>20</v>
          </cell>
          <cell r="O45">
            <v>21</v>
          </cell>
          <cell r="P45">
            <v>0</v>
          </cell>
          <cell r="Q45">
            <v>0</v>
          </cell>
          <cell r="R45">
            <v>0</v>
          </cell>
          <cell r="S45">
            <v>98.1</v>
          </cell>
          <cell r="T45">
            <v>101.9</v>
          </cell>
          <cell r="U45">
            <v>93.9</v>
          </cell>
          <cell r="V45">
            <v>99.5</v>
          </cell>
          <cell r="W45">
            <v>99.5</v>
          </cell>
          <cell r="X45">
            <v>105</v>
          </cell>
          <cell r="AE45">
            <v>384.4</v>
          </cell>
          <cell r="AF45">
            <v>6592.1</v>
          </cell>
          <cell r="AG45">
            <v>31121.8</v>
          </cell>
          <cell r="AH45">
            <v>1322.6</v>
          </cell>
          <cell r="AJ45">
            <v>10.51</v>
          </cell>
          <cell r="AK45">
            <v>4.29</v>
          </cell>
          <cell r="AL45">
            <v>0.7</v>
          </cell>
          <cell r="AM45">
            <v>0.37</v>
          </cell>
          <cell r="AN45">
            <v>3.9260000000000002</v>
          </cell>
          <cell r="AO45">
            <v>2.996</v>
          </cell>
          <cell r="AP45">
            <v>0.97899999999999998</v>
          </cell>
          <cell r="AQ45">
            <v>0.33800000000000002</v>
          </cell>
          <cell r="AT45">
            <v>4.3396193320465626E-2</v>
          </cell>
          <cell r="AU45">
            <v>1.6369561075759755</v>
          </cell>
          <cell r="AV45">
            <v>1.2138321074811573</v>
          </cell>
          <cell r="AW45">
            <v>1.2138321074811573</v>
          </cell>
          <cell r="AX45">
            <v>201.20537463592822</v>
          </cell>
          <cell r="AY45">
            <v>1.4850206028140427</v>
          </cell>
          <cell r="AZ45">
            <v>1.4850206028140427</v>
          </cell>
          <cell r="BA45">
            <v>22.773081311310317</v>
          </cell>
        </row>
        <row r="46">
          <cell r="B46" t="str">
            <v>Boeing 717-200</v>
          </cell>
          <cell r="C46" t="str">
            <v>Boeing standard config.</v>
          </cell>
          <cell r="D46" t="str">
            <v>BR700-715A1-30</v>
          </cell>
          <cell r="E46">
            <v>84.16</v>
          </cell>
          <cell r="F46">
            <v>54884</v>
          </cell>
          <cell r="G46">
            <v>32</v>
          </cell>
          <cell r="H46">
            <v>20</v>
          </cell>
          <cell r="I46">
            <v>98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36</v>
          </cell>
          <cell r="Q46">
            <v>24</v>
          </cell>
          <cell r="R46">
            <v>8</v>
          </cell>
          <cell r="S46">
            <v>89</v>
          </cell>
          <cell r="T46">
            <v>95.7</v>
          </cell>
          <cell r="U46">
            <v>84</v>
          </cell>
          <cell r="V46">
            <v>89.8</v>
          </cell>
          <cell r="W46">
            <v>91.6</v>
          </cell>
          <cell r="X46">
            <v>99.5</v>
          </cell>
          <cell r="AE46">
            <v>34</v>
          </cell>
          <cell r="AF46">
            <v>2753</v>
          </cell>
          <cell r="AG46">
            <v>4002</v>
          </cell>
          <cell r="AH46">
            <v>335</v>
          </cell>
          <cell r="AJ46">
            <v>3.24</v>
          </cell>
          <cell r="AK46">
            <v>2.73</v>
          </cell>
          <cell r="AL46">
            <v>0.97</v>
          </cell>
          <cell r="AM46">
            <v>0.91</v>
          </cell>
          <cell r="AN46">
            <v>0.83599999999999997</v>
          </cell>
          <cell r="AO46">
            <v>0.69</v>
          </cell>
          <cell r="AP46">
            <v>0.245</v>
          </cell>
          <cell r="AQ46">
            <v>9.6000000000000002E-2</v>
          </cell>
          <cell r="AT46">
            <v>3.5386213903179607E-2</v>
          </cell>
          <cell r="AU46">
            <v>1.5137534194386131</v>
          </cell>
          <cell r="AV46">
            <v>1.1735964809899282</v>
          </cell>
          <cell r="AW46">
            <v>1.1735964809899282</v>
          </cell>
          <cell r="AX46">
            <v>179.18774562682211</v>
          </cell>
          <cell r="AY46">
            <v>1.6909345603114563</v>
          </cell>
          <cell r="AZ46">
            <v>1.6909345603114563</v>
          </cell>
          <cell r="BA46">
            <v>25.930812112038812</v>
          </cell>
        </row>
        <row r="47">
          <cell r="B47" t="str">
            <v>Boeing 737 MAX 8</v>
          </cell>
          <cell r="C47" t="str">
            <v>Boeing standard config.</v>
          </cell>
          <cell r="D47" t="str">
            <v>LEAP-1B28</v>
          </cell>
          <cell r="E47">
            <v>130.4</v>
          </cell>
          <cell r="F47">
            <v>82644</v>
          </cell>
          <cell r="G47">
            <v>30</v>
          </cell>
          <cell r="H47">
            <v>19</v>
          </cell>
          <cell r="I47">
            <v>166</v>
          </cell>
          <cell r="J47">
            <v>0</v>
          </cell>
          <cell r="K47">
            <v>0</v>
          </cell>
          <cell r="L47">
            <v>0</v>
          </cell>
          <cell r="M47">
            <v>36</v>
          </cell>
          <cell r="N47">
            <v>19</v>
          </cell>
          <cell r="O47">
            <v>12</v>
          </cell>
          <cell r="P47">
            <v>0</v>
          </cell>
          <cell r="Q47">
            <v>0</v>
          </cell>
          <cell r="R47">
            <v>0</v>
          </cell>
          <cell r="S47">
            <v>88.5</v>
          </cell>
          <cell r="T47">
            <v>97.2</v>
          </cell>
          <cell r="U47">
            <v>82.6</v>
          </cell>
          <cell r="V47">
            <v>92.1</v>
          </cell>
          <cell r="W47">
            <v>94.2</v>
          </cell>
          <cell r="X47">
            <v>100.9</v>
          </cell>
          <cell r="AE47">
            <v>97</v>
          </cell>
          <cell r="AF47">
            <v>2339</v>
          </cell>
          <cell r="AG47">
            <v>7534</v>
          </cell>
          <cell r="AH47">
            <v>378</v>
          </cell>
          <cell r="AJ47">
            <v>0.94</v>
          </cell>
          <cell r="AK47">
            <v>0.85</v>
          </cell>
          <cell r="AL47">
            <v>1.07</v>
          </cell>
          <cell r="AM47">
            <v>0.8</v>
          </cell>
          <cell r="AN47">
            <v>1.0609999999999999</v>
          </cell>
          <cell r="AO47">
            <v>0.86399999999999999</v>
          </cell>
          <cell r="AP47">
            <v>0.27700000000000002</v>
          </cell>
          <cell r="AQ47">
            <v>9.8000000000000004E-2</v>
          </cell>
          <cell r="AT47">
            <v>5.1951023443360146E-2</v>
          </cell>
          <cell r="AU47">
            <v>1.5520219521772329</v>
          </cell>
          <cell r="AV47">
            <v>1.1882462655027639</v>
          </cell>
          <cell r="AW47">
            <v>1.1882462655027639</v>
          </cell>
          <cell r="AX47">
            <v>185.73735856766029</v>
          </cell>
          <cell r="AY47">
            <v>1.6349207036708622</v>
          </cell>
          <cell r="AZ47">
            <v>1.6349207036708622</v>
          </cell>
          <cell r="BA47">
            <v>25.071828668025233</v>
          </cell>
        </row>
        <row r="48">
          <cell r="B48" t="str">
            <v>Boeing 737 MAX 9</v>
          </cell>
          <cell r="C48" t="str">
            <v>Boeing standard config.</v>
          </cell>
          <cell r="D48" t="str">
            <v>LEAP-1B28</v>
          </cell>
          <cell r="E48">
            <v>130.4</v>
          </cell>
          <cell r="F48">
            <v>88314</v>
          </cell>
          <cell r="G48">
            <v>30</v>
          </cell>
          <cell r="H48">
            <v>19</v>
          </cell>
          <cell r="I48">
            <v>177</v>
          </cell>
          <cell r="J48">
            <v>0</v>
          </cell>
          <cell r="K48">
            <v>0</v>
          </cell>
          <cell r="L48">
            <v>0</v>
          </cell>
          <cell r="M48">
            <v>36</v>
          </cell>
          <cell r="N48">
            <v>19</v>
          </cell>
          <cell r="O48">
            <v>18</v>
          </cell>
          <cell r="P48">
            <v>0</v>
          </cell>
          <cell r="Q48">
            <v>0</v>
          </cell>
          <cell r="R48">
            <v>0</v>
          </cell>
          <cell r="S48">
            <v>88.5</v>
          </cell>
          <cell r="T48">
            <v>97.2</v>
          </cell>
          <cell r="U48">
            <v>82.6</v>
          </cell>
          <cell r="V48">
            <v>92.1</v>
          </cell>
          <cell r="W48">
            <v>94.2</v>
          </cell>
          <cell r="X48">
            <v>100.9</v>
          </cell>
          <cell r="AE48">
            <v>97</v>
          </cell>
          <cell r="AF48">
            <v>2339</v>
          </cell>
          <cell r="AG48">
            <v>7534</v>
          </cell>
          <cell r="AH48">
            <v>378</v>
          </cell>
          <cell r="AJ48">
            <v>0.94</v>
          </cell>
          <cell r="AK48">
            <v>0.85</v>
          </cell>
          <cell r="AL48">
            <v>1.07</v>
          </cell>
          <cell r="AM48">
            <v>0.8</v>
          </cell>
          <cell r="AN48">
            <v>1.0609999999999999</v>
          </cell>
          <cell r="AO48">
            <v>0.86399999999999999</v>
          </cell>
          <cell r="AP48">
            <v>0.27700000000000002</v>
          </cell>
          <cell r="AQ48">
            <v>9.8000000000000004E-2</v>
          </cell>
          <cell r="AT48">
            <v>6.0041497009342366E-2</v>
          </cell>
          <cell r="AU48">
            <v>1.5520219521772329</v>
          </cell>
          <cell r="AV48">
            <v>1.1882462655027639</v>
          </cell>
          <cell r="AW48">
            <v>1.1882462655027639</v>
          </cell>
          <cell r="AX48">
            <v>185.73735856766029</v>
          </cell>
          <cell r="AY48">
            <v>1.6349207036708622</v>
          </cell>
          <cell r="AZ48">
            <v>1.6349207036708622</v>
          </cell>
          <cell r="BA48">
            <v>25.071828668025233</v>
          </cell>
        </row>
        <row r="49">
          <cell r="B49" t="str">
            <v>Boeing 737-300</v>
          </cell>
          <cell r="C49" t="str">
            <v>Boeing standard config.</v>
          </cell>
          <cell r="D49" t="str">
            <v>CFM56-3B2</v>
          </cell>
          <cell r="E49">
            <v>98.3</v>
          </cell>
          <cell r="F49">
            <v>61235</v>
          </cell>
          <cell r="G49">
            <v>32</v>
          </cell>
          <cell r="H49">
            <v>19</v>
          </cell>
          <cell r="I49">
            <v>120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36</v>
          </cell>
          <cell r="Q49">
            <v>28</v>
          </cell>
          <cell r="R49">
            <v>8</v>
          </cell>
          <cell r="S49">
            <v>91.8</v>
          </cell>
          <cell r="T49">
            <v>96.2</v>
          </cell>
          <cell r="U49">
            <v>84.6</v>
          </cell>
          <cell r="V49">
            <v>90.5</v>
          </cell>
          <cell r="W49">
            <v>99.8</v>
          </cell>
          <cell r="X49">
            <v>100</v>
          </cell>
          <cell r="AE49">
            <v>337</v>
          </cell>
          <cell r="AF49">
            <v>5988</v>
          </cell>
          <cell r="AG49">
            <v>4213</v>
          </cell>
          <cell r="AH49">
            <v>421</v>
          </cell>
          <cell r="AJ49">
            <v>6</v>
          </cell>
          <cell r="AK49">
            <v>3</v>
          </cell>
          <cell r="AL49">
            <v>2.5</v>
          </cell>
          <cell r="AM49">
            <v>2.2000000000000002</v>
          </cell>
          <cell r="AN49">
            <v>1.056</v>
          </cell>
          <cell r="AO49">
            <v>0.878</v>
          </cell>
          <cell r="AP49">
            <v>0.314</v>
          </cell>
          <cell r="AQ49">
            <v>0.11899999999999999</v>
          </cell>
          <cell r="AT49">
            <v>2.0926350671049958E-2</v>
          </cell>
          <cell r="AU49">
            <v>1.4624447714410933</v>
          </cell>
          <cell r="AV49">
            <v>1.1539547392502445</v>
          </cell>
          <cell r="AW49">
            <v>1.1539547392502445</v>
          </cell>
          <cell r="AX49">
            <v>170.40633278309599</v>
          </cell>
          <cell r="AY49">
            <v>1.7660353036032257</v>
          </cell>
          <cell r="AZ49">
            <v>1.7660353036032257</v>
          </cell>
          <cell r="BA49">
            <v>27.082496694920973</v>
          </cell>
        </row>
        <row r="50">
          <cell r="B50" t="str">
            <v>Boeing 737-400</v>
          </cell>
          <cell r="C50" t="str">
            <v>Boeing standard config.</v>
          </cell>
          <cell r="D50" t="str">
            <v>CFM56-3B2</v>
          </cell>
          <cell r="E50">
            <v>98.3</v>
          </cell>
          <cell r="F50">
            <v>68039</v>
          </cell>
          <cell r="G50">
            <v>32</v>
          </cell>
          <cell r="H50">
            <v>19</v>
          </cell>
          <cell r="I50">
            <v>138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36</v>
          </cell>
          <cell r="Q50">
            <v>28</v>
          </cell>
          <cell r="R50">
            <v>8</v>
          </cell>
          <cell r="S50">
            <v>91.8</v>
          </cell>
          <cell r="T50">
            <v>96.2</v>
          </cell>
          <cell r="U50">
            <v>84.6</v>
          </cell>
          <cell r="V50">
            <v>90.5</v>
          </cell>
          <cell r="W50">
            <v>99.8</v>
          </cell>
          <cell r="X50">
            <v>100</v>
          </cell>
          <cell r="AE50">
            <v>337</v>
          </cell>
          <cell r="AF50">
            <v>5988</v>
          </cell>
          <cell r="AG50">
            <v>4213</v>
          </cell>
          <cell r="AH50">
            <v>421</v>
          </cell>
          <cell r="AJ50">
            <v>6</v>
          </cell>
          <cell r="AK50">
            <v>3</v>
          </cell>
          <cell r="AL50">
            <v>2.5</v>
          </cell>
          <cell r="AM50">
            <v>2.2000000000000002</v>
          </cell>
          <cell r="AN50">
            <v>1.056</v>
          </cell>
          <cell r="AO50">
            <v>0.878</v>
          </cell>
          <cell r="AP50">
            <v>0.314</v>
          </cell>
          <cell r="AQ50">
            <v>0.11899999999999999</v>
          </cell>
          <cell r="AT50">
            <v>2.503422985600905E-2</v>
          </cell>
          <cell r="AU50">
            <v>1.4624447714410933</v>
          </cell>
          <cell r="AV50">
            <v>1.1539547392502445</v>
          </cell>
          <cell r="AW50">
            <v>1.1539547392502445</v>
          </cell>
          <cell r="AX50">
            <v>170.40633278309599</v>
          </cell>
          <cell r="AY50">
            <v>1.7660353036032257</v>
          </cell>
          <cell r="AZ50">
            <v>1.7660353036032257</v>
          </cell>
          <cell r="BA50">
            <v>27.082496694920973</v>
          </cell>
        </row>
        <row r="51">
          <cell r="B51" t="str">
            <v>Boeing 737-500</v>
          </cell>
          <cell r="C51" t="str">
            <v>Boeing standard config.</v>
          </cell>
          <cell r="D51" t="str">
            <v>CFM56-3B2</v>
          </cell>
          <cell r="E51">
            <v>98.3</v>
          </cell>
          <cell r="F51">
            <v>60555</v>
          </cell>
          <cell r="G51">
            <v>32</v>
          </cell>
          <cell r="H51">
            <v>19</v>
          </cell>
          <cell r="I51">
            <v>100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36</v>
          </cell>
          <cell r="Q51">
            <v>28</v>
          </cell>
          <cell r="R51">
            <v>8</v>
          </cell>
          <cell r="S51">
            <v>91.8</v>
          </cell>
          <cell r="T51">
            <v>96.2</v>
          </cell>
          <cell r="U51">
            <v>84.6</v>
          </cell>
          <cell r="V51">
            <v>90.5</v>
          </cell>
          <cell r="W51">
            <v>99.8</v>
          </cell>
          <cell r="X51">
            <v>100</v>
          </cell>
          <cell r="AE51">
            <v>337</v>
          </cell>
          <cell r="AF51">
            <v>5988</v>
          </cell>
          <cell r="AG51">
            <v>4213</v>
          </cell>
          <cell r="AH51">
            <v>421</v>
          </cell>
          <cell r="AJ51">
            <v>6</v>
          </cell>
          <cell r="AK51">
            <v>3</v>
          </cell>
          <cell r="AL51">
            <v>2.5</v>
          </cell>
          <cell r="AM51">
            <v>2.2000000000000002</v>
          </cell>
          <cell r="AN51">
            <v>1.056</v>
          </cell>
          <cell r="AO51">
            <v>0.878</v>
          </cell>
          <cell r="AP51">
            <v>0.314</v>
          </cell>
          <cell r="AQ51">
            <v>0.11899999999999999</v>
          </cell>
          <cell r="AT51">
            <v>2.6203113754727923E-2</v>
          </cell>
          <cell r="AU51">
            <v>1.4624447714410933</v>
          </cell>
          <cell r="AV51">
            <v>1.1539547392502445</v>
          </cell>
          <cell r="AW51">
            <v>1.1539547392502445</v>
          </cell>
          <cell r="AX51">
            <v>170.40633278309599</v>
          </cell>
          <cell r="AY51">
            <v>1.7660353036032257</v>
          </cell>
          <cell r="AZ51">
            <v>1.7660353036032257</v>
          </cell>
          <cell r="BA51">
            <v>27.082496694920973</v>
          </cell>
        </row>
        <row r="52">
          <cell r="B52" t="str">
            <v>Boeing 737-700</v>
          </cell>
          <cell r="C52" t="str">
            <v>Boeing standard config.</v>
          </cell>
          <cell r="D52" t="str">
            <v>CFM56-7B22</v>
          </cell>
          <cell r="E52">
            <v>100.97</v>
          </cell>
          <cell r="F52">
            <v>70080</v>
          </cell>
          <cell r="G52">
            <v>32</v>
          </cell>
          <cell r="H52">
            <v>19</v>
          </cell>
          <cell r="I52">
            <v>120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36</v>
          </cell>
          <cell r="Q52">
            <v>28</v>
          </cell>
          <cell r="R52">
            <v>8</v>
          </cell>
          <cell r="S52">
            <v>91.9</v>
          </cell>
          <cell r="T52">
            <v>96.4</v>
          </cell>
          <cell r="U52">
            <v>84.3</v>
          </cell>
          <cell r="V52">
            <v>90.8</v>
          </cell>
          <cell r="W52">
            <v>95.6</v>
          </cell>
          <cell r="X52">
            <v>100.1</v>
          </cell>
          <cell r="AE52">
            <v>432</v>
          </cell>
          <cell r="AF52">
            <v>4002</v>
          </cell>
          <cell r="AG52">
            <v>4560</v>
          </cell>
          <cell r="AH52">
            <v>390</v>
          </cell>
          <cell r="AJ52">
            <v>12</v>
          </cell>
          <cell r="AK52">
            <v>10.5</v>
          </cell>
          <cell r="AL52">
            <v>0</v>
          </cell>
          <cell r="AM52">
            <v>0</v>
          </cell>
          <cell r="AN52">
            <v>1.0209999999999999</v>
          </cell>
          <cell r="AO52">
            <v>0.84399999999999997</v>
          </cell>
          <cell r="AP52">
            <v>0.29799999999999999</v>
          </cell>
          <cell r="AQ52">
            <v>0.105</v>
          </cell>
          <cell r="AT52">
            <v>2.202424384479949E-2</v>
          </cell>
          <cell r="AU52">
            <v>1.5426742566452178</v>
          </cell>
          <cell r="AV52">
            <v>1.1846678234921715</v>
          </cell>
          <cell r="AW52">
            <v>1.1846678234921715</v>
          </cell>
          <cell r="AX52">
            <v>184.13751182042103</v>
          </cell>
          <cell r="AY52">
            <v>1.6486029757617855</v>
          </cell>
          <cell r="AZ52">
            <v>1.6486029757617855</v>
          </cell>
          <cell r="BA52">
            <v>25.281648985844143</v>
          </cell>
        </row>
        <row r="53">
          <cell r="B53" t="str">
            <v>Boeing 737-800</v>
          </cell>
          <cell r="C53" t="str">
            <v>Boeing standard config.</v>
          </cell>
          <cell r="D53" t="str">
            <v>CFM56-7B24E</v>
          </cell>
          <cell r="E53">
            <v>107.6</v>
          </cell>
          <cell r="F53">
            <v>79016</v>
          </cell>
          <cell r="G53">
            <v>32</v>
          </cell>
          <cell r="H53">
            <v>19</v>
          </cell>
          <cell r="I53">
            <v>148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36</v>
          </cell>
          <cell r="Q53">
            <v>28</v>
          </cell>
          <cell r="R53">
            <v>12</v>
          </cell>
          <cell r="S53">
            <v>92.3</v>
          </cell>
          <cell r="T53">
            <v>97</v>
          </cell>
          <cell r="U53">
            <v>87.9</v>
          </cell>
          <cell r="V53">
            <v>91.8</v>
          </cell>
          <cell r="W53">
            <v>96</v>
          </cell>
          <cell r="X53">
            <v>100.7</v>
          </cell>
          <cell r="AE53">
            <v>377</v>
          </cell>
          <cell r="AF53">
            <v>5854</v>
          </cell>
          <cell r="AG53">
            <v>3996</v>
          </cell>
          <cell r="AH53">
            <v>398</v>
          </cell>
          <cell r="AJ53">
            <v>12.1</v>
          </cell>
          <cell r="AK53">
            <v>8.6999999999999993</v>
          </cell>
          <cell r="AL53">
            <v>2.1</v>
          </cell>
          <cell r="AM53">
            <v>2.1</v>
          </cell>
          <cell r="AN53">
            <v>1.0860000000000001</v>
          </cell>
          <cell r="AO53">
            <v>0.89500000000000002</v>
          </cell>
          <cell r="AP53">
            <v>0.308</v>
          </cell>
          <cell r="AQ53">
            <v>0.10299999999999999</v>
          </cell>
          <cell r="AT53">
            <v>2.5518577028328184E-2</v>
          </cell>
          <cell r="AU53">
            <v>1.5426742566452178</v>
          </cell>
          <cell r="AV53">
            <v>1.1846678234921715</v>
          </cell>
          <cell r="AW53">
            <v>1.1846678234921715</v>
          </cell>
          <cell r="AX53">
            <v>184.13751182042103</v>
          </cell>
          <cell r="AY53">
            <v>1.6486029757617855</v>
          </cell>
          <cell r="AZ53">
            <v>1.6486029757617855</v>
          </cell>
          <cell r="BA53">
            <v>25.281648985844143</v>
          </cell>
        </row>
        <row r="54">
          <cell r="B54" t="str">
            <v>Boeing 737-900</v>
          </cell>
          <cell r="C54" t="str">
            <v>Boeing standard config.</v>
          </cell>
          <cell r="D54" t="str">
            <v>CFM56-7B26</v>
          </cell>
          <cell r="E54">
            <v>116.99</v>
          </cell>
          <cell r="F54">
            <v>74389</v>
          </cell>
          <cell r="G54">
            <v>32</v>
          </cell>
          <cell r="H54">
            <v>19</v>
          </cell>
          <cell r="I54">
            <v>165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36</v>
          </cell>
          <cell r="Q54">
            <v>28</v>
          </cell>
          <cell r="R54">
            <v>12</v>
          </cell>
          <cell r="S54">
            <v>94</v>
          </cell>
          <cell r="T54">
            <v>97</v>
          </cell>
          <cell r="U54">
            <v>86.8</v>
          </cell>
          <cell r="V54">
            <v>91.8</v>
          </cell>
          <cell r="W54">
            <v>96</v>
          </cell>
          <cell r="X54">
            <v>100.7</v>
          </cell>
          <cell r="AE54">
            <v>361</v>
          </cell>
          <cell r="AF54">
            <v>3533</v>
          </cell>
          <cell r="AG54">
            <v>6149</v>
          </cell>
          <cell r="AH54">
            <v>441</v>
          </cell>
          <cell r="AJ54">
            <v>14.7</v>
          </cell>
          <cell r="AK54">
            <v>11.9</v>
          </cell>
          <cell r="AL54">
            <v>0</v>
          </cell>
          <cell r="AM54">
            <v>0</v>
          </cell>
          <cell r="AN54">
            <v>1.2210000000000001</v>
          </cell>
          <cell r="AO54">
            <v>0.999</v>
          </cell>
          <cell r="AP54">
            <v>0.33800000000000002</v>
          </cell>
          <cell r="AQ54">
            <v>0.113</v>
          </cell>
          <cell r="AT54">
            <v>1.998788652812248E-2</v>
          </cell>
          <cell r="AU54">
            <v>1.5426742566452178</v>
          </cell>
          <cell r="AV54">
            <v>1.1846678234921715</v>
          </cell>
          <cell r="AW54">
            <v>1.1846678234921715</v>
          </cell>
          <cell r="AX54">
            <v>184.13751182042103</v>
          </cell>
          <cell r="AY54">
            <v>1.6486029757617855</v>
          </cell>
          <cell r="AZ54">
            <v>1.6486029757617855</v>
          </cell>
          <cell r="BA54">
            <v>25.281648985844143</v>
          </cell>
        </row>
        <row r="55">
          <cell r="B55" t="str">
            <v>Boeing 747-400</v>
          </cell>
          <cell r="C55" t="str">
            <v>Boeing standard config.</v>
          </cell>
          <cell r="D55" t="str">
            <v>CF6-80C2B1F</v>
          </cell>
          <cell r="E55">
            <v>254.3</v>
          </cell>
          <cell r="F55">
            <v>396894</v>
          </cell>
          <cell r="G55">
            <v>31.7</v>
          </cell>
          <cell r="H55">
            <v>20</v>
          </cell>
          <cell r="I55">
            <v>315</v>
          </cell>
          <cell r="J55">
            <v>0</v>
          </cell>
          <cell r="K55">
            <v>0</v>
          </cell>
          <cell r="L55">
            <v>0</v>
          </cell>
          <cell r="M55">
            <v>39</v>
          </cell>
          <cell r="N55">
            <v>27</v>
          </cell>
          <cell r="O55">
            <v>38</v>
          </cell>
          <cell r="P55">
            <v>61</v>
          </cell>
          <cell r="Q55">
            <v>28</v>
          </cell>
          <cell r="R55">
            <v>23</v>
          </cell>
          <cell r="S55">
            <v>97.9</v>
          </cell>
          <cell r="T55">
            <v>103</v>
          </cell>
          <cell r="U55">
            <v>99.9</v>
          </cell>
          <cell r="V55">
            <v>106</v>
          </cell>
          <cell r="W55">
            <v>103.8</v>
          </cell>
          <cell r="X55">
            <v>105</v>
          </cell>
          <cell r="AE55">
            <v>3157</v>
          </cell>
          <cell r="AF55">
            <v>14493</v>
          </cell>
          <cell r="AG55">
            <v>10718</v>
          </cell>
          <cell r="AH55">
            <v>823</v>
          </cell>
          <cell r="AJ55">
            <v>7.1</v>
          </cell>
          <cell r="AK55">
            <v>4.8</v>
          </cell>
          <cell r="AL55">
            <v>2.2999999999999998</v>
          </cell>
          <cell r="AM55">
            <v>3</v>
          </cell>
          <cell r="AN55">
            <v>2.3530000000000002</v>
          </cell>
          <cell r="AO55">
            <v>1.913</v>
          </cell>
          <cell r="AP55">
            <v>0.63200000000000001</v>
          </cell>
          <cell r="AQ55">
            <v>0.20499999999999999</v>
          </cell>
          <cell r="AT55">
            <v>7.5083067960307781E-2</v>
          </cell>
          <cell r="AU55">
            <v>1.6513343009971913</v>
          </cell>
          <cell r="AV55">
            <v>1.2129334174299515</v>
          </cell>
          <cell r="AW55">
            <v>1.2129334174299515</v>
          </cell>
          <cell r="AX55">
            <v>204.52717618547004</v>
          </cell>
          <cell r="AY55">
            <v>1.4396031444039483</v>
          </cell>
          <cell r="AZ55">
            <v>1.4396031444039483</v>
          </cell>
          <cell r="BA55">
            <v>22.076595706082895</v>
          </cell>
        </row>
        <row r="56">
          <cell r="B56" t="str">
            <v>Boeing 747-8</v>
          </cell>
          <cell r="C56" t="str">
            <v>Boeing standard config.</v>
          </cell>
          <cell r="D56" t="str">
            <v>GeNx-2B67</v>
          </cell>
          <cell r="E56">
            <v>299.8</v>
          </cell>
          <cell r="F56">
            <v>447696</v>
          </cell>
          <cell r="G56">
            <v>31.7</v>
          </cell>
          <cell r="H56">
            <v>20</v>
          </cell>
          <cell r="I56">
            <v>356</v>
          </cell>
          <cell r="J56">
            <v>0</v>
          </cell>
          <cell r="K56">
            <v>0</v>
          </cell>
          <cell r="L56">
            <v>0</v>
          </cell>
          <cell r="M56">
            <v>39</v>
          </cell>
          <cell r="N56">
            <v>27</v>
          </cell>
          <cell r="O56">
            <v>87</v>
          </cell>
          <cell r="P56">
            <v>61</v>
          </cell>
          <cell r="Q56">
            <v>28</v>
          </cell>
          <cell r="R56">
            <v>24</v>
          </cell>
          <cell r="S56">
            <v>94</v>
          </cell>
          <cell r="T56">
            <v>103</v>
          </cell>
          <cell r="U56">
            <v>94.5</v>
          </cell>
          <cell r="V56">
            <v>106</v>
          </cell>
          <cell r="W56">
            <v>100.4</v>
          </cell>
          <cell r="X56">
            <v>105</v>
          </cell>
          <cell r="AE56">
            <v>208</v>
          </cell>
          <cell r="AF56">
            <v>6890</v>
          </cell>
          <cell r="AG56">
            <v>10978</v>
          </cell>
          <cell r="AH56">
            <v>874</v>
          </cell>
          <cell r="AJ56">
            <v>0</v>
          </cell>
          <cell r="AK56">
            <v>0</v>
          </cell>
          <cell r="AL56">
            <v>5.54</v>
          </cell>
          <cell r="AM56">
            <v>0.05</v>
          </cell>
          <cell r="AN56">
            <v>2.4510000000000001</v>
          </cell>
          <cell r="AO56">
            <v>2.012</v>
          </cell>
          <cell r="AP56">
            <v>0.70099999999999996</v>
          </cell>
          <cell r="AQ56">
            <v>0.216</v>
          </cell>
          <cell r="AT56">
            <v>0</v>
          </cell>
          <cell r="AU56">
            <v>1.6653015762660728</v>
          </cell>
          <cell r="AV56">
            <v>1.2120604112768925</v>
          </cell>
          <cell r="AW56">
            <v>1.2120604112768925</v>
          </cell>
          <cell r="AX56">
            <v>207.75404309926367</v>
          </cell>
          <cell r="AY56">
            <v>1.3954836834227979</v>
          </cell>
          <cell r="AZ56">
            <v>1.3954836834227979</v>
          </cell>
          <cell r="BA56">
            <v>21.400015145226703</v>
          </cell>
        </row>
        <row r="57">
          <cell r="B57" t="str">
            <v>Boeing 757-200</v>
          </cell>
          <cell r="C57" t="str">
            <v>Boeing standard config.</v>
          </cell>
          <cell r="D57" t="str">
            <v>PW2037</v>
          </cell>
          <cell r="E57">
            <v>167.25</v>
          </cell>
          <cell r="F57">
            <v>108850</v>
          </cell>
          <cell r="G57">
            <v>32</v>
          </cell>
          <cell r="H57">
            <v>19</v>
          </cell>
          <cell r="I57">
            <v>170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36</v>
          </cell>
          <cell r="Q57">
            <v>27</v>
          </cell>
          <cell r="R57">
            <v>16</v>
          </cell>
          <cell r="S57">
            <v>93.7</v>
          </cell>
          <cell r="T57">
            <v>98.4</v>
          </cell>
          <cell r="U57">
            <v>91.4</v>
          </cell>
          <cell r="V57">
            <v>94.1</v>
          </cell>
          <cell r="W57">
            <v>98.1</v>
          </cell>
          <cell r="X57">
            <v>102</v>
          </cell>
          <cell r="AE57">
            <v>530</v>
          </cell>
          <cell r="AF57">
            <v>5396</v>
          </cell>
          <cell r="AG57">
            <v>8107</v>
          </cell>
          <cell r="AH57">
            <v>547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1.538</v>
          </cell>
          <cell r="AO57">
            <v>1.266</v>
          </cell>
          <cell r="AP57">
            <v>0.39900000000000002</v>
          </cell>
          <cell r="AQ57">
            <v>0.14099999999999999</v>
          </cell>
          <cell r="AT57">
            <v>4.4689785733558356E-2</v>
          </cell>
          <cell r="AU57">
            <v>1.570295437136549</v>
          </cell>
          <cell r="AV57">
            <v>1.1952416373603938</v>
          </cell>
          <cell r="AW57">
            <v>1.1952416373603938</v>
          </cell>
          <cell r="AX57">
            <v>188.86484334428377</v>
          </cell>
          <cell r="AY57">
            <v>1.608173705717574</v>
          </cell>
          <cell r="AZ57">
            <v>1.608173705717574</v>
          </cell>
          <cell r="BA57">
            <v>24.661658224551623</v>
          </cell>
        </row>
        <row r="58">
          <cell r="B58" t="str">
            <v>Boeing 757-300</v>
          </cell>
          <cell r="C58" t="str">
            <v>Boeing standard config.</v>
          </cell>
          <cell r="D58" t="str">
            <v>RB211-535E4B-37</v>
          </cell>
          <cell r="E58">
            <v>191.73</v>
          </cell>
          <cell r="F58">
            <v>122470</v>
          </cell>
          <cell r="G58">
            <v>32</v>
          </cell>
          <cell r="H58">
            <v>19</v>
          </cell>
          <cell r="I58">
            <v>243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36</v>
          </cell>
          <cell r="Q58">
            <v>27</v>
          </cell>
          <cell r="R58">
            <v>12</v>
          </cell>
          <cell r="S58">
            <v>93.8</v>
          </cell>
          <cell r="T58">
            <v>98.4</v>
          </cell>
          <cell r="U58">
            <v>86.1</v>
          </cell>
          <cell r="V58">
            <v>94.1</v>
          </cell>
          <cell r="W58">
            <v>95.2</v>
          </cell>
          <cell r="X58">
            <v>102</v>
          </cell>
          <cell r="AE58">
            <v>88</v>
          </cell>
          <cell r="AF58">
            <v>3837</v>
          </cell>
          <cell r="AG58">
            <v>14791</v>
          </cell>
          <cell r="AH58">
            <v>734</v>
          </cell>
          <cell r="AJ58">
            <v>1.73</v>
          </cell>
          <cell r="AK58">
            <v>1.84</v>
          </cell>
          <cell r="AL58">
            <v>0.96</v>
          </cell>
          <cell r="AM58">
            <v>0.5</v>
          </cell>
          <cell r="AN58">
            <v>2.08</v>
          </cell>
          <cell r="AO58">
            <v>1.65</v>
          </cell>
          <cell r="AP58">
            <v>0.55000000000000004</v>
          </cell>
          <cell r="AQ58">
            <v>0.19</v>
          </cell>
          <cell r="AT58">
            <v>5.0841914205816567E-2</v>
          </cell>
          <cell r="AU58">
            <v>1.570295437136549</v>
          </cell>
          <cell r="AV58">
            <v>1.1952416373603938</v>
          </cell>
          <cell r="AW58">
            <v>1.1952416373603938</v>
          </cell>
          <cell r="AX58">
            <v>188.86484334428377</v>
          </cell>
          <cell r="AY58">
            <v>1.608173705717574</v>
          </cell>
          <cell r="AZ58">
            <v>1.608173705717574</v>
          </cell>
          <cell r="BA58">
            <v>24.661658224551623</v>
          </cell>
        </row>
        <row r="59">
          <cell r="B59" t="str">
            <v>Boeing 767-300ER</v>
          </cell>
          <cell r="C59" t="str">
            <v>Boeing standard config.</v>
          </cell>
          <cell r="D59" t="str">
            <v>CF6-80C2B6</v>
          </cell>
          <cell r="E59">
            <v>267.2</v>
          </cell>
          <cell r="F59">
            <v>181437</v>
          </cell>
          <cell r="G59">
            <v>34</v>
          </cell>
          <cell r="H59">
            <v>20</v>
          </cell>
          <cell r="I59">
            <v>148</v>
          </cell>
          <cell r="J59">
            <v>0</v>
          </cell>
          <cell r="K59">
            <v>0</v>
          </cell>
          <cell r="L59">
            <v>0</v>
          </cell>
          <cell r="M59">
            <v>38</v>
          </cell>
          <cell r="N59">
            <v>24</v>
          </cell>
          <cell r="O59">
            <v>40</v>
          </cell>
          <cell r="P59">
            <v>60</v>
          </cell>
          <cell r="Q59">
            <v>28</v>
          </cell>
          <cell r="R59">
            <v>18</v>
          </cell>
          <cell r="S59">
            <v>96.2</v>
          </cell>
          <cell r="T59">
            <v>100.2</v>
          </cell>
          <cell r="U59">
            <v>91.5</v>
          </cell>
          <cell r="V59">
            <v>96.8</v>
          </cell>
          <cell r="W59">
            <v>98.4</v>
          </cell>
          <cell r="X59">
            <v>103.6</v>
          </cell>
          <cell r="AE59">
            <v>2966</v>
          </cell>
          <cell r="AF59">
            <v>13970</v>
          </cell>
          <cell r="AG59">
            <v>12362</v>
          </cell>
          <cell r="AH59">
            <v>871</v>
          </cell>
          <cell r="AJ59">
            <v>7.8</v>
          </cell>
          <cell r="AK59">
            <v>5.4</v>
          </cell>
          <cell r="AL59">
            <v>2.2999999999999998</v>
          </cell>
          <cell r="AM59">
            <v>3</v>
          </cell>
          <cell r="AN59">
            <v>2.5790000000000002</v>
          </cell>
          <cell r="AO59">
            <v>2.081</v>
          </cell>
          <cell r="AP59">
            <v>0.68600000000000005</v>
          </cell>
          <cell r="AQ59">
            <v>0.20699999999999999</v>
          </cell>
          <cell r="AT59">
            <v>3.3005584008804323E-2</v>
          </cell>
          <cell r="AU59">
            <v>1.570295437136549</v>
          </cell>
          <cell r="AV59">
            <v>1.1952416373603938</v>
          </cell>
          <cell r="AW59">
            <v>1.1952416373603938</v>
          </cell>
          <cell r="AX59">
            <v>188.86484334428377</v>
          </cell>
          <cell r="AY59">
            <v>1.608173705717574</v>
          </cell>
          <cell r="AZ59">
            <v>1.608173705717574</v>
          </cell>
          <cell r="BA59">
            <v>24.661658224551623</v>
          </cell>
        </row>
        <row r="60">
          <cell r="B60" t="str">
            <v>Boeing 767-400ER</v>
          </cell>
          <cell r="C60" t="str">
            <v>Boeing standard config.</v>
          </cell>
          <cell r="D60" t="str">
            <v>CF6-80C2B7F</v>
          </cell>
          <cell r="E60">
            <v>267.02999999999997</v>
          </cell>
          <cell r="F60">
            <v>204116</v>
          </cell>
          <cell r="G60">
            <v>34</v>
          </cell>
          <cell r="H60">
            <v>20</v>
          </cell>
          <cell r="I60">
            <v>189</v>
          </cell>
          <cell r="J60">
            <v>0</v>
          </cell>
          <cell r="K60">
            <v>0</v>
          </cell>
          <cell r="L60">
            <v>0</v>
          </cell>
          <cell r="M60">
            <v>38</v>
          </cell>
          <cell r="N60">
            <v>24</v>
          </cell>
          <cell r="O60">
            <v>38</v>
          </cell>
          <cell r="P60">
            <v>60</v>
          </cell>
          <cell r="Q60">
            <v>28</v>
          </cell>
          <cell r="R60">
            <v>16</v>
          </cell>
          <cell r="S60">
            <v>97</v>
          </cell>
          <cell r="T60">
            <v>100.1</v>
          </cell>
          <cell r="U60">
            <v>89.5</v>
          </cell>
          <cell r="V60">
            <v>96.7</v>
          </cell>
          <cell r="W60">
            <v>96.5</v>
          </cell>
          <cell r="X60">
            <v>103.5</v>
          </cell>
          <cell r="AE60">
            <v>3041</v>
          </cell>
          <cell r="AF60">
            <v>13931</v>
          </cell>
          <cell r="AG60">
            <v>12134</v>
          </cell>
          <cell r="AH60">
            <v>834</v>
          </cell>
          <cell r="AJ60">
            <v>8.1999999999999993</v>
          </cell>
          <cell r="AK60">
            <v>5.4</v>
          </cell>
          <cell r="AL60">
            <v>2.2999999999999998</v>
          </cell>
          <cell r="AM60">
            <v>3.4</v>
          </cell>
          <cell r="AN60">
            <v>2.54</v>
          </cell>
          <cell r="AO60">
            <v>2.02</v>
          </cell>
          <cell r="AP60">
            <v>0.64</v>
          </cell>
          <cell r="AQ60">
            <v>0.2</v>
          </cell>
          <cell r="AT60">
            <v>2.6952824749438126E-2</v>
          </cell>
          <cell r="AU60">
            <v>1.570295437136549</v>
          </cell>
          <cell r="AV60">
            <v>1.1952416373603938</v>
          </cell>
          <cell r="AW60">
            <v>1.1952416373603938</v>
          </cell>
          <cell r="AX60">
            <v>188.86484334428377</v>
          </cell>
          <cell r="AY60">
            <v>1.608173705717574</v>
          </cell>
          <cell r="AZ60">
            <v>1.608173705717574</v>
          </cell>
          <cell r="BA60">
            <v>24.661658224551623</v>
          </cell>
        </row>
        <row r="61">
          <cell r="B61" t="str">
            <v>Boeing 777-200</v>
          </cell>
          <cell r="C61" t="str">
            <v>Boeing standard config.</v>
          </cell>
          <cell r="D61" t="str">
            <v>GE90-110B1</v>
          </cell>
          <cell r="E61">
            <v>492.6</v>
          </cell>
          <cell r="F61">
            <v>242630</v>
          </cell>
          <cell r="G61">
            <v>32</v>
          </cell>
          <cell r="H61">
            <v>21</v>
          </cell>
          <cell r="I61">
            <v>227</v>
          </cell>
          <cell r="J61">
            <v>0</v>
          </cell>
          <cell r="K61">
            <v>0</v>
          </cell>
          <cell r="L61">
            <v>0</v>
          </cell>
          <cell r="M61">
            <v>38</v>
          </cell>
          <cell r="N61">
            <v>26</v>
          </cell>
          <cell r="O61">
            <v>54</v>
          </cell>
          <cell r="P61">
            <v>60</v>
          </cell>
          <cell r="Q61">
            <v>28</v>
          </cell>
          <cell r="R61">
            <v>24</v>
          </cell>
          <cell r="S61">
            <v>97.9</v>
          </cell>
          <cell r="T61">
            <v>102.5</v>
          </cell>
          <cell r="U61">
            <v>92.7</v>
          </cell>
          <cell r="V61">
            <v>100.4</v>
          </cell>
          <cell r="W61">
            <v>100.3</v>
          </cell>
          <cell r="X61">
            <v>105</v>
          </cell>
          <cell r="AE61">
            <v>2679</v>
          </cell>
          <cell r="AF61">
            <v>24212</v>
          </cell>
          <cell r="AG61">
            <v>30616</v>
          </cell>
          <cell r="AH61">
            <v>1479</v>
          </cell>
          <cell r="AJ61">
            <v>3.58</v>
          </cell>
          <cell r="AK61">
            <v>2.25</v>
          </cell>
          <cell r="AL61">
            <v>1.42</v>
          </cell>
          <cell r="AM61">
            <v>0.96</v>
          </cell>
          <cell r="AN61">
            <v>4.32</v>
          </cell>
          <cell r="AO61">
            <v>3.47</v>
          </cell>
          <cell r="AP61">
            <v>1.08</v>
          </cell>
          <cell r="AQ61">
            <v>0.37</v>
          </cell>
          <cell r="AT61">
            <v>4.3396193320465626E-2</v>
          </cell>
          <cell r="AU61">
            <v>1.6369561075759755</v>
          </cell>
          <cell r="AV61">
            <v>1.2138321074811573</v>
          </cell>
          <cell r="AW61">
            <v>1.2138321074811573</v>
          </cell>
          <cell r="AX61">
            <v>201.20537463592822</v>
          </cell>
          <cell r="AY61">
            <v>1.4850206028140427</v>
          </cell>
          <cell r="AZ61">
            <v>1.4850206028140427</v>
          </cell>
          <cell r="BA61">
            <v>22.773081311310317</v>
          </cell>
        </row>
        <row r="62">
          <cell r="B62" t="str">
            <v>Boeing 777-200ER</v>
          </cell>
          <cell r="C62" t="str">
            <v>Boeing standard config.</v>
          </cell>
          <cell r="D62" t="str">
            <v>GE90-94B</v>
          </cell>
          <cell r="E62">
            <v>432.8</v>
          </cell>
          <cell r="F62">
            <v>233600</v>
          </cell>
          <cell r="G62">
            <v>32</v>
          </cell>
          <cell r="H62">
            <v>21</v>
          </cell>
          <cell r="I62">
            <v>227</v>
          </cell>
          <cell r="J62">
            <v>0</v>
          </cell>
          <cell r="K62">
            <v>0</v>
          </cell>
          <cell r="L62">
            <v>0</v>
          </cell>
          <cell r="M62">
            <v>38</v>
          </cell>
          <cell r="N62">
            <v>26</v>
          </cell>
          <cell r="O62">
            <v>54</v>
          </cell>
          <cell r="P62">
            <v>60</v>
          </cell>
          <cell r="Q62">
            <v>28</v>
          </cell>
          <cell r="R62">
            <v>24</v>
          </cell>
          <cell r="S62">
            <v>96.3</v>
          </cell>
          <cell r="T62">
            <v>101.9</v>
          </cell>
          <cell r="U62">
            <v>91.1</v>
          </cell>
          <cell r="V62">
            <v>99.5</v>
          </cell>
          <cell r="W62">
            <v>98.7</v>
          </cell>
          <cell r="X62">
            <v>105</v>
          </cell>
          <cell r="AE62">
            <v>221</v>
          </cell>
          <cell r="AF62">
            <v>6156</v>
          </cell>
          <cell r="AG62">
            <v>30617</v>
          </cell>
          <cell r="AH62">
            <v>1203</v>
          </cell>
          <cell r="AJ62">
            <v>3.7</v>
          </cell>
          <cell r="AK62">
            <v>2.9</v>
          </cell>
          <cell r="AL62">
            <v>3.2</v>
          </cell>
          <cell r="AM62">
            <v>2.5</v>
          </cell>
          <cell r="AN62">
            <v>3.5139999999999998</v>
          </cell>
          <cell r="AO62">
            <v>2.8479999999999999</v>
          </cell>
          <cell r="AP62">
            <v>0.90800000000000003</v>
          </cell>
          <cell r="AQ62">
            <v>0.29599999999999999</v>
          </cell>
          <cell r="AT62">
            <v>3.7515139145798106E-2</v>
          </cell>
          <cell r="AU62">
            <v>1.6369561075759755</v>
          </cell>
          <cell r="AV62">
            <v>1.2138321074811573</v>
          </cell>
          <cell r="AW62">
            <v>1.2138321074811573</v>
          </cell>
          <cell r="AX62">
            <v>201.20537463592822</v>
          </cell>
          <cell r="AY62">
            <v>1.4850206028140427</v>
          </cell>
          <cell r="AZ62">
            <v>1.4850206028140427</v>
          </cell>
          <cell r="BA62">
            <v>22.773081311310317</v>
          </cell>
        </row>
        <row r="63">
          <cell r="B63" t="str">
            <v>Boeing 777-200LR</v>
          </cell>
          <cell r="C63" t="str">
            <v>Boeing standard config.</v>
          </cell>
          <cell r="D63" t="str">
            <v>GE90-110B1</v>
          </cell>
          <cell r="E63">
            <v>492.6</v>
          </cell>
          <cell r="F63">
            <v>347452</v>
          </cell>
          <cell r="G63">
            <v>32</v>
          </cell>
          <cell r="H63">
            <v>21</v>
          </cell>
          <cell r="I63">
            <v>227</v>
          </cell>
          <cell r="J63">
            <v>0</v>
          </cell>
          <cell r="K63">
            <v>0</v>
          </cell>
          <cell r="L63">
            <v>0</v>
          </cell>
          <cell r="M63">
            <v>39</v>
          </cell>
          <cell r="N63">
            <v>26</v>
          </cell>
          <cell r="O63">
            <v>58</v>
          </cell>
          <cell r="P63">
            <v>61</v>
          </cell>
          <cell r="Q63">
            <v>28</v>
          </cell>
          <cell r="R63">
            <v>16</v>
          </cell>
          <cell r="S63">
            <v>97.9</v>
          </cell>
          <cell r="T63">
            <v>102.5</v>
          </cell>
          <cell r="U63">
            <v>92.7</v>
          </cell>
          <cell r="V63">
            <v>100.4</v>
          </cell>
          <cell r="W63">
            <v>100.3</v>
          </cell>
          <cell r="X63">
            <v>105</v>
          </cell>
          <cell r="AE63">
            <v>2679</v>
          </cell>
          <cell r="AF63">
            <v>24212</v>
          </cell>
          <cell r="AG63">
            <v>30616</v>
          </cell>
          <cell r="AH63">
            <v>1479</v>
          </cell>
          <cell r="AJ63">
            <v>3.58</v>
          </cell>
          <cell r="AK63">
            <v>2.25</v>
          </cell>
          <cell r="AL63">
            <v>1.42</v>
          </cell>
          <cell r="AM63">
            <v>0.96</v>
          </cell>
          <cell r="AN63">
            <v>4.32</v>
          </cell>
          <cell r="AO63">
            <v>3.47</v>
          </cell>
          <cell r="AP63">
            <v>1.08</v>
          </cell>
          <cell r="AQ63">
            <v>0.37</v>
          </cell>
          <cell r="AT63">
            <v>3.7914934119867391E-2</v>
          </cell>
          <cell r="AU63">
            <v>1.6369561075759755</v>
          </cell>
          <cell r="AV63">
            <v>1.2138321074811573</v>
          </cell>
          <cell r="AW63">
            <v>1.2138321074811573</v>
          </cell>
          <cell r="AX63">
            <v>201.20537463592822</v>
          </cell>
          <cell r="AY63">
            <v>1.4850206028140427</v>
          </cell>
          <cell r="AZ63">
            <v>1.4850206028140427</v>
          </cell>
          <cell r="BA63">
            <v>22.773081311310317</v>
          </cell>
        </row>
        <row r="64">
          <cell r="B64" t="str">
            <v>Boeing 777-300</v>
          </cell>
          <cell r="C64" t="str">
            <v>Boeing standard config.</v>
          </cell>
          <cell r="D64" t="str">
            <v>RB211 Trent 884</v>
          </cell>
          <cell r="E64">
            <v>390.1</v>
          </cell>
          <cell r="F64">
            <v>299370</v>
          </cell>
          <cell r="G64">
            <v>31.6</v>
          </cell>
          <cell r="H64">
            <v>21</v>
          </cell>
          <cell r="I64">
            <v>254</v>
          </cell>
          <cell r="J64">
            <v>0</v>
          </cell>
          <cell r="K64">
            <v>0</v>
          </cell>
          <cell r="L64">
            <v>0</v>
          </cell>
          <cell r="M64">
            <v>38</v>
          </cell>
          <cell r="N64">
            <v>26</v>
          </cell>
          <cell r="O64">
            <v>84</v>
          </cell>
          <cell r="P64">
            <v>60</v>
          </cell>
          <cell r="Q64">
            <v>28</v>
          </cell>
          <cell r="R64">
            <v>30</v>
          </cell>
          <cell r="S64">
            <v>96.5</v>
          </cell>
          <cell r="T64">
            <v>101.9</v>
          </cell>
          <cell r="U64">
            <v>95.5</v>
          </cell>
          <cell r="V64">
            <v>99.5</v>
          </cell>
          <cell r="W64">
            <v>99.8</v>
          </cell>
          <cell r="X64">
            <v>105</v>
          </cell>
          <cell r="AE64">
            <v>484</v>
          </cell>
          <cell r="AF64">
            <v>7602</v>
          </cell>
          <cell r="AG64">
            <v>22687</v>
          </cell>
          <cell r="AH64">
            <v>1247</v>
          </cell>
          <cell r="AJ64">
            <v>4.37</v>
          </cell>
          <cell r="AK64">
            <v>5.0999999999999996</v>
          </cell>
          <cell r="AL64">
            <v>2.5299999999999998</v>
          </cell>
          <cell r="AM64">
            <v>0.5</v>
          </cell>
          <cell r="AN64">
            <v>3.56</v>
          </cell>
          <cell r="AO64">
            <v>2.89</v>
          </cell>
          <cell r="AP64">
            <v>0.97</v>
          </cell>
          <cell r="AQ64">
            <v>0.31</v>
          </cell>
          <cell r="AT64">
            <v>4.6110892403480291E-2</v>
          </cell>
          <cell r="AU64">
            <v>1.6369561075759755</v>
          </cell>
          <cell r="AV64">
            <v>1.2138321074811573</v>
          </cell>
          <cell r="AW64">
            <v>1.2138321074811573</v>
          </cell>
          <cell r="AX64">
            <v>201.20537463592822</v>
          </cell>
          <cell r="AY64">
            <v>1.4850206028140427</v>
          </cell>
          <cell r="AZ64">
            <v>1.4850206028140427</v>
          </cell>
          <cell r="BA64">
            <v>22.773081311310317</v>
          </cell>
        </row>
        <row r="65">
          <cell r="B65" t="str">
            <v>Boeing 777-300ER</v>
          </cell>
          <cell r="C65" t="str">
            <v>Boeing standard config.</v>
          </cell>
          <cell r="D65" t="str">
            <v>GE90-115B</v>
          </cell>
          <cell r="E65">
            <v>513.9</v>
          </cell>
          <cell r="F65">
            <v>351535</v>
          </cell>
          <cell r="G65">
            <v>32</v>
          </cell>
          <cell r="H65">
            <v>21</v>
          </cell>
          <cell r="I65">
            <v>316</v>
          </cell>
          <cell r="J65">
            <v>0</v>
          </cell>
          <cell r="K65">
            <v>0</v>
          </cell>
          <cell r="L65">
            <v>0</v>
          </cell>
          <cell r="M65">
            <v>50</v>
          </cell>
          <cell r="N65">
            <v>26</v>
          </cell>
          <cell r="O65">
            <v>42</v>
          </cell>
          <cell r="P65">
            <v>87</v>
          </cell>
          <cell r="Q65">
            <v>28</v>
          </cell>
          <cell r="R65">
            <v>12</v>
          </cell>
          <cell r="S65">
            <v>99.2</v>
          </cell>
          <cell r="T65">
            <v>102.5</v>
          </cell>
          <cell r="U65">
            <v>92</v>
          </cell>
          <cell r="V65">
            <v>100.4</v>
          </cell>
          <cell r="W65">
            <v>100.3</v>
          </cell>
          <cell r="X65">
            <v>105</v>
          </cell>
          <cell r="AE65">
            <v>2559</v>
          </cell>
          <cell r="AF65">
            <v>23858</v>
          </cell>
          <cell r="AG65">
            <v>34888</v>
          </cell>
          <cell r="AH65">
            <v>1546</v>
          </cell>
          <cell r="AJ65">
            <v>4.0999999999999996</v>
          </cell>
          <cell r="AK65">
            <v>2.5</v>
          </cell>
          <cell r="AL65">
            <v>1.45</v>
          </cell>
          <cell r="AM65">
            <v>0.87</v>
          </cell>
          <cell r="AN65">
            <v>4.6900000000000004</v>
          </cell>
          <cell r="AO65">
            <v>3.67</v>
          </cell>
          <cell r="AP65">
            <v>1.1299999999999999</v>
          </cell>
          <cell r="AQ65">
            <v>0.38</v>
          </cell>
          <cell r="AT65">
            <v>4.2129907386228703E-2</v>
          </cell>
          <cell r="AU65">
            <v>1.6369561075759755</v>
          </cell>
          <cell r="AV65">
            <v>1.2138321074811573</v>
          </cell>
          <cell r="AW65">
            <v>1.2138321074811573</v>
          </cell>
          <cell r="AX65">
            <v>201.20537463592822</v>
          </cell>
          <cell r="AY65">
            <v>1.4850206028140427</v>
          </cell>
          <cell r="AZ65">
            <v>1.4850206028140427</v>
          </cell>
          <cell r="BA65">
            <v>22.773081311310317</v>
          </cell>
        </row>
        <row r="66">
          <cell r="B66" t="str">
            <v>Boeing 787-10</v>
          </cell>
          <cell r="C66" t="str">
            <v>Boeing standard config.</v>
          </cell>
          <cell r="D66" t="str">
            <v>GEnx-1B76A/P2G01</v>
          </cell>
          <cell r="E66">
            <v>349.2</v>
          </cell>
          <cell r="F66">
            <v>254011</v>
          </cell>
          <cell r="G66">
            <v>32</v>
          </cell>
          <cell r="H66">
            <v>20</v>
          </cell>
          <cell r="I66">
            <v>298</v>
          </cell>
          <cell r="J66">
            <v>0</v>
          </cell>
          <cell r="K66">
            <v>0</v>
          </cell>
          <cell r="L66">
            <v>0</v>
          </cell>
          <cell r="M66">
            <v>85</v>
          </cell>
          <cell r="N66">
            <v>28</v>
          </cell>
          <cell r="O66">
            <v>32</v>
          </cell>
          <cell r="P66">
            <v>0</v>
          </cell>
          <cell r="Q66">
            <v>0</v>
          </cell>
          <cell r="R66">
            <v>0</v>
          </cell>
          <cell r="S66">
            <v>92.8</v>
          </cell>
          <cell r="T66">
            <v>101.3</v>
          </cell>
          <cell r="U66">
            <v>88.7</v>
          </cell>
          <cell r="V66">
            <v>98.6</v>
          </cell>
          <cell r="W66">
            <v>95.3</v>
          </cell>
          <cell r="X66">
            <v>104.7</v>
          </cell>
          <cell r="AE66">
            <v>140</v>
          </cell>
          <cell r="AF66">
            <v>4980</v>
          </cell>
          <cell r="AG66">
            <v>17251</v>
          </cell>
          <cell r="AH66">
            <v>934</v>
          </cell>
          <cell r="AJ66">
            <v>0.2</v>
          </cell>
          <cell r="AK66">
            <v>0.16</v>
          </cell>
          <cell r="AL66">
            <v>0.43</v>
          </cell>
          <cell r="AM66">
            <v>7.0000000000000007E-2</v>
          </cell>
          <cell r="AN66">
            <v>2.79</v>
          </cell>
          <cell r="AO66">
            <v>2.262</v>
          </cell>
          <cell r="AP66">
            <v>0.70899999999999996</v>
          </cell>
          <cell r="AQ66">
            <v>0.223</v>
          </cell>
          <cell r="AT66">
            <v>5.114561016493676E-2</v>
          </cell>
          <cell r="AU66">
            <v>1.6513343009971913</v>
          </cell>
          <cell r="AV66">
            <v>1.2129334174299515</v>
          </cell>
          <cell r="AW66">
            <v>1.2129334174299515</v>
          </cell>
          <cell r="AX66">
            <v>204.52717618547004</v>
          </cell>
          <cell r="AY66">
            <v>1.4396031444039483</v>
          </cell>
          <cell r="AZ66">
            <v>1.4396031444039483</v>
          </cell>
          <cell r="BA66">
            <v>22.076595706082895</v>
          </cell>
        </row>
        <row r="67">
          <cell r="B67" t="str">
            <v>Boeing 787-8</v>
          </cell>
          <cell r="C67" t="str">
            <v>Boeing standard config.</v>
          </cell>
          <cell r="D67" t="str">
            <v>Trent 1000-A</v>
          </cell>
          <cell r="E67">
            <v>310.8</v>
          </cell>
          <cell r="F67">
            <v>227930</v>
          </cell>
          <cell r="G67">
            <v>32</v>
          </cell>
          <cell r="H67">
            <v>20</v>
          </cell>
          <cell r="I67">
            <v>218</v>
          </cell>
          <cell r="J67">
            <v>0</v>
          </cell>
          <cell r="K67">
            <v>0</v>
          </cell>
          <cell r="L67">
            <v>0</v>
          </cell>
          <cell r="M67">
            <v>85</v>
          </cell>
          <cell r="N67">
            <v>28</v>
          </cell>
          <cell r="O67">
            <v>24</v>
          </cell>
          <cell r="P67">
            <v>0</v>
          </cell>
          <cell r="Q67">
            <v>0</v>
          </cell>
          <cell r="R67">
            <v>0</v>
          </cell>
          <cell r="S67">
            <v>89.6</v>
          </cell>
          <cell r="T67">
            <v>100.9</v>
          </cell>
          <cell r="U67">
            <v>89.1</v>
          </cell>
          <cell r="V67">
            <v>98</v>
          </cell>
          <cell r="W67">
            <v>96.9</v>
          </cell>
          <cell r="X67">
            <v>104.3</v>
          </cell>
          <cell r="AE67">
            <v>21</v>
          </cell>
          <cell r="AF67">
            <v>3499</v>
          </cell>
          <cell r="AG67">
            <v>17350</v>
          </cell>
          <cell r="AH67">
            <v>74</v>
          </cell>
          <cell r="AJ67">
            <v>3.3</v>
          </cell>
          <cell r="AK67">
            <v>4.0999999999999996</v>
          </cell>
          <cell r="AL67">
            <v>2.9</v>
          </cell>
          <cell r="AM67">
            <v>0.6</v>
          </cell>
          <cell r="AN67">
            <v>2.282</v>
          </cell>
          <cell r="AO67">
            <v>1.877</v>
          </cell>
          <cell r="AP67">
            <v>0.625</v>
          </cell>
          <cell r="AQ67">
            <v>0.23699999999999999</v>
          </cell>
          <cell r="AT67">
            <v>4.1480888157727561E-2</v>
          </cell>
          <cell r="AU67">
            <v>1.6513343009971913</v>
          </cell>
          <cell r="AV67">
            <v>1.2129334174299515</v>
          </cell>
          <cell r="AW67">
            <v>1.2129334174299515</v>
          </cell>
          <cell r="AX67">
            <v>204.52717618547004</v>
          </cell>
          <cell r="AY67">
            <v>1.4396031444039483</v>
          </cell>
          <cell r="AZ67">
            <v>1.4396031444039483</v>
          </cell>
          <cell r="BA67">
            <v>22.076595706082895</v>
          </cell>
        </row>
        <row r="68">
          <cell r="B68" t="str">
            <v>Boeing 787-9</v>
          </cell>
          <cell r="C68" t="str">
            <v>Boeing standard config.</v>
          </cell>
          <cell r="D68" t="str">
            <v>Trent 1000-J2</v>
          </cell>
          <cell r="E68">
            <v>350.9</v>
          </cell>
          <cell r="F68">
            <v>254011</v>
          </cell>
          <cell r="G68">
            <v>32</v>
          </cell>
          <cell r="H68">
            <v>20</v>
          </cell>
          <cell r="I68">
            <v>262</v>
          </cell>
          <cell r="J68">
            <v>0</v>
          </cell>
          <cell r="K68">
            <v>0</v>
          </cell>
          <cell r="L68">
            <v>0</v>
          </cell>
          <cell r="M68">
            <v>85</v>
          </cell>
          <cell r="N68">
            <v>28</v>
          </cell>
          <cell r="O68">
            <v>28</v>
          </cell>
          <cell r="P68">
            <v>0</v>
          </cell>
          <cell r="Q68">
            <v>0</v>
          </cell>
          <cell r="R68">
            <v>0</v>
          </cell>
          <cell r="S68">
            <v>91.3</v>
          </cell>
          <cell r="T68">
            <v>101.3</v>
          </cell>
          <cell r="U68">
            <v>88.1</v>
          </cell>
          <cell r="V68">
            <v>98.6</v>
          </cell>
          <cell r="W68">
            <v>95.7</v>
          </cell>
          <cell r="X68">
            <v>104.7</v>
          </cell>
          <cell r="AE68">
            <v>9.01</v>
          </cell>
          <cell r="AF68">
            <v>2984</v>
          </cell>
          <cell r="AG68">
            <v>23531</v>
          </cell>
          <cell r="AH68">
            <v>962</v>
          </cell>
          <cell r="AJ68">
            <v>3.9</v>
          </cell>
          <cell r="AK68">
            <v>3.6</v>
          </cell>
          <cell r="AL68">
            <v>4.0999999999999996</v>
          </cell>
          <cell r="AM68">
            <v>0.5</v>
          </cell>
          <cell r="AN68">
            <v>2.6629999999999998</v>
          </cell>
          <cell r="AO68">
            <v>2.173</v>
          </cell>
          <cell r="AP68">
            <v>0.69599999999999995</v>
          </cell>
          <cell r="AQ68">
            <v>0.254</v>
          </cell>
          <cell r="AT68">
            <v>5.1320959922805741E-2</v>
          </cell>
          <cell r="AU68">
            <v>1.6513343009971913</v>
          </cell>
          <cell r="AV68">
            <v>1.2129334174299515</v>
          </cell>
          <cell r="AW68">
            <v>1.2129334174299515</v>
          </cell>
          <cell r="AX68">
            <v>204.52717618547004</v>
          </cell>
          <cell r="AY68">
            <v>1.4396031444039483</v>
          </cell>
          <cell r="AZ68">
            <v>1.4396031444039483</v>
          </cell>
          <cell r="BA68">
            <v>22.076595706082895</v>
          </cell>
        </row>
        <row r="69">
          <cell r="B69" t="str">
            <v>Bombardier CRJ100</v>
          </cell>
          <cell r="C69" t="str">
            <v>Bombardier standard config.</v>
          </cell>
          <cell r="D69" t="str">
            <v>CF34-3A1</v>
          </cell>
          <cell r="E69">
            <v>41.01</v>
          </cell>
          <cell r="F69">
            <v>21523</v>
          </cell>
          <cell r="G69">
            <v>31</v>
          </cell>
          <cell r="H69">
            <v>17</v>
          </cell>
          <cell r="I69">
            <v>50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84.3</v>
          </cell>
          <cell r="T69">
            <v>94</v>
          </cell>
          <cell r="U69">
            <v>80.2</v>
          </cell>
          <cell r="V69">
            <v>89</v>
          </cell>
          <cell r="W69">
            <v>91.3</v>
          </cell>
          <cell r="X69">
            <v>98</v>
          </cell>
          <cell r="AE69">
            <v>313</v>
          </cell>
          <cell r="AF69">
            <v>3350</v>
          </cell>
          <cell r="AG69">
            <v>1137</v>
          </cell>
          <cell r="AH69">
            <v>167</v>
          </cell>
          <cell r="AJ69">
            <v>21.9</v>
          </cell>
          <cell r="AK69">
            <v>9.1999999999999993</v>
          </cell>
          <cell r="AL69">
            <v>3.1</v>
          </cell>
          <cell r="AM69">
            <v>3.1</v>
          </cell>
          <cell r="AN69">
            <v>0.40699999999999997</v>
          </cell>
          <cell r="AO69">
            <v>0.33429999999999999</v>
          </cell>
          <cell r="AP69">
            <v>0.11899999999999999</v>
          </cell>
          <cell r="AQ69">
            <v>4.9599999999999998E-2</v>
          </cell>
          <cell r="AT69">
            <v>1.7489290087882227E-2</v>
          </cell>
          <cell r="AU69">
            <v>1.4516880279699276</v>
          </cell>
          <cell r="AV69">
            <v>1.1498368919580908</v>
          </cell>
          <cell r="AW69">
            <v>1.1498368919580908</v>
          </cell>
          <cell r="AX69">
            <v>168.56532919089588</v>
          </cell>
          <cell r="AY69">
            <v>1.7817800067207683</v>
          </cell>
          <cell r="AZ69">
            <v>1.7817800067207683</v>
          </cell>
          <cell r="BA69">
            <v>27.323944795801722</v>
          </cell>
        </row>
        <row r="70">
          <cell r="B70" t="str">
            <v>Bombardier CRJ1000</v>
          </cell>
          <cell r="C70" t="str">
            <v>Bombardier standard config.</v>
          </cell>
          <cell r="D70" t="str">
            <v>CF34-8C5</v>
          </cell>
          <cell r="E70">
            <v>59.42</v>
          </cell>
          <cell r="F70">
            <v>41640</v>
          </cell>
          <cell r="G70">
            <v>31</v>
          </cell>
          <cell r="H70">
            <v>17</v>
          </cell>
          <cell r="I70">
            <v>100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89.8</v>
          </cell>
          <cell r="T70">
            <v>94.3</v>
          </cell>
          <cell r="U70">
            <v>84.2</v>
          </cell>
          <cell r="V70">
            <v>89</v>
          </cell>
          <cell r="W70">
            <v>92.3</v>
          </cell>
          <cell r="X70">
            <v>98.3</v>
          </cell>
          <cell r="AE70">
            <v>18</v>
          </cell>
          <cell r="AF70">
            <v>2070</v>
          </cell>
          <cell r="AG70">
            <v>2205</v>
          </cell>
          <cell r="AH70">
            <v>240</v>
          </cell>
          <cell r="AJ70">
            <v>8.32</v>
          </cell>
          <cell r="AK70">
            <v>2.52</v>
          </cell>
          <cell r="AL70">
            <v>0</v>
          </cell>
          <cell r="AM70">
            <v>0</v>
          </cell>
          <cell r="AN70">
            <v>0.64810000000000001</v>
          </cell>
          <cell r="AO70">
            <v>0.52969999999999995</v>
          </cell>
          <cell r="AP70">
            <v>0.17929999999999999</v>
          </cell>
          <cell r="AQ70">
            <v>6.4299999999999996E-2</v>
          </cell>
          <cell r="AT70">
            <v>1.8656492519977908E-2</v>
          </cell>
          <cell r="AU70">
            <v>1.5331822002957392</v>
          </cell>
          <cell r="AV70">
            <v>1.1810341179343091</v>
          </cell>
          <cell r="AW70">
            <v>1.1810341179343091</v>
          </cell>
          <cell r="AX70">
            <v>182.51295789444902</v>
          </cell>
          <cell r="AY70">
            <v>1.662496549555577</v>
          </cell>
          <cell r="AZ70">
            <v>1.662496549555577</v>
          </cell>
          <cell r="BA70">
            <v>25.494709656592505</v>
          </cell>
        </row>
        <row r="71">
          <cell r="B71" t="str">
            <v>Bombardier CRJ200</v>
          </cell>
          <cell r="C71" t="str">
            <v>Bombardier standard config.</v>
          </cell>
          <cell r="D71" t="str">
            <v>CF34-3B1</v>
          </cell>
          <cell r="E71">
            <v>41.01</v>
          </cell>
          <cell r="F71">
            <v>21523</v>
          </cell>
          <cell r="G71">
            <v>31</v>
          </cell>
          <cell r="H71">
            <v>17</v>
          </cell>
          <cell r="I71">
            <v>50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82.5</v>
          </cell>
          <cell r="T71">
            <v>94</v>
          </cell>
          <cell r="U71">
            <v>77.5</v>
          </cell>
          <cell r="V71">
            <v>89</v>
          </cell>
          <cell r="W71">
            <v>92.1</v>
          </cell>
          <cell r="X71">
            <v>98</v>
          </cell>
          <cell r="AE71">
            <v>366</v>
          </cell>
          <cell r="AF71">
            <v>3683</v>
          </cell>
          <cell r="AG71">
            <v>1078</v>
          </cell>
          <cell r="AH71">
            <v>164</v>
          </cell>
          <cell r="AJ71">
            <v>18.3</v>
          </cell>
          <cell r="AK71">
            <v>9.1999999999999993</v>
          </cell>
          <cell r="AL71">
            <v>3.1</v>
          </cell>
          <cell r="AM71">
            <v>3.1</v>
          </cell>
          <cell r="AN71">
            <v>0.39910000000000001</v>
          </cell>
          <cell r="AO71">
            <v>0.32879999999999998</v>
          </cell>
          <cell r="AP71">
            <v>0.11600000000000001</v>
          </cell>
          <cell r="AQ71">
            <v>4.8899999999999999E-2</v>
          </cell>
          <cell r="AT71">
            <v>1.6915244507569798E-2</v>
          </cell>
          <cell r="AU71">
            <v>1.4516880279699276</v>
          </cell>
          <cell r="AV71">
            <v>1.1498368919580908</v>
          </cell>
          <cell r="AW71">
            <v>1.1498368919580908</v>
          </cell>
          <cell r="AX71">
            <v>168.56532919089588</v>
          </cell>
          <cell r="AY71">
            <v>1.7817800067207683</v>
          </cell>
          <cell r="AZ71">
            <v>1.7817800067207683</v>
          </cell>
          <cell r="BA71">
            <v>27.323944795801722</v>
          </cell>
        </row>
        <row r="72">
          <cell r="B72" t="str">
            <v>Bombardier CRJ700</v>
          </cell>
          <cell r="C72" t="str">
            <v>Bombardier standard config.</v>
          </cell>
          <cell r="D72" t="str">
            <v>CF34-8C1</v>
          </cell>
          <cell r="E72">
            <v>56.36</v>
          </cell>
          <cell r="F72">
            <v>32995</v>
          </cell>
          <cell r="G72">
            <v>31</v>
          </cell>
          <cell r="H72">
            <v>17</v>
          </cell>
          <cell r="I72">
            <v>75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89.4</v>
          </cell>
          <cell r="T72">
            <v>94</v>
          </cell>
          <cell r="U72">
            <v>82.7</v>
          </cell>
          <cell r="V72">
            <v>89</v>
          </cell>
          <cell r="W72">
            <v>92.6</v>
          </cell>
          <cell r="X72">
            <v>98</v>
          </cell>
          <cell r="AE72">
            <v>13</v>
          </cell>
          <cell r="AF72">
            <v>2845</v>
          </cell>
          <cell r="AG72">
            <v>2120</v>
          </cell>
          <cell r="AH72">
            <v>239</v>
          </cell>
          <cell r="AJ72">
            <v>5.33</v>
          </cell>
          <cell r="AK72">
            <v>1.48</v>
          </cell>
          <cell r="AL72">
            <v>0</v>
          </cell>
          <cell r="AM72">
            <v>0</v>
          </cell>
          <cell r="AN72">
            <v>0.60419999999999996</v>
          </cell>
          <cell r="AO72">
            <v>0.49409999999999998</v>
          </cell>
          <cell r="AP72">
            <v>0.1681</v>
          </cell>
          <cell r="AQ72">
            <v>6.9000000000000006E-2</v>
          </cell>
          <cell r="AT72">
            <v>1.7880258446365191E-2</v>
          </cell>
          <cell r="AU72">
            <v>1.5331822002957392</v>
          </cell>
          <cell r="AV72">
            <v>1.1810341179343091</v>
          </cell>
          <cell r="AW72">
            <v>1.1810341179343091</v>
          </cell>
          <cell r="AX72">
            <v>182.51295789444902</v>
          </cell>
          <cell r="AY72">
            <v>1.662496549555577</v>
          </cell>
          <cell r="AZ72">
            <v>1.662496549555577</v>
          </cell>
          <cell r="BA72">
            <v>25.494709656592505</v>
          </cell>
        </row>
        <row r="73">
          <cell r="B73" t="str">
            <v>Bombardier CRJ900</v>
          </cell>
          <cell r="C73" t="str">
            <v>Bombardier standard config.</v>
          </cell>
          <cell r="D73" t="str">
            <v>CF34-8C5</v>
          </cell>
          <cell r="E73">
            <v>59.42</v>
          </cell>
          <cell r="F73">
            <v>38329</v>
          </cell>
          <cell r="G73">
            <v>31</v>
          </cell>
          <cell r="H73">
            <v>17.5</v>
          </cell>
          <cell r="I73">
            <v>68</v>
          </cell>
          <cell r="J73">
            <v>31</v>
          </cell>
          <cell r="K73">
            <v>17.5</v>
          </cell>
          <cell r="L73">
            <v>11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89.8</v>
          </cell>
          <cell r="T73">
            <v>94.3</v>
          </cell>
          <cell r="U73">
            <v>84.2</v>
          </cell>
          <cell r="V73">
            <v>89</v>
          </cell>
          <cell r="W73">
            <v>92.3</v>
          </cell>
          <cell r="X73">
            <v>98.3</v>
          </cell>
          <cell r="AE73">
            <v>18</v>
          </cell>
          <cell r="AF73">
            <v>2070</v>
          </cell>
          <cell r="AG73">
            <v>2205</v>
          </cell>
          <cell r="AH73">
            <v>240</v>
          </cell>
          <cell r="AJ73">
            <v>8.32</v>
          </cell>
          <cell r="AK73">
            <v>2.52</v>
          </cell>
          <cell r="AL73">
            <v>0</v>
          </cell>
          <cell r="AM73">
            <v>0</v>
          </cell>
          <cell r="AN73">
            <v>0.64810000000000001</v>
          </cell>
          <cell r="AO73">
            <v>0.52969999999999995</v>
          </cell>
          <cell r="AP73">
            <v>0.17929999999999999</v>
          </cell>
          <cell r="AQ73">
            <v>6.4299999999999996E-2</v>
          </cell>
          <cell r="AT73">
            <v>2.087182558822058E-2</v>
          </cell>
          <cell r="AU73">
            <v>1.5331822002957392</v>
          </cell>
          <cell r="AV73">
            <v>1.1810341179343091</v>
          </cell>
          <cell r="AW73">
            <v>1.1810341179343091</v>
          </cell>
          <cell r="AX73">
            <v>182.51295789444902</v>
          </cell>
          <cell r="AY73">
            <v>1.662496549555577</v>
          </cell>
          <cell r="AZ73">
            <v>1.662496549555577</v>
          </cell>
          <cell r="BA73">
            <v>25.494709656592505</v>
          </cell>
        </row>
        <row r="74">
          <cell r="B74" t="str">
            <v>Airbus A350-1000</v>
          </cell>
          <cell r="C74" t="str">
            <v>British Airways</v>
          </cell>
          <cell r="D74" t="str">
            <v>Trent XWB-97</v>
          </cell>
          <cell r="E74">
            <v>436.7</v>
          </cell>
          <cell r="F74">
            <v>316000</v>
          </cell>
          <cell r="G74">
            <v>31</v>
          </cell>
          <cell r="H74">
            <v>17.600000000000001</v>
          </cell>
          <cell r="I74">
            <v>219</v>
          </cell>
          <cell r="J74">
            <v>38</v>
          </cell>
          <cell r="K74">
            <v>18.7</v>
          </cell>
          <cell r="L74">
            <v>56</v>
          </cell>
          <cell r="M74">
            <v>79</v>
          </cell>
          <cell r="N74">
            <v>27</v>
          </cell>
          <cell r="O74">
            <v>56</v>
          </cell>
          <cell r="P74">
            <v>0</v>
          </cell>
          <cell r="Q74">
            <v>0</v>
          </cell>
          <cell r="R74">
            <v>0</v>
          </cell>
          <cell r="S74">
            <v>94.7</v>
          </cell>
          <cell r="T74">
            <v>102.1</v>
          </cell>
          <cell r="U74">
            <v>89.8</v>
          </cell>
          <cell r="V74">
            <v>99.9</v>
          </cell>
          <cell r="W74">
            <v>96.8</v>
          </cell>
          <cell r="X74">
            <v>105</v>
          </cell>
          <cell r="AE74">
            <v>451</v>
          </cell>
          <cell r="AF74">
            <v>10117</v>
          </cell>
          <cell r="AG74">
            <v>28456</v>
          </cell>
          <cell r="AH74">
            <v>1242</v>
          </cell>
          <cell r="AJ74">
            <v>10.7</v>
          </cell>
          <cell r="AK74">
            <v>8.6999999999999993</v>
          </cell>
          <cell r="AL74">
            <v>6.3</v>
          </cell>
          <cell r="AM74">
            <v>1.3</v>
          </cell>
          <cell r="AN74">
            <v>3.5070000000000001</v>
          </cell>
          <cell r="AO74">
            <v>2.8050000000000002</v>
          </cell>
          <cell r="AP74">
            <v>0.90700000000000003</v>
          </cell>
          <cell r="AQ74">
            <v>0.32500000000000001</v>
          </cell>
          <cell r="AT74">
            <v>5.5511633730830838E-2</v>
          </cell>
          <cell r="AU74">
            <v>1.6513343009971913</v>
          </cell>
          <cell r="AV74">
            <v>1.2129334174299515</v>
          </cell>
          <cell r="AW74">
            <v>1.2129334174299515</v>
          </cell>
          <cell r="AX74">
            <v>204.52717618547004</v>
          </cell>
          <cell r="AY74">
            <v>1.4396031444039483</v>
          </cell>
          <cell r="AZ74">
            <v>1.4396031444039483</v>
          </cell>
          <cell r="BA74">
            <v>22.076595706082895</v>
          </cell>
        </row>
        <row r="75">
          <cell r="B75" t="str">
            <v>Boeing 777-200ER</v>
          </cell>
          <cell r="C75" t="str">
            <v>British Airways</v>
          </cell>
          <cell r="D75" t="str">
            <v>GE90-85B</v>
          </cell>
          <cell r="E75">
            <v>395.31</v>
          </cell>
          <cell r="F75">
            <v>233600</v>
          </cell>
          <cell r="G75">
            <v>31</v>
          </cell>
          <cell r="H75">
            <v>18.100000000000001</v>
          </cell>
          <cell r="I75">
            <v>219</v>
          </cell>
          <cell r="J75">
            <v>38</v>
          </cell>
          <cell r="K75">
            <v>18.5</v>
          </cell>
          <cell r="L75">
            <v>24</v>
          </cell>
          <cell r="M75">
            <v>73</v>
          </cell>
          <cell r="N75">
            <v>20</v>
          </cell>
          <cell r="O75">
            <v>40</v>
          </cell>
          <cell r="P75">
            <v>0</v>
          </cell>
          <cell r="Q75">
            <v>0</v>
          </cell>
          <cell r="R75">
            <v>0</v>
          </cell>
          <cell r="S75">
            <v>94.2</v>
          </cell>
          <cell r="T75">
            <v>101.8</v>
          </cell>
          <cell r="U75">
            <v>91.3</v>
          </cell>
          <cell r="V75">
            <v>99.3</v>
          </cell>
          <cell r="W75">
            <v>97.8</v>
          </cell>
          <cell r="X75">
            <v>105</v>
          </cell>
          <cell r="AE75">
            <v>1772</v>
          </cell>
          <cell r="AF75">
            <v>22928</v>
          </cell>
          <cell r="AG75">
            <v>25703</v>
          </cell>
          <cell r="AH75">
            <v>1149</v>
          </cell>
          <cell r="AJ75">
            <v>0</v>
          </cell>
          <cell r="AK75">
            <v>0</v>
          </cell>
          <cell r="AL75">
            <v>0</v>
          </cell>
          <cell r="AM75">
            <v>9.6</v>
          </cell>
          <cell r="AN75">
            <v>3.19</v>
          </cell>
          <cell r="AO75">
            <v>2.6</v>
          </cell>
          <cell r="AP75">
            <v>0.85</v>
          </cell>
          <cell r="AQ75">
            <v>0.3</v>
          </cell>
          <cell r="AT75">
            <v>3.7515139145798106E-2</v>
          </cell>
          <cell r="AU75">
            <v>1.6369561075759755</v>
          </cell>
          <cell r="AV75">
            <v>1.2138321074811573</v>
          </cell>
          <cell r="AW75">
            <v>1.2138321074811573</v>
          </cell>
          <cell r="AX75">
            <v>201.20537463592822</v>
          </cell>
          <cell r="AY75">
            <v>1.4850206028140427</v>
          </cell>
          <cell r="AZ75">
            <v>1.4850206028140427</v>
          </cell>
          <cell r="BA75">
            <v>22.773081311310317</v>
          </cell>
        </row>
        <row r="76">
          <cell r="B76" t="str">
            <v>Boeing 787-10</v>
          </cell>
          <cell r="C76" t="str">
            <v>British Airways</v>
          </cell>
          <cell r="D76" t="str">
            <v>Trent 1000-J3</v>
          </cell>
          <cell r="E76">
            <v>350.9</v>
          </cell>
          <cell r="F76">
            <v>254011</v>
          </cell>
          <cell r="G76">
            <v>31</v>
          </cell>
          <cell r="H76">
            <v>17.5</v>
          </cell>
          <cell r="I76">
            <v>165</v>
          </cell>
          <cell r="J76">
            <v>38</v>
          </cell>
          <cell r="K76">
            <v>18.5</v>
          </cell>
          <cell r="L76">
            <v>35</v>
          </cell>
          <cell r="M76">
            <v>72</v>
          </cell>
          <cell r="N76">
            <v>20</v>
          </cell>
          <cell r="O76">
            <v>48</v>
          </cell>
          <cell r="P76">
            <v>73</v>
          </cell>
          <cell r="Q76">
            <v>22</v>
          </cell>
          <cell r="R76">
            <v>8</v>
          </cell>
          <cell r="S76">
            <v>91.8</v>
          </cell>
          <cell r="T76">
            <v>101.3</v>
          </cell>
          <cell r="U76">
            <v>88.7</v>
          </cell>
          <cell r="V76">
            <v>98.6</v>
          </cell>
          <cell r="W76">
            <v>96.3</v>
          </cell>
          <cell r="X76">
            <v>104.7</v>
          </cell>
          <cell r="AE76">
            <v>0</v>
          </cell>
          <cell r="AF76">
            <v>2585</v>
          </cell>
          <cell r="AG76">
            <v>23599</v>
          </cell>
          <cell r="AH76">
            <v>965</v>
          </cell>
          <cell r="AJ76">
            <v>7.8</v>
          </cell>
          <cell r="AK76">
            <v>10.7</v>
          </cell>
          <cell r="AL76">
            <v>9.1999999999999993</v>
          </cell>
          <cell r="AM76">
            <v>1.8</v>
          </cell>
          <cell r="AN76">
            <v>2.649</v>
          </cell>
          <cell r="AO76">
            <v>2.1680000000000001</v>
          </cell>
          <cell r="AP76">
            <v>0.69899999999999995</v>
          </cell>
          <cell r="AQ76">
            <v>0.25600000000000001</v>
          </cell>
          <cell r="AT76">
            <v>5.114561016493676E-2</v>
          </cell>
          <cell r="AU76">
            <v>1.6513343009971913</v>
          </cell>
          <cell r="AV76">
            <v>1.2129334174299515</v>
          </cell>
          <cell r="AW76">
            <v>1.2129334174299515</v>
          </cell>
          <cell r="AX76">
            <v>204.52717618547004</v>
          </cell>
          <cell r="AY76">
            <v>1.4396031444039483</v>
          </cell>
          <cell r="AZ76">
            <v>1.4396031444039483</v>
          </cell>
          <cell r="BA76">
            <v>22.076595706082895</v>
          </cell>
        </row>
        <row r="77">
          <cell r="B77" t="str">
            <v>Boeing 787-8</v>
          </cell>
          <cell r="C77" t="str">
            <v>British Airways</v>
          </cell>
          <cell r="D77" t="str">
            <v>Trent 1000-AE3</v>
          </cell>
          <cell r="E77">
            <v>310.89999999999998</v>
          </cell>
          <cell r="F77">
            <v>227930</v>
          </cell>
          <cell r="G77">
            <v>31</v>
          </cell>
          <cell r="H77">
            <v>17.5</v>
          </cell>
          <cell r="I77">
            <v>154</v>
          </cell>
          <cell r="J77">
            <v>38</v>
          </cell>
          <cell r="K77">
            <v>18.5</v>
          </cell>
          <cell r="L77">
            <v>25</v>
          </cell>
          <cell r="M77">
            <v>72</v>
          </cell>
          <cell r="N77">
            <v>20</v>
          </cell>
          <cell r="O77">
            <v>35</v>
          </cell>
          <cell r="P77">
            <v>0</v>
          </cell>
          <cell r="Q77">
            <v>0</v>
          </cell>
          <cell r="R77">
            <v>0</v>
          </cell>
          <cell r="S77">
            <v>89.7</v>
          </cell>
          <cell r="T77">
            <v>100.9</v>
          </cell>
          <cell r="U77">
            <v>88</v>
          </cell>
          <cell r="V77">
            <v>98</v>
          </cell>
          <cell r="W77">
            <v>95.6</v>
          </cell>
          <cell r="X77">
            <v>104.3</v>
          </cell>
          <cell r="AE77">
            <v>0</v>
          </cell>
          <cell r="AF77">
            <v>2849</v>
          </cell>
          <cell r="AG77">
            <v>17511</v>
          </cell>
          <cell r="AH77">
            <v>866</v>
          </cell>
          <cell r="AJ77">
            <v>9.8000000000000007</v>
          </cell>
          <cell r="AK77">
            <v>13</v>
          </cell>
          <cell r="AL77">
            <v>7.8</v>
          </cell>
          <cell r="AM77">
            <v>2</v>
          </cell>
          <cell r="AN77">
            <v>2.2789999999999999</v>
          </cell>
          <cell r="AO77">
            <v>1.8740000000000001</v>
          </cell>
          <cell r="AP77">
            <v>0.623</v>
          </cell>
          <cell r="AQ77">
            <v>0.23899999999999999</v>
          </cell>
          <cell r="AT77">
            <v>4.1480888157727561E-2</v>
          </cell>
          <cell r="AU77">
            <v>1.6513343009971913</v>
          </cell>
          <cell r="AV77">
            <v>1.2129334174299515</v>
          </cell>
          <cell r="AW77">
            <v>1.2129334174299515</v>
          </cell>
          <cell r="AX77">
            <v>204.52717618547004</v>
          </cell>
          <cell r="AY77">
            <v>1.4396031444039483</v>
          </cell>
          <cell r="AZ77">
            <v>1.4396031444039483</v>
          </cell>
          <cell r="BA77">
            <v>22.076595706082895</v>
          </cell>
        </row>
        <row r="78">
          <cell r="B78" t="str">
            <v>Boeing 787-9</v>
          </cell>
          <cell r="C78" t="str">
            <v>British Airways</v>
          </cell>
          <cell r="D78" t="str">
            <v>Trent 1000-AE3</v>
          </cell>
          <cell r="E78">
            <v>310.89999999999998</v>
          </cell>
          <cell r="F78">
            <v>254011</v>
          </cell>
          <cell r="G78">
            <v>31</v>
          </cell>
          <cell r="H78">
            <v>17.5</v>
          </cell>
          <cell r="I78">
            <v>127</v>
          </cell>
          <cell r="J78">
            <v>38</v>
          </cell>
          <cell r="K78">
            <v>18.5</v>
          </cell>
          <cell r="L78">
            <v>39</v>
          </cell>
          <cell r="M78">
            <v>72</v>
          </cell>
          <cell r="N78">
            <v>20</v>
          </cell>
          <cell r="O78">
            <v>42</v>
          </cell>
          <cell r="P78">
            <v>73</v>
          </cell>
          <cell r="Q78">
            <v>22</v>
          </cell>
          <cell r="R78">
            <v>8</v>
          </cell>
          <cell r="S78">
            <v>89.7</v>
          </cell>
          <cell r="T78">
            <v>100.9</v>
          </cell>
          <cell r="U78">
            <v>88</v>
          </cell>
          <cell r="V78">
            <v>98</v>
          </cell>
          <cell r="W78">
            <v>95.6</v>
          </cell>
          <cell r="X78">
            <v>104.3</v>
          </cell>
          <cell r="AE78">
            <v>0</v>
          </cell>
          <cell r="AF78">
            <v>2849</v>
          </cell>
          <cell r="AG78">
            <v>17511</v>
          </cell>
          <cell r="AH78">
            <v>866</v>
          </cell>
          <cell r="AJ78">
            <v>9.8000000000000007</v>
          </cell>
          <cell r="AK78">
            <v>13</v>
          </cell>
          <cell r="AL78">
            <v>7.8</v>
          </cell>
          <cell r="AM78">
            <v>2</v>
          </cell>
          <cell r="AN78">
            <v>2.2789999999999999</v>
          </cell>
          <cell r="AO78">
            <v>1.8740000000000001</v>
          </cell>
          <cell r="AP78">
            <v>0.623</v>
          </cell>
          <cell r="AQ78">
            <v>0.23899999999999999</v>
          </cell>
          <cell r="AT78">
            <v>5.1320959922805741E-2</v>
          </cell>
          <cell r="AU78">
            <v>1.6513343009971913</v>
          </cell>
          <cell r="AV78">
            <v>1.2129334174299515</v>
          </cell>
          <cell r="AW78">
            <v>1.2129334174299515</v>
          </cell>
          <cell r="AX78">
            <v>204.52717618547004</v>
          </cell>
          <cell r="AY78">
            <v>1.4396031444039483</v>
          </cell>
          <cell r="AZ78">
            <v>1.4396031444039483</v>
          </cell>
          <cell r="BA78">
            <v>22.076595706082895</v>
          </cell>
        </row>
        <row r="79">
          <cell r="B79" t="str">
            <v>Embraer E170</v>
          </cell>
          <cell r="C79" t="str">
            <v>British Airways</v>
          </cell>
          <cell r="D79" t="str">
            <v>CF34-8E5</v>
          </cell>
          <cell r="E79">
            <v>59.68</v>
          </cell>
          <cell r="F79">
            <v>35990</v>
          </cell>
          <cell r="G79">
            <v>30</v>
          </cell>
          <cell r="H79">
            <v>18</v>
          </cell>
          <cell r="I79">
            <v>52</v>
          </cell>
          <cell r="J79">
            <v>30</v>
          </cell>
          <cell r="K79">
            <v>18</v>
          </cell>
          <cell r="L79">
            <v>24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92.2</v>
          </cell>
          <cell r="T79">
            <v>94.4</v>
          </cell>
          <cell r="U79">
            <v>85.3</v>
          </cell>
          <cell r="V79">
            <v>89</v>
          </cell>
          <cell r="W79">
            <v>93.5</v>
          </cell>
          <cell r="X79">
            <v>98.3</v>
          </cell>
          <cell r="AE79">
            <v>18</v>
          </cell>
          <cell r="AF79">
            <v>2065</v>
          </cell>
          <cell r="AG79">
            <v>2222</v>
          </cell>
          <cell r="AH79">
            <v>241</v>
          </cell>
          <cell r="AJ79">
            <v>8.6300000000000008</v>
          </cell>
          <cell r="AK79">
            <v>2.64</v>
          </cell>
          <cell r="AL79">
            <v>0</v>
          </cell>
          <cell r="AM79">
            <v>0</v>
          </cell>
          <cell r="AN79">
            <v>0.65180000000000005</v>
          </cell>
          <cell r="AO79">
            <v>0.53259999999999996</v>
          </cell>
          <cell r="AP79">
            <v>0.18</v>
          </cell>
          <cell r="AQ79">
            <v>6.4399999999999999E-2</v>
          </cell>
          <cell r="AT79">
            <v>1.957719002800027E-2</v>
          </cell>
          <cell r="AU79">
            <v>1.4730320389050195</v>
          </cell>
          <cell r="AV79">
            <v>1.1580077085131542</v>
          </cell>
          <cell r="AW79">
            <v>1.1580077085131542</v>
          </cell>
          <cell r="AX79">
            <v>172.21833076230956</v>
          </cell>
          <cell r="AY79">
            <v>1.7505386634265436</v>
          </cell>
          <cell r="AZ79">
            <v>1.7505386634265436</v>
          </cell>
          <cell r="BA79">
            <v>26.844852687742247</v>
          </cell>
        </row>
        <row r="80">
          <cell r="B80" t="str">
            <v>Embraer E190</v>
          </cell>
          <cell r="C80" t="str">
            <v>British Airways</v>
          </cell>
          <cell r="D80" t="str">
            <v>CF34-10E5A1</v>
          </cell>
          <cell r="E80">
            <v>83.7</v>
          </cell>
          <cell r="F80">
            <v>47790</v>
          </cell>
          <cell r="G80">
            <v>30</v>
          </cell>
          <cell r="H80">
            <v>18</v>
          </cell>
          <cell r="I80">
            <v>60</v>
          </cell>
          <cell r="J80">
            <v>30</v>
          </cell>
          <cell r="K80">
            <v>18</v>
          </cell>
          <cell r="L80">
            <v>38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92.8</v>
          </cell>
          <cell r="T80">
            <v>95.5</v>
          </cell>
          <cell r="U80">
            <v>85.4</v>
          </cell>
          <cell r="V80">
            <v>89.4</v>
          </cell>
          <cell r="W80">
            <v>92.4</v>
          </cell>
          <cell r="X80">
            <v>99.3</v>
          </cell>
          <cell r="AE80">
            <v>690</v>
          </cell>
          <cell r="AF80">
            <v>6273</v>
          </cell>
          <cell r="AG80">
            <v>3328</v>
          </cell>
          <cell r="AH80">
            <v>323</v>
          </cell>
          <cell r="AJ80">
            <v>16.010000000000002</v>
          </cell>
          <cell r="AK80">
            <v>7.7</v>
          </cell>
          <cell r="AL80">
            <v>0.12</v>
          </cell>
          <cell r="AM80">
            <v>0.34</v>
          </cell>
          <cell r="AN80">
            <v>0.86599999999999999</v>
          </cell>
          <cell r="AO80">
            <v>0.71399999999999997</v>
          </cell>
          <cell r="AP80">
            <v>0.23699999999999999</v>
          </cell>
          <cell r="AQ80">
            <v>8.6999999999999994E-2</v>
          </cell>
          <cell r="AT80">
            <v>2.8682052383315653E-2</v>
          </cell>
          <cell r="AU80">
            <v>1.5331822002957392</v>
          </cell>
          <cell r="AV80">
            <v>1.1810341179343091</v>
          </cell>
          <cell r="AW80">
            <v>1.1810341179343091</v>
          </cell>
          <cell r="AX80">
            <v>182.51295789444902</v>
          </cell>
          <cell r="AY80">
            <v>1.662496549555577</v>
          </cell>
          <cell r="AZ80">
            <v>1.662496549555577</v>
          </cell>
          <cell r="BA80">
            <v>25.494709656592505</v>
          </cell>
        </row>
        <row r="81">
          <cell r="B81" t="str">
            <v>Boeing 777-300ER</v>
          </cell>
          <cell r="C81" t="str">
            <v>British Airways</v>
          </cell>
          <cell r="D81" t="str">
            <v>GE90-115B</v>
          </cell>
          <cell r="E81">
            <v>513.9</v>
          </cell>
          <cell r="F81">
            <v>351535</v>
          </cell>
          <cell r="G81">
            <v>31</v>
          </cell>
          <cell r="H81">
            <v>17.5</v>
          </cell>
          <cell r="I81">
            <v>185</v>
          </cell>
          <cell r="J81">
            <v>38</v>
          </cell>
          <cell r="K81">
            <v>18.5</v>
          </cell>
          <cell r="L81">
            <v>44</v>
          </cell>
          <cell r="M81">
            <v>72</v>
          </cell>
          <cell r="N81">
            <v>20</v>
          </cell>
          <cell r="O81">
            <v>56</v>
          </cell>
          <cell r="P81">
            <v>78</v>
          </cell>
          <cell r="Q81">
            <v>22</v>
          </cell>
          <cell r="R81">
            <v>14</v>
          </cell>
          <cell r="S81">
            <v>99.2</v>
          </cell>
          <cell r="T81">
            <v>102.5</v>
          </cell>
          <cell r="U81">
            <v>92</v>
          </cell>
          <cell r="V81">
            <v>100.4</v>
          </cell>
          <cell r="W81">
            <v>100.3</v>
          </cell>
          <cell r="X81">
            <v>105</v>
          </cell>
          <cell r="AE81">
            <v>2559</v>
          </cell>
          <cell r="AF81">
            <v>23858</v>
          </cell>
          <cell r="AG81">
            <v>34888</v>
          </cell>
          <cell r="AH81">
            <v>1546</v>
          </cell>
          <cell r="AJ81">
            <v>4.0999999999999996</v>
          </cell>
          <cell r="AK81">
            <v>2.5</v>
          </cell>
          <cell r="AL81">
            <v>1.45</v>
          </cell>
          <cell r="AM81">
            <v>0.87</v>
          </cell>
          <cell r="AN81">
            <v>4.6900000000000004</v>
          </cell>
          <cell r="AO81">
            <v>3.67</v>
          </cell>
          <cell r="AP81">
            <v>1.1299999999999999</v>
          </cell>
          <cell r="AQ81">
            <v>0.38</v>
          </cell>
          <cell r="AT81">
            <v>4.2129907386228703E-2</v>
          </cell>
          <cell r="AU81">
            <v>1.6369561075759755</v>
          </cell>
          <cell r="AV81">
            <v>1.2138321074811573</v>
          </cell>
          <cell r="AW81">
            <v>1.2138321074811573</v>
          </cell>
          <cell r="AX81">
            <v>201.20537463592822</v>
          </cell>
          <cell r="AY81">
            <v>1.4850206028140427</v>
          </cell>
          <cell r="AZ81">
            <v>1.4850206028140427</v>
          </cell>
          <cell r="BA81">
            <v>22.773081311310317</v>
          </cell>
        </row>
        <row r="82">
          <cell r="B82" t="str">
            <v>Airbus A319</v>
          </cell>
          <cell r="C82" t="str">
            <v>Brussels Airlines</v>
          </cell>
          <cell r="D82" t="str">
            <v>CFM56-5B6/P</v>
          </cell>
          <cell r="E82">
            <v>104.53</v>
          </cell>
          <cell r="F82">
            <v>75500</v>
          </cell>
          <cell r="G82">
            <v>30</v>
          </cell>
          <cell r="H82">
            <v>17.8</v>
          </cell>
          <cell r="I82">
            <v>141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91.4</v>
          </cell>
          <cell r="T82">
            <v>96.9</v>
          </cell>
          <cell r="U82">
            <v>86.9</v>
          </cell>
          <cell r="V82">
            <v>91.7</v>
          </cell>
          <cell r="W82">
            <v>93.7</v>
          </cell>
          <cell r="X82">
            <v>100.6</v>
          </cell>
          <cell r="AE82">
            <v>901</v>
          </cell>
          <cell r="AF82">
            <v>4525</v>
          </cell>
          <cell r="AG82">
            <v>4232</v>
          </cell>
          <cell r="AH82">
            <v>363</v>
          </cell>
          <cell r="AJ82">
            <v>5.4</v>
          </cell>
          <cell r="AK82">
            <v>2.2000000000000002</v>
          </cell>
          <cell r="AL82">
            <v>0.3</v>
          </cell>
          <cell r="AM82">
            <v>0.6</v>
          </cell>
          <cell r="AN82">
            <v>0.96099999999999997</v>
          </cell>
          <cell r="AO82">
            <v>0.79900000000000004</v>
          </cell>
          <cell r="AP82">
            <v>0.27500000000000002</v>
          </cell>
          <cell r="AQ82">
            <v>9.7000000000000003E-2</v>
          </cell>
          <cell r="AT82">
            <v>2.5642921689705618E-2</v>
          </cell>
          <cell r="AU82">
            <v>1.5331822002957392</v>
          </cell>
          <cell r="AV82">
            <v>1.1810341179343091</v>
          </cell>
          <cell r="AW82">
            <v>1.1810341179343091</v>
          </cell>
          <cell r="AX82">
            <v>182.51295789444902</v>
          </cell>
          <cell r="AY82">
            <v>1.662496549555577</v>
          </cell>
          <cell r="AZ82">
            <v>1.662496549555577</v>
          </cell>
          <cell r="BA82">
            <v>25.494709656592505</v>
          </cell>
        </row>
        <row r="83">
          <cell r="B83" t="str">
            <v>Airbus A319</v>
          </cell>
          <cell r="C83" t="str">
            <v>Brussels Airlines</v>
          </cell>
          <cell r="D83" t="str">
            <v>CFM56-5B5/3</v>
          </cell>
          <cell r="E83">
            <v>97.9</v>
          </cell>
          <cell r="F83">
            <v>75500</v>
          </cell>
          <cell r="G83">
            <v>30</v>
          </cell>
          <cell r="H83">
            <v>17.8</v>
          </cell>
          <cell r="I83">
            <v>141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90.5</v>
          </cell>
          <cell r="T83">
            <v>96.8</v>
          </cell>
          <cell r="U83">
            <v>86.3</v>
          </cell>
          <cell r="V83">
            <v>91.6</v>
          </cell>
          <cell r="W83">
            <v>93.4</v>
          </cell>
          <cell r="X83">
            <v>100.6</v>
          </cell>
          <cell r="AE83">
            <v>520</v>
          </cell>
          <cell r="AF83">
            <v>6343</v>
          </cell>
          <cell r="AG83">
            <v>3047</v>
          </cell>
          <cell r="AH83">
            <v>343</v>
          </cell>
          <cell r="AJ83">
            <v>9.6999999999999993</v>
          </cell>
          <cell r="AK83">
            <v>8</v>
          </cell>
          <cell r="AL83">
            <v>2.1</v>
          </cell>
          <cell r="AM83">
            <v>2.1</v>
          </cell>
          <cell r="AN83">
            <v>0.89400000000000002</v>
          </cell>
          <cell r="AO83">
            <v>0.74299999999999999</v>
          </cell>
          <cell r="AP83">
            <v>0.26400000000000001</v>
          </cell>
          <cell r="AQ83">
            <v>9.1999999999999998E-2</v>
          </cell>
          <cell r="AT83">
            <v>2.5642921689705618E-2</v>
          </cell>
          <cell r="AU83">
            <v>1.5331822002957392</v>
          </cell>
          <cell r="AV83">
            <v>1.1810341179343091</v>
          </cell>
          <cell r="AW83">
            <v>1.1810341179343091</v>
          </cell>
          <cell r="AX83">
            <v>182.51295789444902</v>
          </cell>
          <cell r="AY83">
            <v>1.662496549555577</v>
          </cell>
          <cell r="AZ83">
            <v>1.662496549555577</v>
          </cell>
          <cell r="BA83">
            <v>25.494709656592505</v>
          </cell>
        </row>
        <row r="84">
          <cell r="B84" t="str">
            <v>Airbus A320</v>
          </cell>
          <cell r="C84" t="str">
            <v>Brussels Airlines</v>
          </cell>
          <cell r="D84" t="str">
            <v>CFM56-5B4/P</v>
          </cell>
          <cell r="E84">
            <v>120.11</v>
          </cell>
          <cell r="F84">
            <v>78000</v>
          </cell>
          <cell r="G84">
            <v>30</v>
          </cell>
          <cell r="H84">
            <v>17.5</v>
          </cell>
          <cell r="I84">
            <v>162</v>
          </cell>
          <cell r="J84">
            <v>0</v>
          </cell>
          <cell r="K84">
            <v>0</v>
          </cell>
          <cell r="L84">
            <v>0</v>
          </cell>
          <cell r="M84">
            <v>30</v>
          </cell>
          <cell r="N84">
            <v>26.25</v>
          </cell>
          <cell r="O84">
            <v>12</v>
          </cell>
          <cell r="P84">
            <v>0</v>
          </cell>
          <cell r="Q84">
            <v>0</v>
          </cell>
          <cell r="R84">
            <v>0</v>
          </cell>
          <cell r="S84">
            <v>92.8</v>
          </cell>
          <cell r="T84">
            <v>97</v>
          </cell>
          <cell r="U84">
            <v>85.2</v>
          </cell>
          <cell r="V84">
            <v>91.8</v>
          </cell>
          <cell r="W84">
            <v>95.2</v>
          </cell>
          <cell r="X84">
            <v>100.7</v>
          </cell>
          <cell r="AE84">
            <v>818</v>
          </cell>
          <cell r="AF84">
            <v>4123</v>
          </cell>
          <cell r="AG84">
            <v>5641</v>
          </cell>
          <cell r="AH84">
            <v>408</v>
          </cell>
          <cell r="AJ84">
            <v>5.4</v>
          </cell>
          <cell r="AK84">
            <v>4.0999999999999996</v>
          </cell>
          <cell r="AL84">
            <v>0.2</v>
          </cell>
          <cell r="AM84">
            <v>0.5</v>
          </cell>
          <cell r="AN84">
            <v>1.1319999999999999</v>
          </cell>
          <cell r="AO84">
            <v>0.93500000000000005</v>
          </cell>
          <cell r="AP84">
            <v>0.312</v>
          </cell>
          <cell r="AQ84">
            <v>0.104</v>
          </cell>
          <cell r="AT84">
            <v>2.8597287885879265E-2</v>
          </cell>
          <cell r="AU84">
            <v>1.5331822002957392</v>
          </cell>
          <cell r="AV84">
            <v>1.1810341179343091</v>
          </cell>
          <cell r="AW84">
            <v>1.1810341179343091</v>
          </cell>
          <cell r="AX84">
            <v>182.51295789444902</v>
          </cell>
          <cell r="AY84">
            <v>1.662496549555577</v>
          </cell>
          <cell r="AZ84">
            <v>1.662496549555577</v>
          </cell>
          <cell r="BA84">
            <v>25.494709656592505</v>
          </cell>
        </row>
        <row r="85">
          <cell r="B85" t="str">
            <v>Airbus A330-300</v>
          </cell>
          <cell r="C85" t="str">
            <v>Brussels Airlines</v>
          </cell>
          <cell r="D85" t="str">
            <v>Trent 772B-60</v>
          </cell>
          <cell r="E85">
            <v>315.89999999999998</v>
          </cell>
          <cell r="F85">
            <v>242000</v>
          </cell>
          <cell r="G85">
            <v>32</v>
          </cell>
          <cell r="H85">
            <v>17.5</v>
          </cell>
          <cell r="I85">
            <v>226</v>
          </cell>
          <cell r="J85">
            <v>34</v>
          </cell>
          <cell r="K85">
            <v>17.5</v>
          </cell>
          <cell r="L85">
            <v>32</v>
          </cell>
          <cell r="M85">
            <v>43</v>
          </cell>
          <cell r="N85">
            <v>20.5</v>
          </cell>
          <cell r="O85">
            <v>30</v>
          </cell>
          <cell r="P85">
            <v>0</v>
          </cell>
          <cell r="Q85">
            <v>0</v>
          </cell>
          <cell r="R85">
            <v>0</v>
          </cell>
          <cell r="S85">
            <v>97.3</v>
          </cell>
          <cell r="T85">
            <v>101.1</v>
          </cell>
          <cell r="U85">
            <v>91.9</v>
          </cell>
          <cell r="V85">
            <v>98.3</v>
          </cell>
          <cell r="W85">
            <v>96.9</v>
          </cell>
          <cell r="X85">
            <v>104.5</v>
          </cell>
          <cell r="AE85">
            <v>735</v>
          </cell>
          <cell r="AF85">
            <v>4175</v>
          </cell>
          <cell r="AG85">
            <v>21462</v>
          </cell>
          <cell r="AH85">
            <v>1096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3.15</v>
          </cell>
          <cell r="AO85">
            <v>2.58</v>
          </cell>
          <cell r="AP85">
            <v>0.84</v>
          </cell>
          <cell r="AQ85">
            <v>0.27</v>
          </cell>
          <cell r="AT85">
            <v>4.0082972805128396E-2</v>
          </cell>
          <cell r="AU85">
            <v>1.6052294051517633</v>
          </cell>
          <cell r="AV85">
            <v>1.2086148990711754</v>
          </cell>
          <cell r="AW85">
            <v>1.2086148990711754</v>
          </cell>
          <cell r="AX85">
            <v>194.84374957907579</v>
          </cell>
          <cell r="AY85">
            <v>1.5570406693491181</v>
          </cell>
          <cell r="AZ85">
            <v>1.5570406693491181</v>
          </cell>
          <cell r="BA85">
            <v>23.877523113761615</v>
          </cell>
        </row>
        <row r="86">
          <cell r="B86" t="str">
            <v>Airbus A350-900</v>
          </cell>
          <cell r="C86" t="str">
            <v>Cathay Pacific</v>
          </cell>
          <cell r="D86" t="str">
            <v>Trent XWB-84</v>
          </cell>
          <cell r="E86">
            <v>379</v>
          </cell>
          <cell r="F86">
            <v>280000</v>
          </cell>
          <cell r="G86">
            <v>32</v>
          </cell>
          <cell r="H86">
            <v>18</v>
          </cell>
          <cell r="I86">
            <v>214</v>
          </cell>
          <cell r="J86">
            <v>40</v>
          </cell>
          <cell r="K86">
            <v>20</v>
          </cell>
          <cell r="L86">
            <v>28</v>
          </cell>
          <cell r="M86">
            <v>45</v>
          </cell>
          <cell r="N86">
            <v>20</v>
          </cell>
          <cell r="O86">
            <v>38</v>
          </cell>
          <cell r="P86">
            <v>0</v>
          </cell>
          <cell r="Q86">
            <v>0</v>
          </cell>
          <cell r="R86">
            <v>0</v>
          </cell>
          <cell r="S86">
            <v>91.5</v>
          </cell>
          <cell r="T86">
            <v>101.7</v>
          </cell>
          <cell r="U86">
            <v>86.5</v>
          </cell>
          <cell r="V86">
            <v>99.2</v>
          </cell>
          <cell r="W86">
            <v>96.5</v>
          </cell>
          <cell r="X86">
            <v>105</v>
          </cell>
          <cell r="AE86">
            <v>424</v>
          </cell>
          <cell r="AF86">
            <v>9760</v>
          </cell>
          <cell r="AG86">
            <v>20243</v>
          </cell>
          <cell r="AH86">
            <v>1069</v>
          </cell>
          <cell r="AJ86">
            <v>5.8</v>
          </cell>
          <cell r="AK86">
            <v>6.4</v>
          </cell>
          <cell r="AL86">
            <v>6.6</v>
          </cell>
          <cell r="AM86">
            <v>1.2</v>
          </cell>
          <cell r="AN86">
            <v>2.819</v>
          </cell>
          <cell r="AO86">
            <v>2.306</v>
          </cell>
          <cell r="AP86">
            <v>0.80100000000000005</v>
          </cell>
          <cell r="AQ86">
            <v>0.29099999999999998</v>
          </cell>
          <cell r="AT86">
            <v>4.588535564997364E-2</v>
          </cell>
          <cell r="AU86">
            <v>1.6513343009971913</v>
          </cell>
          <cell r="AV86">
            <v>1.2129334174299515</v>
          </cell>
          <cell r="AW86">
            <v>1.2129334174299515</v>
          </cell>
          <cell r="AX86">
            <v>204.52717618547004</v>
          </cell>
          <cell r="AY86">
            <v>1.4396031444039483</v>
          </cell>
          <cell r="AZ86">
            <v>1.4396031444039483</v>
          </cell>
          <cell r="BA86">
            <v>22.076595706082895</v>
          </cell>
        </row>
        <row r="87">
          <cell r="B87" t="str">
            <v>Airbus A350-1000</v>
          </cell>
          <cell r="C87" t="str">
            <v>Cathay Pacific</v>
          </cell>
          <cell r="D87" t="str">
            <v>Trent XWB-97</v>
          </cell>
          <cell r="E87">
            <v>436.7</v>
          </cell>
          <cell r="F87">
            <v>316000</v>
          </cell>
          <cell r="G87">
            <v>32</v>
          </cell>
          <cell r="H87">
            <v>18</v>
          </cell>
          <cell r="I87">
            <v>256</v>
          </cell>
          <cell r="J87">
            <v>40</v>
          </cell>
          <cell r="K87">
            <v>20</v>
          </cell>
          <cell r="L87">
            <v>32</v>
          </cell>
          <cell r="M87">
            <v>74</v>
          </cell>
          <cell r="N87">
            <v>20</v>
          </cell>
          <cell r="O87">
            <v>46</v>
          </cell>
          <cell r="P87">
            <v>0</v>
          </cell>
          <cell r="Q87">
            <v>0</v>
          </cell>
          <cell r="R87">
            <v>0</v>
          </cell>
          <cell r="S87">
            <v>94.7</v>
          </cell>
          <cell r="T87">
            <v>102.1</v>
          </cell>
          <cell r="U87">
            <v>89.8</v>
          </cell>
          <cell r="V87">
            <v>99.9</v>
          </cell>
          <cell r="W87">
            <v>96.8</v>
          </cell>
          <cell r="X87">
            <v>105</v>
          </cell>
          <cell r="AE87">
            <v>451</v>
          </cell>
          <cell r="AF87">
            <v>10117</v>
          </cell>
          <cell r="AG87">
            <v>28456</v>
          </cell>
          <cell r="AH87">
            <v>1242</v>
          </cell>
          <cell r="AJ87">
            <v>10.7</v>
          </cell>
          <cell r="AK87">
            <v>8.6999999999999993</v>
          </cell>
          <cell r="AL87">
            <v>6.3</v>
          </cell>
          <cell r="AM87">
            <v>1.3</v>
          </cell>
          <cell r="AN87">
            <v>3.5070000000000001</v>
          </cell>
          <cell r="AO87">
            <v>2.8050000000000002</v>
          </cell>
          <cell r="AP87">
            <v>0.90700000000000003</v>
          </cell>
          <cell r="AQ87">
            <v>0.32500000000000001</v>
          </cell>
          <cell r="AT87">
            <v>5.5511633730830838E-2</v>
          </cell>
          <cell r="AU87">
            <v>1.6513343009971913</v>
          </cell>
          <cell r="AV87">
            <v>1.2129334174299515</v>
          </cell>
          <cell r="AW87">
            <v>1.2129334174299515</v>
          </cell>
          <cell r="AX87">
            <v>204.52717618547004</v>
          </cell>
          <cell r="AY87">
            <v>1.4396031444039483</v>
          </cell>
          <cell r="AZ87">
            <v>1.4396031444039483</v>
          </cell>
          <cell r="BA87">
            <v>22.076595706082895</v>
          </cell>
        </row>
        <row r="88">
          <cell r="B88" t="str">
            <v>Boeing 757-300</v>
          </cell>
          <cell r="C88" t="str">
            <v>Condor</v>
          </cell>
          <cell r="D88" t="str">
            <v>RB211-535E4B-37</v>
          </cell>
          <cell r="E88">
            <v>191.73</v>
          </cell>
          <cell r="F88">
            <v>122470</v>
          </cell>
          <cell r="G88">
            <v>29</v>
          </cell>
          <cell r="H88">
            <v>17</v>
          </cell>
          <cell r="I88">
            <v>236</v>
          </cell>
          <cell r="J88">
            <v>29</v>
          </cell>
          <cell r="K88">
            <v>17</v>
          </cell>
          <cell r="L88">
            <v>26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93.8</v>
          </cell>
          <cell r="T88">
            <v>98.4</v>
          </cell>
          <cell r="U88">
            <v>86.1</v>
          </cell>
          <cell r="V88">
            <v>94.1</v>
          </cell>
          <cell r="W88">
            <v>95.2</v>
          </cell>
          <cell r="X88">
            <v>102</v>
          </cell>
          <cell r="AE88">
            <v>88</v>
          </cell>
          <cell r="AF88">
            <v>3837</v>
          </cell>
          <cell r="AG88">
            <v>14791</v>
          </cell>
          <cell r="AH88">
            <v>734</v>
          </cell>
          <cell r="AJ88">
            <v>1.73</v>
          </cell>
          <cell r="AK88">
            <v>1.84</v>
          </cell>
          <cell r="AL88">
            <v>0.96</v>
          </cell>
          <cell r="AM88">
            <v>0.5</v>
          </cell>
          <cell r="AN88">
            <v>2.08</v>
          </cell>
          <cell r="AO88">
            <v>1.65</v>
          </cell>
          <cell r="AP88">
            <v>0.55000000000000004</v>
          </cell>
          <cell r="AQ88">
            <v>0.19</v>
          </cell>
          <cell r="AT88">
            <v>5.0841914205816567E-2</v>
          </cell>
          <cell r="AU88">
            <v>1.570295437136549</v>
          </cell>
          <cell r="AV88">
            <v>1.1952416373603938</v>
          </cell>
          <cell r="AW88">
            <v>1.1952416373603938</v>
          </cell>
          <cell r="AX88">
            <v>188.86484334428377</v>
          </cell>
          <cell r="AY88">
            <v>1.608173705717574</v>
          </cell>
          <cell r="AZ88">
            <v>1.608173705717574</v>
          </cell>
          <cell r="BA88">
            <v>24.661658224551623</v>
          </cell>
        </row>
        <row r="89">
          <cell r="B89" t="str">
            <v>ATR 72</v>
          </cell>
          <cell r="C89" t="str">
            <v>Czech Airlines</v>
          </cell>
          <cell r="D89" t="str">
            <v>PW127F</v>
          </cell>
          <cell r="E89" t="e">
            <v>#N/A</v>
          </cell>
          <cell r="F89">
            <v>22500</v>
          </cell>
          <cell r="G89">
            <v>30</v>
          </cell>
          <cell r="H89">
            <v>17</v>
          </cell>
          <cell r="I89">
            <v>56</v>
          </cell>
          <cell r="J89">
            <v>0</v>
          </cell>
          <cell r="K89">
            <v>0</v>
          </cell>
          <cell r="L89">
            <v>0</v>
          </cell>
          <cell r="M89">
            <v>30</v>
          </cell>
          <cell r="N89">
            <v>17</v>
          </cell>
          <cell r="O89">
            <v>8</v>
          </cell>
          <cell r="P89">
            <v>0</v>
          </cell>
          <cell r="Q89">
            <v>0</v>
          </cell>
          <cell r="R89">
            <v>0</v>
          </cell>
          <cell r="S89" t="e">
            <v>#N/A</v>
          </cell>
          <cell r="T89" t="e">
            <v>#N/A</v>
          </cell>
          <cell r="U89" t="e">
            <v>#N/A</v>
          </cell>
          <cell r="V89" t="e">
            <v>#N/A</v>
          </cell>
          <cell r="W89" t="e">
            <v>#N/A</v>
          </cell>
          <cell r="X89" t="e">
            <v>#N/A</v>
          </cell>
          <cell r="AE89" t="e">
            <v>#N/A</v>
          </cell>
          <cell r="AF89" t="e">
            <v>#N/A</v>
          </cell>
          <cell r="AG89" t="e">
            <v>#N/A</v>
          </cell>
          <cell r="AH89" t="e">
            <v>#N/A</v>
          </cell>
          <cell r="AJ89" t="e">
            <v>#N/A</v>
          </cell>
          <cell r="AK89" t="e">
            <v>#N/A</v>
          </cell>
          <cell r="AL89" t="e">
            <v>#N/A</v>
          </cell>
          <cell r="AM89" t="e">
            <v>#N/A</v>
          </cell>
          <cell r="AN89" t="e">
            <v>#N/A</v>
          </cell>
          <cell r="AO89" t="e">
            <v>#N/A</v>
          </cell>
          <cell r="AP89" t="e">
            <v>#N/A</v>
          </cell>
          <cell r="AQ89" t="e">
            <v>#N/A</v>
          </cell>
          <cell r="AT89">
            <v>2.0942678082516972E-2</v>
          </cell>
          <cell r="AU89">
            <v>0.64327342209102822</v>
          </cell>
          <cell r="AV89">
            <v>0.95730011932345882</v>
          </cell>
          <cell r="AW89">
            <v>0.95730011932345882</v>
          </cell>
          <cell r="AX89">
            <v>14.48174300676996</v>
          </cell>
          <cell r="AY89">
            <v>4.1185246303678369E-2</v>
          </cell>
          <cell r="AZ89">
            <v>4.1185246303678369E-2</v>
          </cell>
          <cell r="BA89">
            <v>0.63158380504802858</v>
          </cell>
        </row>
        <row r="90">
          <cell r="B90" t="str">
            <v>Airbus A330-900</v>
          </cell>
          <cell r="C90" t="str">
            <v>Delta</v>
          </cell>
          <cell r="D90" t="str">
            <v>Trent 7000-72</v>
          </cell>
          <cell r="E90">
            <v>327.9</v>
          </cell>
          <cell r="F90">
            <v>242000</v>
          </cell>
          <cell r="G90">
            <v>31</v>
          </cell>
          <cell r="H90">
            <v>18</v>
          </cell>
          <cell r="I90">
            <v>168</v>
          </cell>
          <cell r="J90">
            <v>34</v>
          </cell>
          <cell r="K90">
            <v>18</v>
          </cell>
          <cell r="L90">
            <v>56</v>
          </cell>
          <cell r="M90">
            <v>38</v>
          </cell>
          <cell r="N90">
            <v>18.5</v>
          </cell>
          <cell r="O90">
            <v>28</v>
          </cell>
          <cell r="P90">
            <v>46</v>
          </cell>
          <cell r="Q90">
            <v>23.3</v>
          </cell>
          <cell r="R90">
            <v>29</v>
          </cell>
          <cell r="S90">
            <v>92.5</v>
          </cell>
          <cell r="T90">
            <v>101.1</v>
          </cell>
          <cell r="U90">
            <v>89.2</v>
          </cell>
          <cell r="V90">
            <v>98.3</v>
          </cell>
          <cell r="W90">
            <v>98.4</v>
          </cell>
          <cell r="X90">
            <v>104.5</v>
          </cell>
          <cell r="AE90">
            <v>0</v>
          </cell>
          <cell r="AF90">
            <v>2689</v>
          </cell>
          <cell r="AG90">
            <v>21739</v>
          </cell>
          <cell r="AH90">
            <v>909</v>
          </cell>
          <cell r="AJ90">
            <v>8.3000000000000007</v>
          </cell>
          <cell r="AK90">
            <v>11.6</v>
          </cell>
          <cell r="AL90">
            <v>8.8000000000000007</v>
          </cell>
          <cell r="AM90">
            <v>1.9</v>
          </cell>
          <cell r="AN90">
            <v>2.4780000000000002</v>
          </cell>
          <cell r="AO90">
            <v>2.0289999999999999</v>
          </cell>
          <cell r="AP90">
            <v>0.67</v>
          </cell>
          <cell r="AQ90">
            <v>0.24099999999999999</v>
          </cell>
          <cell r="AT90">
            <v>6.3194192026538476E-2</v>
          </cell>
          <cell r="AU90">
            <v>1.6052294051517633</v>
          </cell>
          <cell r="AV90">
            <v>1.2086148990711754</v>
          </cell>
          <cell r="AW90">
            <v>1.2086148990711754</v>
          </cell>
          <cell r="AX90">
            <v>194.84374957907579</v>
          </cell>
          <cell r="AY90">
            <v>1.5570406693491181</v>
          </cell>
          <cell r="AZ90">
            <v>1.5570406693491181</v>
          </cell>
          <cell r="BA90">
            <v>23.877523113761615</v>
          </cell>
        </row>
        <row r="91">
          <cell r="B91" t="str">
            <v>Boeing 757-200</v>
          </cell>
          <cell r="C91" t="str">
            <v>Delta</v>
          </cell>
          <cell r="D91" t="str">
            <v>PW2037</v>
          </cell>
          <cell r="E91">
            <v>167.25</v>
          </cell>
          <cell r="F91">
            <v>108850</v>
          </cell>
          <cell r="G91">
            <v>31</v>
          </cell>
          <cell r="H91">
            <v>17.2</v>
          </cell>
          <cell r="I91">
            <v>135</v>
          </cell>
          <cell r="J91">
            <v>34</v>
          </cell>
          <cell r="K91">
            <v>17.2</v>
          </cell>
          <cell r="L91">
            <v>21</v>
          </cell>
          <cell r="M91">
            <v>37</v>
          </cell>
          <cell r="N91">
            <v>21</v>
          </cell>
          <cell r="O91">
            <v>24</v>
          </cell>
          <cell r="P91">
            <v>0</v>
          </cell>
          <cell r="Q91">
            <v>0</v>
          </cell>
          <cell r="R91">
            <v>0</v>
          </cell>
          <cell r="S91">
            <v>93.7</v>
          </cell>
          <cell r="T91">
            <v>98.4</v>
          </cell>
          <cell r="U91">
            <v>91.4</v>
          </cell>
          <cell r="V91">
            <v>94.1</v>
          </cell>
          <cell r="W91">
            <v>98.1</v>
          </cell>
          <cell r="X91">
            <v>102</v>
          </cell>
          <cell r="AE91">
            <v>530</v>
          </cell>
          <cell r="AF91">
            <v>5396</v>
          </cell>
          <cell r="AG91">
            <v>8107</v>
          </cell>
          <cell r="AH91">
            <v>547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1.538</v>
          </cell>
          <cell r="AO91">
            <v>1.266</v>
          </cell>
          <cell r="AP91">
            <v>0.39900000000000002</v>
          </cell>
          <cell r="AQ91">
            <v>0.14099999999999999</v>
          </cell>
          <cell r="AT91">
            <v>4.4689785733558356E-2</v>
          </cell>
          <cell r="AU91">
            <v>1.570295437136549</v>
          </cell>
          <cell r="AV91">
            <v>1.1952416373603938</v>
          </cell>
          <cell r="AW91">
            <v>1.1952416373603938</v>
          </cell>
          <cell r="AX91">
            <v>188.86484334428377</v>
          </cell>
          <cell r="AY91">
            <v>1.608173705717574</v>
          </cell>
          <cell r="AZ91">
            <v>1.608173705717574</v>
          </cell>
          <cell r="BA91">
            <v>24.661658224551623</v>
          </cell>
        </row>
        <row r="92">
          <cell r="B92" t="str">
            <v>Boeing 767-400ER</v>
          </cell>
          <cell r="C92" t="str">
            <v>Delta</v>
          </cell>
          <cell r="D92" t="str">
            <v>CF6-80C2B7F</v>
          </cell>
          <cell r="E92">
            <v>267.02999999999997</v>
          </cell>
          <cell r="F92">
            <v>204116</v>
          </cell>
          <cell r="G92">
            <v>31</v>
          </cell>
          <cell r="H92">
            <v>18.100000000000001</v>
          </cell>
          <cell r="I92">
            <v>156</v>
          </cell>
          <cell r="J92">
            <v>34</v>
          </cell>
          <cell r="K92">
            <v>18.100000000000001</v>
          </cell>
          <cell r="L92">
            <v>28</v>
          </cell>
          <cell r="M92">
            <v>38</v>
          </cell>
          <cell r="N92">
            <v>19</v>
          </cell>
          <cell r="O92">
            <v>20</v>
          </cell>
          <cell r="P92">
            <v>77</v>
          </cell>
          <cell r="Q92">
            <v>21</v>
          </cell>
          <cell r="R92">
            <v>34</v>
          </cell>
          <cell r="S92">
            <v>97</v>
          </cell>
          <cell r="T92">
            <v>100.1</v>
          </cell>
          <cell r="U92">
            <v>89.5</v>
          </cell>
          <cell r="V92">
            <v>96.7</v>
          </cell>
          <cell r="W92">
            <v>96.5</v>
          </cell>
          <cell r="X92">
            <v>103.5</v>
          </cell>
          <cell r="AE92">
            <v>3041</v>
          </cell>
          <cell r="AF92">
            <v>13931</v>
          </cell>
          <cell r="AG92">
            <v>12134</v>
          </cell>
          <cell r="AH92">
            <v>834</v>
          </cell>
          <cell r="AJ92">
            <v>8.1999999999999993</v>
          </cell>
          <cell r="AK92">
            <v>5.4</v>
          </cell>
          <cell r="AL92">
            <v>2.2999999999999998</v>
          </cell>
          <cell r="AM92">
            <v>3.4</v>
          </cell>
          <cell r="AN92">
            <v>2.54</v>
          </cell>
          <cell r="AO92">
            <v>2.02</v>
          </cell>
          <cell r="AP92">
            <v>0.64</v>
          </cell>
          <cell r="AQ92">
            <v>0.2</v>
          </cell>
          <cell r="AT92">
            <v>2.6952824749438126E-2</v>
          </cell>
          <cell r="AU92">
            <v>1.570295437136549</v>
          </cell>
          <cell r="AV92">
            <v>1.1952416373603938</v>
          </cell>
          <cell r="AW92">
            <v>1.1952416373603938</v>
          </cell>
          <cell r="AX92">
            <v>188.86484334428377</v>
          </cell>
          <cell r="AY92">
            <v>1.608173705717574</v>
          </cell>
          <cell r="AZ92">
            <v>1.608173705717574</v>
          </cell>
          <cell r="BA92">
            <v>24.661658224551623</v>
          </cell>
        </row>
        <row r="93">
          <cell r="B93" t="str">
            <v>Boeing MD-90</v>
          </cell>
          <cell r="C93" t="str">
            <v>Delta</v>
          </cell>
          <cell r="D93" t="str">
            <v>V2525-D5</v>
          </cell>
          <cell r="E93">
            <v>111.2</v>
          </cell>
          <cell r="F93">
            <v>70760</v>
          </cell>
          <cell r="G93">
            <v>30</v>
          </cell>
          <cell r="H93">
            <v>18.100000000000001</v>
          </cell>
          <cell r="I93">
            <v>117</v>
          </cell>
          <cell r="J93">
            <v>34</v>
          </cell>
          <cell r="K93">
            <v>18.100000000000001</v>
          </cell>
          <cell r="L93">
            <v>25</v>
          </cell>
          <cell r="M93">
            <v>0</v>
          </cell>
          <cell r="N93">
            <v>0</v>
          </cell>
          <cell r="O93">
            <v>0</v>
          </cell>
          <cell r="P93">
            <v>37</v>
          </cell>
          <cell r="Q93">
            <v>19.600000000000001</v>
          </cell>
          <cell r="R93">
            <v>16</v>
          </cell>
          <cell r="S93">
            <v>88.8</v>
          </cell>
          <cell r="T93">
            <v>96.8</v>
          </cell>
          <cell r="U93">
            <v>84.2</v>
          </cell>
          <cell r="V93">
            <v>91.6</v>
          </cell>
          <cell r="W93">
            <v>91.9</v>
          </cell>
          <cell r="X93">
            <v>100.6</v>
          </cell>
          <cell r="AE93">
            <v>32</v>
          </cell>
          <cell r="AF93">
            <v>2764</v>
          </cell>
          <cell r="AG93">
            <v>5382</v>
          </cell>
          <cell r="AH93">
            <v>437</v>
          </cell>
          <cell r="AJ93">
            <v>5.2</v>
          </cell>
          <cell r="AK93">
            <v>7.2</v>
          </cell>
          <cell r="AL93">
            <v>4.2</v>
          </cell>
          <cell r="AM93">
            <v>2.6</v>
          </cell>
          <cell r="AN93">
            <v>1.0529999999999999</v>
          </cell>
          <cell r="AO93">
            <v>0.88</v>
          </cell>
          <cell r="AP93">
            <v>0.31900000000000001</v>
          </cell>
          <cell r="AQ93">
            <v>0.128</v>
          </cell>
          <cell r="AT93">
            <v>4.0760356617727297E-2</v>
          </cell>
          <cell r="AU93">
            <v>1.4937117240729401</v>
          </cell>
          <cell r="AV93">
            <v>1.1659242109192574</v>
          </cell>
          <cell r="AW93">
            <v>1.1659242109192574</v>
          </cell>
          <cell r="AX93">
            <v>175.75763378480519</v>
          </cell>
          <cell r="AY93">
            <v>1.7202696973211475</v>
          </cell>
          <cell r="AZ93">
            <v>1.7202696973211475</v>
          </cell>
          <cell r="BA93">
            <v>26.38067217400307</v>
          </cell>
        </row>
        <row r="94">
          <cell r="B94" t="str">
            <v>Boeing 737-900</v>
          </cell>
          <cell r="C94" t="str">
            <v>Delta</v>
          </cell>
          <cell r="D94" t="str">
            <v>CFM56-7B27</v>
          </cell>
          <cell r="E94">
            <v>121.44</v>
          </cell>
          <cell r="F94">
            <v>74389</v>
          </cell>
          <cell r="G94">
            <v>30</v>
          </cell>
          <cell r="H94">
            <v>17.2</v>
          </cell>
          <cell r="I94">
            <v>139</v>
          </cell>
          <cell r="J94">
            <v>34</v>
          </cell>
          <cell r="K94">
            <v>17.2</v>
          </cell>
          <cell r="L94">
            <v>21</v>
          </cell>
          <cell r="M94">
            <v>37</v>
          </cell>
          <cell r="N94">
            <v>21</v>
          </cell>
          <cell r="O94">
            <v>20</v>
          </cell>
          <cell r="P94">
            <v>0</v>
          </cell>
          <cell r="Q94">
            <v>0</v>
          </cell>
          <cell r="R94">
            <v>0</v>
          </cell>
          <cell r="S94">
            <v>94.9</v>
          </cell>
          <cell r="T94">
            <v>97</v>
          </cell>
          <cell r="U94">
            <v>86.4</v>
          </cell>
          <cell r="V94">
            <v>91.8</v>
          </cell>
          <cell r="W94">
            <v>96</v>
          </cell>
          <cell r="X94">
            <v>100.7</v>
          </cell>
          <cell r="AE94">
            <v>335</v>
          </cell>
          <cell r="AF94">
            <v>3436</v>
          </cell>
          <cell r="AG94">
            <v>6719</v>
          </cell>
          <cell r="AH94">
            <v>456</v>
          </cell>
          <cell r="AJ94">
            <v>15.7</v>
          </cell>
          <cell r="AK94">
            <v>12.1</v>
          </cell>
          <cell r="AL94">
            <v>0</v>
          </cell>
          <cell r="AM94">
            <v>0</v>
          </cell>
          <cell r="AN94">
            <v>1.284</v>
          </cell>
          <cell r="AO94">
            <v>1.0429999999999999</v>
          </cell>
          <cell r="AP94">
            <v>0.34899999999999998</v>
          </cell>
          <cell r="AQ94">
            <v>0.11600000000000001</v>
          </cell>
          <cell r="AT94">
            <v>1.998788652812248E-2</v>
          </cell>
          <cell r="AU94">
            <v>1.5426742566452178</v>
          </cell>
          <cell r="AV94">
            <v>1.1846678234921715</v>
          </cell>
          <cell r="AW94">
            <v>1.1846678234921715</v>
          </cell>
          <cell r="AX94">
            <v>184.13751182042103</v>
          </cell>
          <cell r="AY94">
            <v>1.6486029757617855</v>
          </cell>
          <cell r="AZ94">
            <v>1.6486029757617855</v>
          </cell>
          <cell r="BA94">
            <v>25.281648985844143</v>
          </cell>
        </row>
        <row r="95">
          <cell r="B95" t="str">
            <v>Airbus A319</v>
          </cell>
          <cell r="C95" t="str">
            <v>EasyJet</v>
          </cell>
          <cell r="D95" t="str">
            <v>CFM56-5B5/3</v>
          </cell>
          <cell r="E95">
            <v>97.9</v>
          </cell>
          <cell r="F95">
            <v>75500</v>
          </cell>
          <cell r="G95">
            <v>29</v>
          </cell>
          <cell r="H95">
            <v>18</v>
          </cell>
          <cell r="I95">
            <v>156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90.5</v>
          </cell>
          <cell r="T95">
            <v>96.8</v>
          </cell>
          <cell r="U95">
            <v>86.3</v>
          </cell>
          <cell r="V95">
            <v>91.6</v>
          </cell>
          <cell r="W95">
            <v>93.4</v>
          </cell>
          <cell r="X95">
            <v>100.6</v>
          </cell>
          <cell r="AE95">
            <v>520</v>
          </cell>
          <cell r="AF95">
            <v>6343</v>
          </cell>
          <cell r="AG95">
            <v>3047</v>
          </cell>
          <cell r="AH95">
            <v>343</v>
          </cell>
          <cell r="AJ95">
            <v>9.6999999999999993</v>
          </cell>
          <cell r="AK95">
            <v>8</v>
          </cell>
          <cell r="AL95">
            <v>2.1</v>
          </cell>
          <cell r="AM95">
            <v>2.1</v>
          </cell>
          <cell r="AN95">
            <v>0.89400000000000002</v>
          </cell>
          <cell r="AO95">
            <v>0.74299999999999999</v>
          </cell>
          <cell r="AP95">
            <v>0.26400000000000001</v>
          </cell>
          <cell r="AQ95">
            <v>9.1999999999999998E-2</v>
          </cell>
          <cell r="AT95">
            <v>2.5642921689705618E-2</v>
          </cell>
          <cell r="AU95">
            <v>1.5331822002957392</v>
          </cell>
          <cell r="AV95">
            <v>1.1810341179343091</v>
          </cell>
          <cell r="AW95">
            <v>1.1810341179343091</v>
          </cell>
          <cell r="AX95">
            <v>182.51295789444902</v>
          </cell>
          <cell r="AY95">
            <v>1.662496549555577</v>
          </cell>
          <cell r="AZ95">
            <v>1.662496549555577</v>
          </cell>
          <cell r="BA95">
            <v>25.494709656592505</v>
          </cell>
        </row>
        <row r="96">
          <cell r="B96" t="str">
            <v>Airbus A320neo</v>
          </cell>
          <cell r="C96" t="str">
            <v>EasyJet</v>
          </cell>
          <cell r="D96" t="str">
            <v>LEAP-1A26</v>
          </cell>
          <cell r="E96">
            <v>120.6</v>
          </cell>
          <cell r="F96">
            <v>79000</v>
          </cell>
          <cell r="G96">
            <v>29</v>
          </cell>
          <cell r="H96">
            <v>18</v>
          </cell>
          <cell r="I96">
            <v>186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86.2</v>
          </cell>
          <cell r="T96">
            <v>96.8</v>
          </cell>
          <cell r="U96">
            <v>79.7</v>
          </cell>
          <cell r="V96">
            <v>91.6</v>
          </cell>
          <cell r="W96">
            <v>91.8</v>
          </cell>
          <cell r="X96">
            <v>100.6</v>
          </cell>
          <cell r="AE96">
            <v>43</v>
          </cell>
          <cell r="AF96">
            <v>3130</v>
          </cell>
          <cell r="AG96">
            <v>2852</v>
          </cell>
          <cell r="AH96">
            <v>324</v>
          </cell>
          <cell r="AJ96">
            <v>1.3</v>
          </cell>
          <cell r="AK96">
            <v>1.17</v>
          </cell>
          <cell r="AL96">
            <v>1.31</v>
          </cell>
          <cell r="AM96">
            <v>1.25</v>
          </cell>
          <cell r="AN96">
            <v>0.85499999999999998</v>
          </cell>
          <cell r="AO96">
            <v>0.70499999999999996</v>
          </cell>
          <cell r="AP96">
            <v>0.24199999999999999</v>
          </cell>
          <cell r="AQ96">
            <v>8.7999999999999995E-2</v>
          </cell>
          <cell r="AT96">
            <v>2.8788575539066177E-2</v>
          </cell>
          <cell r="AU96">
            <v>1.5331822002957392</v>
          </cell>
          <cell r="AV96">
            <v>1.1810341179343091</v>
          </cell>
          <cell r="AW96">
            <v>1.1810341179343091</v>
          </cell>
          <cell r="AX96">
            <v>182.51295789444902</v>
          </cell>
          <cell r="AY96">
            <v>1.662496549555577</v>
          </cell>
          <cell r="AZ96">
            <v>1.662496549555577</v>
          </cell>
          <cell r="BA96">
            <v>25.494709656592505</v>
          </cell>
        </row>
        <row r="97">
          <cell r="B97" t="str">
            <v>Airbus A321neo</v>
          </cell>
          <cell r="C97" t="str">
            <v>EasyJet</v>
          </cell>
          <cell r="D97" t="str">
            <v>LEAP-1A32</v>
          </cell>
          <cell r="E97">
            <v>143.1</v>
          </cell>
          <cell r="F97">
            <v>97000</v>
          </cell>
          <cell r="G97">
            <v>29</v>
          </cell>
          <cell r="H97">
            <v>18</v>
          </cell>
          <cell r="I97">
            <v>235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88.7</v>
          </cell>
          <cell r="T97">
            <v>97.6</v>
          </cell>
          <cell r="U97">
            <v>83.7</v>
          </cell>
          <cell r="V97">
            <v>92.8</v>
          </cell>
          <cell r="W97">
            <v>94.1</v>
          </cell>
          <cell r="X97">
            <v>101.3</v>
          </cell>
          <cell r="AE97">
            <v>40</v>
          </cell>
          <cell r="AF97">
            <v>2964</v>
          </cell>
          <cell r="AG97">
            <v>6024</v>
          </cell>
          <cell r="AH97">
            <v>376</v>
          </cell>
          <cell r="AJ97">
            <v>1.105</v>
          </cell>
          <cell r="AK97">
            <v>1.17</v>
          </cell>
          <cell r="AL97">
            <v>1.31</v>
          </cell>
          <cell r="AM97">
            <v>1.25</v>
          </cell>
          <cell r="AN97">
            <v>1.0580000000000001</v>
          </cell>
          <cell r="AO97">
            <v>0.86399999999999999</v>
          </cell>
          <cell r="AP97">
            <v>0.28199999999999997</v>
          </cell>
          <cell r="AQ97">
            <v>9.6000000000000002E-2</v>
          </cell>
          <cell r="AT97">
            <v>5.097549313429401E-2</v>
          </cell>
          <cell r="AU97">
            <v>1.5331822002957392</v>
          </cell>
          <cell r="AV97">
            <v>1.1810341179343091</v>
          </cell>
          <cell r="AW97">
            <v>1.1810341179343091</v>
          </cell>
          <cell r="AX97">
            <v>182.51295789444902</v>
          </cell>
          <cell r="AY97">
            <v>1.662496549555577</v>
          </cell>
          <cell r="AZ97">
            <v>1.662496549555577</v>
          </cell>
          <cell r="BA97">
            <v>25.494709656592505</v>
          </cell>
        </row>
        <row r="98">
          <cell r="B98" t="str">
            <v>Embraer E170</v>
          </cell>
          <cell r="C98" t="str">
            <v>Egyptair</v>
          </cell>
          <cell r="D98" t="str">
            <v>CF34-8E5</v>
          </cell>
          <cell r="E98">
            <v>59.68</v>
          </cell>
          <cell r="F98">
            <v>35990</v>
          </cell>
          <cell r="G98">
            <v>31</v>
          </cell>
          <cell r="H98">
            <v>17</v>
          </cell>
          <cell r="I98">
            <v>60</v>
          </cell>
          <cell r="J98">
            <v>0</v>
          </cell>
          <cell r="K98">
            <v>0</v>
          </cell>
          <cell r="L98">
            <v>0</v>
          </cell>
          <cell r="M98">
            <v>31</v>
          </cell>
          <cell r="N98">
            <v>17</v>
          </cell>
          <cell r="O98">
            <v>16</v>
          </cell>
          <cell r="P98">
            <v>0</v>
          </cell>
          <cell r="Q98">
            <v>0</v>
          </cell>
          <cell r="R98">
            <v>0</v>
          </cell>
          <cell r="S98">
            <v>92.2</v>
          </cell>
          <cell r="T98">
            <v>94.4</v>
          </cell>
          <cell r="U98">
            <v>85.3</v>
          </cell>
          <cell r="V98">
            <v>89</v>
          </cell>
          <cell r="W98">
            <v>93.5</v>
          </cell>
          <cell r="X98">
            <v>98.3</v>
          </cell>
          <cell r="AE98">
            <v>18</v>
          </cell>
          <cell r="AF98">
            <v>2065</v>
          </cell>
          <cell r="AG98">
            <v>2222</v>
          </cell>
          <cell r="AH98">
            <v>241</v>
          </cell>
          <cell r="AJ98">
            <v>8.6300000000000008</v>
          </cell>
          <cell r="AK98">
            <v>2.64</v>
          </cell>
          <cell r="AL98">
            <v>0</v>
          </cell>
          <cell r="AM98">
            <v>0</v>
          </cell>
          <cell r="AN98">
            <v>0.65180000000000005</v>
          </cell>
          <cell r="AO98">
            <v>0.53259999999999996</v>
          </cell>
          <cell r="AP98">
            <v>0.18</v>
          </cell>
          <cell r="AQ98">
            <v>6.4399999999999999E-2</v>
          </cell>
          <cell r="AT98">
            <v>1.957719002800027E-2</v>
          </cell>
          <cell r="AU98">
            <v>1.4730320389050195</v>
          </cell>
          <cell r="AV98">
            <v>1.1580077085131542</v>
          </cell>
          <cell r="AW98">
            <v>1.1580077085131542</v>
          </cell>
          <cell r="AX98">
            <v>172.21833076230956</v>
          </cell>
          <cell r="AY98">
            <v>1.7505386634265436</v>
          </cell>
          <cell r="AZ98">
            <v>1.7505386634265436</v>
          </cell>
          <cell r="BA98">
            <v>26.844852687742247</v>
          </cell>
        </row>
        <row r="99">
          <cell r="B99" t="str">
            <v>Embraer E170</v>
          </cell>
          <cell r="C99" t="str">
            <v>Embraer standard config.</v>
          </cell>
          <cell r="D99" t="str">
            <v>CF34-8E5</v>
          </cell>
          <cell r="E99">
            <v>59.68</v>
          </cell>
          <cell r="F99">
            <v>35990</v>
          </cell>
          <cell r="G99">
            <v>32</v>
          </cell>
          <cell r="H99">
            <v>19</v>
          </cell>
          <cell r="I99">
            <v>74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92.2</v>
          </cell>
          <cell r="T99">
            <v>94.4</v>
          </cell>
          <cell r="U99">
            <v>85.3</v>
          </cell>
          <cell r="V99">
            <v>89</v>
          </cell>
          <cell r="W99">
            <v>93.5</v>
          </cell>
          <cell r="X99">
            <v>98.3</v>
          </cell>
          <cell r="AE99">
            <v>18</v>
          </cell>
          <cell r="AF99">
            <v>2065</v>
          </cell>
          <cell r="AG99">
            <v>2222</v>
          </cell>
          <cell r="AH99">
            <v>241</v>
          </cell>
          <cell r="AJ99">
            <v>8.6300000000000008</v>
          </cell>
          <cell r="AK99">
            <v>2.64</v>
          </cell>
          <cell r="AL99">
            <v>0</v>
          </cell>
          <cell r="AM99">
            <v>0</v>
          </cell>
          <cell r="AN99">
            <v>0.65180000000000005</v>
          </cell>
          <cell r="AO99">
            <v>0.53259999999999996</v>
          </cell>
          <cell r="AP99">
            <v>0.18</v>
          </cell>
          <cell r="AQ99">
            <v>6.4399999999999999E-2</v>
          </cell>
          <cell r="AT99">
            <v>1.957719002800027E-2</v>
          </cell>
          <cell r="AU99">
            <v>1.4730320389050195</v>
          </cell>
          <cell r="AV99">
            <v>1.1580077085131542</v>
          </cell>
          <cell r="AW99">
            <v>1.1580077085131542</v>
          </cell>
          <cell r="AX99">
            <v>172.21833076230956</v>
          </cell>
          <cell r="AY99">
            <v>1.7505386634265436</v>
          </cell>
          <cell r="AZ99">
            <v>1.7505386634265436</v>
          </cell>
          <cell r="BA99">
            <v>26.844852687742247</v>
          </cell>
        </row>
        <row r="100">
          <cell r="B100" t="str">
            <v>Embraer E175</v>
          </cell>
          <cell r="C100" t="str">
            <v>Embraer standard config.</v>
          </cell>
          <cell r="D100" t="str">
            <v>CF34-8E5</v>
          </cell>
          <cell r="E100">
            <v>59.68</v>
          </cell>
          <cell r="F100">
            <v>37500</v>
          </cell>
          <cell r="G100">
            <v>32</v>
          </cell>
          <cell r="H100">
            <v>19</v>
          </cell>
          <cell r="I100">
            <v>78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92.2</v>
          </cell>
          <cell r="T100">
            <v>94.4</v>
          </cell>
          <cell r="U100">
            <v>85.3</v>
          </cell>
          <cell r="V100">
            <v>89</v>
          </cell>
          <cell r="W100">
            <v>93.5</v>
          </cell>
          <cell r="X100">
            <v>98.3</v>
          </cell>
          <cell r="AE100">
            <v>18</v>
          </cell>
          <cell r="AF100">
            <v>2065</v>
          </cell>
          <cell r="AG100">
            <v>2222</v>
          </cell>
          <cell r="AH100">
            <v>241</v>
          </cell>
          <cell r="AJ100">
            <v>8.6300000000000008</v>
          </cell>
          <cell r="AK100">
            <v>2.64</v>
          </cell>
          <cell r="AL100">
            <v>0</v>
          </cell>
          <cell r="AM100">
            <v>0</v>
          </cell>
          <cell r="AN100">
            <v>0.65180000000000005</v>
          </cell>
          <cell r="AO100">
            <v>0.53259999999999996</v>
          </cell>
          <cell r="AP100">
            <v>0.18</v>
          </cell>
          <cell r="AQ100">
            <v>6.4399999999999999E-2</v>
          </cell>
          <cell r="AT100">
            <v>1.9172780167330327E-2</v>
          </cell>
          <cell r="AU100">
            <v>1.4730320389050195</v>
          </cell>
          <cell r="AV100">
            <v>1.1580077085131542</v>
          </cell>
          <cell r="AW100">
            <v>1.1580077085131542</v>
          </cell>
          <cell r="AX100">
            <v>172.21833076230956</v>
          </cell>
          <cell r="AY100">
            <v>1.7505386634265436</v>
          </cell>
          <cell r="AZ100">
            <v>1.7505386634265436</v>
          </cell>
          <cell r="BA100">
            <v>26.844852687742247</v>
          </cell>
        </row>
        <row r="101">
          <cell r="B101" t="str">
            <v>Embraer E190</v>
          </cell>
          <cell r="C101" t="str">
            <v>Embraer standard config.</v>
          </cell>
          <cell r="D101" t="str">
            <v>CF34-10E5</v>
          </cell>
          <cell r="E101">
            <v>77.400000000000006</v>
          </cell>
          <cell r="F101">
            <v>47790</v>
          </cell>
          <cell r="G101">
            <v>32</v>
          </cell>
          <cell r="H101">
            <v>19</v>
          </cell>
          <cell r="I101">
            <v>98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91.7</v>
          </cell>
          <cell r="T101">
            <v>95.5</v>
          </cell>
          <cell r="U101">
            <v>86.4</v>
          </cell>
          <cell r="V101">
            <v>89.4</v>
          </cell>
          <cell r="W101">
            <v>92.4</v>
          </cell>
          <cell r="X101">
            <v>99.3</v>
          </cell>
          <cell r="AE101">
            <v>848</v>
          </cell>
          <cell r="AF101">
            <v>6761</v>
          </cell>
          <cell r="AG101">
            <v>2836</v>
          </cell>
          <cell r="AH101">
            <v>303</v>
          </cell>
          <cell r="AJ101">
            <v>11.33</v>
          </cell>
          <cell r="AK101">
            <v>5.22</v>
          </cell>
          <cell r="AL101">
            <v>0.11</v>
          </cell>
          <cell r="AM101">
            <v>0.39</v>
          </cell>
          <cell r="AN101">
            <v>0.78900000000000003</v>
          </cell>
          <cell r="AO101">
            <v>0.65</v>
          </cell>
          <cell r="AP101">
            <v>0.221</v>
          </cell>
          <cell r="AQ101">
            <v>8.4000000000000005E-2</v>
          </cell>
          <cell r="AT101">
            <v>2.8682052383315653E-2</v>
          </cell>
          <cell r="AU101">
            <v>1.5331822002957392</v>
          </cell>
          <cell r="AV101">
            <v>1.1810341179343091</v>
          </cell>
          <cell r="AW101">
            <v>1.1810341179343091</v>
          </cell>
          <cell r="AX101">
            <v>182.51295789444902</v>
          </cell>
          <cell r="AY101">
            <v>1.662496549555577</v>
          </cell>
          <cell r="AZ101">
            <v>1.662496549555577</v>
          </cell>
          <cell r="BA101">
            <v>25.494709656592505</v>
          </cell>
        </row>
        <row r="102">
          <cell r="B102" t="str">
            <v>Embraer E190-E2</v>
          </cell>
          <cell r="C102" t="str">
            <v>Embraer standard config.</v>
          </cell>
          <cell r="D102" t="str">
            <v>PW1919G</v>
          </cell>
          <cell r="E102">
            <v>92.79</v>
          </cell>
          <cell r="F102">
            <v>56400</v>
          </cell>
          <cell r="G102">
            <v>31</v>
          </cell>
          <cell r="H102">
            <v>19</v>
          </cell>
          <cell r="I102">
            <v>104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85.4</v>
          </cell>
          <cell r="T102">
            <v>95.8</v>
          </cell>
          <cell r="U102">
            <v>78.7</v>
          </cell>
          <cell r="V102">
            <v>89.9</v>
          </cell>
          <cell r="W102">
            <v>91.4</v>
          </cell>
          <cell r="X102">
            <v>99.6</v>
          </cell>
          <cell r="AE102">
            <v>25</v>
          </cell>
          <cell r="AF102">
            <v>2508</v>
          </cell>
          <cell r="AG102">
            <v>2746</v>
          </cell>
          <cell r="AH102">
            <v>251.7</v>
          </cell>
          <cell r="AJ102">
            <v>2</v>
          </cell>
          <cell r="AK102">
            <v>1.3</v>
          </cell>
          <cell r="AL102">
            <v>0.8</v>
          </cell>
          <cell r="AM102">
            <v>0.5</v>
          </cell>
          <cell r="AN102">
            <v>0.65</v>
          </cell>
          <cell r="AO102">
            <v>0.54</v>
          </cell>
          <cell r="AP102">
            <v>0.2</v>
          </cell>
          <cell r="AQ102">
            <v>7.0000000000000007E-2</v>
          </cell>
          <cell r="AT102">
            <v>2.3696024713145115E-2</v>
          </cell>
          <cell r="AU102">
            <v>1.5331822002957392</v>
          </cell>
          <cell r="AV102">
            <v>1.1810341179343091</v>
          </cell>
          <cell r="AW102">
            <v>1.1810341179343091</v>
          </cell>
          <cell r="AX102">
            <v>182.51295789444902</v>
          </cell>
          <cell r="AY102">
            <v>1.662496549555577</v>
          </cell>
          <cell r="AZ102">
            <v>1.662496549555577</v>
          </cell>
          <cell r="BA102">
            <v>25.494709656592505</v>
          </cell>
        </row>
        <row r="103">
          <cell r="B103" t="str">
            <v>Embraer E195</v>
          </cell>
          <cell r="C103" t="str">
            <v>Embraer standard config.</v>
          </cell>
          <cell r="D103" t="str">
            <v>CF34-10E5</v>
          </cell>
          <cell r="E103">
            <v>77.400000000000006</v>
          </cell>
          <cell r="F103">
            <v>48790</v>
          </cell>
          <cell r="G103">
            <v>32</v>
          </cell>
          <cell r="H103">
            <v>19</v>
          </cell>
          <cell r="I103">
            <v>108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91.7</v>
          </cell>
          <cell r="T103">
            <v>95.5</v>
          </cell>
          <cell r="U103">
            <v>86.4</v>
          </cell>
          <cell r="V103">
            <v>89.4</v>
          </cell>
          <cell r="W103">
            <v>92.4</v>
          </cell>
          <cell r="X103">
            <v>99.3</v>
          </cell>
          <cell r="AE103">
            <v>848</v>
          </cell>
          <cell r="AF103">
            <v>6761</v>
          </cell>
          <cell r="AG103">
            <v>2836</v>
          </cell>
          <cell r="AH103">
            <v>303</v>
          </cell>
          <cell r="AJ103">
            <v>11.33</v>
          </cell>
          <cell r="AK103">
            <v>5.22</v>
          </cell>
          <cell r="AL103">
            <v>0.11</v>
          </cell>
          <cell r="AM103">
            <v>0.39</v>
          </cell>
          <cell r="AN103">
            <v>0.78900000000000003</v>
          </cell>
          <cell r="AO103">
            <v>0.65</v>
          </cell>
          <cell r="AP103">
            <v>0.221</v>
          </cell>
          <cell r="AQ103">
            <v>8.4000000000000005E-2</v>
          </cell>
          <cell r="AT103">
            <v>3.1378649977493477E-2</v>
          </cell>
          <cell r="AU103">
            <v>1.5331822002957392</v>
          </cell>
          <cell r="AV103">
            <v>1.1810341179343091</v>
          </cell>
          <cell r="AW103">
            <v>1.1810341179343091</v>
          </cell>
          <cell r="AX103">
            <v>182.51295789444902</v>
          </cell>
          <cell r="AY103">
            <v>1.662496549555577</v>
          </cell>
          <cell r="AZ103">
            <v>1.662496549555577</v>
          </cell>
          <cell r="BA103">
            <v>25.494709656592505</v>
          </cell>
        </row>
        <row r="104">
          <cell r="B104" t="str">
            <v>Embraer E195-E2</v>
          </cell>
          <cell r="C104" t="str">
            <v>Embraer standard config.</v>
          </cell>
          <cell r="D104" t="str">
            <v>PW1921G</v>
          </cell>
          <cell r="E104">
            <v>100.3</v>
          </cell>
          <cell r="F104">
            <v>61500</v>
          </cell>
          <cell r="G104">
            <v>31</v>
          </cell>
          <cell r="H104">
            <v>19</v>
          </cell>
          <cell r="I104">
            <v>132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86.1</v>
          </cell>
          <cell r="T104">
            <v>96.1</v>
          </cell>
          <cell r="U104">
            <v>79.599999999999994</v>
          </cell>
          <cell r="V104">
            <v>90.4</v>
          </cell>
          <cell r="W104">
            <v>91.7</v>
          </cell>
          <cell r="X104">
            <v>99.9</v>
          </cell>
          <cell r="AE104">
            <v>21</v>
          </cell>
          <cell r="AF104">
            <v>2356</v>
          </cell>
          <cell r="AG104">
            <v>3199</v>
          </cell>
          <cell r="AH104">
            <v>270.39999999999998</v>
          </cell>
          <cell r="AJ104">
            <v>2.6</v>
          </cell>
          <cell r="AK104">
            <v>1.6</v>
          </cell>
          <cell r="AL104">
            <v>0.8</v>
          </cell>
          <cell r="AM104">
            <v>0.5</v>
          </cell>
          <cell r="AN104">
            <v>0.71</v>
          </cell>
          <cell r="AO104">
            <v>0.59</v>
          </cell>
          <cell r="AP104">
            <v>0.21</v>
          </cell>
          <cell r="AQ104">
            <v>7.0000000000000007E-2</v>
          </cell>
          <cell r="AT104">
            <v>2.6673443195087604E-2</v>
          </cell>
          <cell r="AU104">
            <v>1.5331822002957392</v>
          </cell>
          <cell r="AV104">
            <v>1.1810341179343091</v>
          </cell>
          <cell r="AW104">
            <v>1.1810341179343091</v>
          </cell>
          <cell r="AX104">
            <v>182.51295789444902</v>
          </cell>
          <cell r="AY104">
            <v>1.662496549555577</v>
          </cell>
          <cell r="AZ104">
            <v>1.662496549555577</v>
          </cell>
          <cell r="BA104">
            <v>25.494709656592505</v>
          </cell>
        </row>
        <row r="105">
          <cell r="B105" t="str">
            <v>Embraer ERJ-135</v>
          </cell>
          <cell r="C105" t="str">
            <v>Embraer standard config.</v>
          </cell>
          <cell r="D105" t="str">
            <v>AE3007 A1/3</v>
          </cell>
          <cell r="E105">
            <v>33.049999999999997</v>
          </cell>
          <cell r="F105">
            <v>19000</v>
          </cell>
          <cell r="G105">
            <v>31</v>
          </cell>
          <cell r="H105">
            <v>17.3</v>
          </cell>
          <cell r="I105">
            <v>37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84.5</v>
          </cell>
          <cell r="T105">
            <v>94</v>
          </cell>
          <cell r="U105">
            <v>79.7</v>
          </cell>
          <cell r="V105">
            <v>89</v>
          </cell>
          <cell r="W105">
            <v>92.3</v>
          </cell>
          <cell r="X105">
            <v>98</v>
          </cell>
          <cell r="AE105">
            <v>357</v>
          </cell>
          <cell r="AF105">
            <v>1954</v>
          </cell>
          <cell r="AG105">
            <v>1319</v>
          </cell>
          <cell r="AH105">
            <v>151</v>
          </cell>
          <cell r="AJ105">
            <v>1</v>
          </cell>
          <cell r="AK105">
            <v>0.01</v>
          </cell>
          <cell r="AL105">
            <v>0.01</v>
          </cell>
          <cell r="AM105">
            <v>0.01</v>
          </cell>
          <cell r="AN105">
            <v>0.3589</v>
          </cell>
          <cell r="AO105">
            <v>0.2999</v>
          </cell>
          <cell r="AP105">
            <v>0.1077</v>
          </cell>
          <cell r="AQ105">
            <v>4.4900000000000002E-2</v>
          </cell>
          <cell r="AT105">
            <v>2.6240162883353367E-2</v>
          </cell>
          <cell r="AU105">
            <v>1.4730320389050195</v>
          </cell>
          <cell r="AV105">
            <v>1.1580077085131542</v>
          </cell>
          <cell r="AW105">
            <v>1.1580077085131542</v>
          </cell>
          <cell r="AX105">
            <v>172.21833076230956</v>
          </cell>
          <cell r="AY105">
            <v>1.7505386634265436</v>
          </cell>
          <cell r="AZ105">
            <v>1.7505386634265436</v>
          </cell>
          <cell r="BA105">
            <v>26.844852687742247</v>
          </cell>
        </row>
        <row r="106">
          <cell r="B106" t="str">
            <v>Embraer ERJ-140</v>
          </cell>
          <cell r="C106" t="str">
            <v>Embraer standard config.</v>
          </cell>
          <cell r="D106" t="str">
            <v>AE3007 A1/3</v>
          </cell>
          <cell r="E106">
            <v>33.049999999999997</v>
          </cell>
          <cell r="F106">
            <v>20100</v>
          </cell>
          <cell r="G106">
            <v>31</v>
          </cell>
          <cell r="H106">
            <v>17.3</v>
          </cell>
          <cell r="I106">
            <v>44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84.5</v>
          </cell>
          <cell r="T106">
            <v>94</v>
          </cell>
          <cell r="U106">
            <v>79.7</v>
          </cell>
          <cell r="V106">
            <v>89</v>
          </cell>
          <cell r="W106">
            <v>92.3</v>
          </cell>
          <cell r="X106">
            <v>98</v>
          </cell>
          <cell r="AE106">
            <v>357</v>
          </cell>
          <cell r="AF106">
            <v>1954</v>
          </cell>
          <cell r="AG106">
            <v>1319</v>
          </cell>
          <cell r="AH106">
            <v>151</v>
          </cell>
          <cell r="AJ106">
            <v>1</v>
          </cell>
          <cell r="AK106">
            <v>0.01</v>
          </cell>
          <cell r="AL106">
            <v>0.01</v>
          </cell>
          <cell r="AM106">
            <v>0.01</v>
          </cell>
          <cell r="AN106">
            <v>0.3589</v>
          </cell>
          <cell r="AO106">
            <v>0.2999</v>
          </cell>
          <cell r="AP106">
            <v>0.1077</v>
          </cell>
          <cell r="AQ106">
            <v>4.4900000000000002E-2</v>
          </cell>
          <cell r="AT106">
            <v>3.3757179059071857E-2</v>
          </cell>
          <cell r="AU106">
            <v>1.4730320389050195</v>
          </cell>
          <cell r="AV106">
            <v>1.1580077085131542</v>
          </cell>
          <cell r="AW106">
            <v>1.1580077085131542</v>
          </cell>
          <cell r="AX106">
            <v>172.21833076230956</v>
          </cell>
          <cell r="AY106">
            <v>1.7505386634265436</v>
          </cell>
          <cell r="AZ106">
            <v>1.7505386634265436</v>
          </cell>
          <cell r="BA106">
            <v>26.844852687742247</v>
          </cell>
        </row>
        <row r="107">
          <cell r="B107" t="str">
            <v>Embraer ERJ-145</v>
          </cell>
          <cell r="C107" t="str">
            <v>Embraer standard config.</v>
          </cell>
          <cell r="D107" t="str">
            <v>AE3007 A</v>
          </cell>
          <cell r="E107">
            <v>33.729999999999997</v>
          </cell>
          <cell r="F107">
            <v>20600</v>
          </cell>
          <cell r="G107">
            <v>31</v>
          </cell>
          <cell r="H107">
            <v>17.3</v>
          </cell>
          <cell r="I107">
            <v>50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85</v>
          </cell>
          <cell r="T107">
            <v>94</v>
          </cell>
          <cell r="U107">
            <v>80.099999999999994</v>
          </cell>
          <cell r="V107">
            <v>89</v>
          </cell>
          <cell r="W107">
            <v>92.6</v>
          </cell>
          <cell r="X107">
            <v>98</v>
          </cell>
          <cell r="AE107">
            <v>226</v>
          </cell>
          <cell r="AF107">
            <v>1468</v>
          </cell>
          <cell r="AG107">
            <v>1563</v>
          </cell>
          <cell r="AH107">
            <v>162</v>
          </cell>
          <cell r="AJ107">
            <v>1</v>
          </cell>
          <cell r="AK107">
            <v>0</v>
          </cell>
          <cell r="AL107">
            <v>0</v>
          </cell>
          <cell r="AM107">
            <v>0</v>
          </cell>
          <cell r="AN107">
            <v>0.377</v>
          </cell>
          <cell r="AO107">
            <v>0.315</v>
          </cell>
          <cell r="AP107">
            <v>0.11700000000000001</v>
          </cell>
          <cell r="AQ107">
            <v>4.9000000000000002E-2</v>
          </cell>
          <cell r="AT107">
            <v>3.1566493682729305E-2</v>
          </cell>
          <cell r="AU107">
            <v>1.4730320389050195</v>
          </cell>
          <cell r="AV107">
            <v>1.1580077085131542</v>
          </cell>
          <cell r="AW107">
            <v>1.1580077085131542</v>
          </cell>
          <cell r="AX107">
            <v>172.21833076230956</v>
          </cell>
          <cell r="AY107">
            <v>1.7505386634265436</v>
          </cell>
          <cell r="AZ107">
            <v>1.7505386634265436</v>
          </cell>
          <cell r="BA107">
            <v>26.844852687742247</v>
          </cell>
        </row>
        <row r="108">
          <cell r="B108" t="str">
            <v>Airbus A380-800</v>
          </cell>
          <cell r="C108" t="str">
            <v>Emirates</v>
          </cell>
          <cell r="D108" t="str">
            <v>GP7270</v>
          </cell>
          <cell r="E108">
            <v>332.39</v>
          </cell>
          <cell r="F108">
            <v>575000</v>
          </cell>
          <cell r="G108">
            <v>32</v>
          </cell>
          <cell r="H108">
            <v>18</v>
          </cell>
          <cell r="I108">
            <v>399</v>
          </cell>
          <cell r="J108">
            <v>0</v>
          </cell>
          <cell r="K108">
            <v>0</v>
          </cell>
          <cell r="L108">
            <v>0</v>
          </cell>
          <cell r="M108">
            <v>48</v>
          </cell>
          <cell r="N108">
            <v>18.5</v>
          </cell>
          <cell r="O108">
            <v>76</v>
          </cell>
          <cell r="P108">
            <v>78</v>
          </cell>
          <cell r="Q108">
            <v>23</v>
          </cell>
          <cell r="R108">
            <v>14</v>
          </cell>
          <cell r="S108">
            <v>94.4</v>
          </cell>
          <cell r="T108">
            <v>103</v>
          </cell>
          <cell r="U108">
            <v>95.9</v>
          </cell>
          <cell r="V108">
            <v>106</v>
          </cell>
          <cell r="W108">
            <v>97.3</v>
          </cell>
          <cell r="X108">
            <v>105</v>
          </cell>
          <cell r="AE108">
            <v>1498</v>
          </cell>
          <cell r="AF108">
            <v>12497</v>
          </cell>
          <cell r="AG108">
            <v>17713</v>
          </cell>
          <cell r="AH108">
            <v>932</v>
          </cell>
          <cell r="AJ108">
            <v>4.0599999999999996</v>
          </cell>
          <cell r="AK108">
            <v>3.87</v>
          </cell>
          <cell r="AL108">
            <v>2.2000000000000002</v>
          </cell>
          <cell r="AM108">
            <v>3.08</v>
          </cell>
          <cell r="AN108">
            <v>2.637</v>
          </cell>
          <cell r="AO108">
            <v>2.169</v>
          </cell>
          <cell r="AP108">
            <v>0.71099999999999997</v>
          </cell>
          <cell r="AQ108">
            <v>0.23400000000000001</v>
          </cell>
          <cell r="AT108">
            <v>9.1689426131764937E-2</v>
          </cell>
          <cell r="AU108">
            <v>1.6513343009971913</v>
          </cell>
          <cell r="AV108">
            <v>1.2129334174299515</v>
          </cell>
          <cell r="AW108">
            <v>1.2129334174299515</v>
          </cell>
          <cell r="AX108">
            <v>204.52717618547004</v>
          </cell>
          <cell r="AY108">
            <v>1.4396031444039483</v>
          </cell>
          <cell r="AZ108">
            <v>1.4396031444039483</v>
          </cell>
          <cell r="BA108">
            <v>22.076595706082895</v>
          </cell>
        </row>
        <row r="109">
          <cell r="B109" t="str">
            <v>Airbus A319</v>
          </cell>
          <cell r="C109" t="str">
            <v>Eurowings</v>
          </cell>
          <cell r="D109" t="str">
            <v>V2524-A5</v>
          </cell>
          <cell r="E109">
            <v>109.06</v>
          </cell>
          <cell r="F109">
            <v>75500</v>
          </cell>
          <cell r="G109">
            <v>32</v>
          </cell>
          <cell r="H109">
            <v>18</v>
          </cell>
          <cell r="I109">
            <v>126</v>
          </cell>
          <cell r="J109">
            <v>32</v>
          </cell>
          <cell r="K109">
            <v>27</v>
          </cell>
          <cell r="L109">
            <v>12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91.3</v>
          </cell>
          <cell r="T109">
            <v>96.9</v>
          </cell>
          <cell r="U109">
            <v>85.5</v>
          </cell>
          <cell r="V109">
            <v>91.7</v>
          </cell>
          <cell r="W109">
            <v>94.4</v>
          </cell>
          <cell r="X109">
            <v>100.6</v>
          </cell>
          <cell r="AE109">
            <v>31</v>
          </cell>
          <cell r="AF109">
            <v>2708</v>
          </cell>
          <cell r="AG109">
            <v>5278</v>
          </cell>
          <cell r="AH109">
            <v>429</v>
          </cell>
          <cell r="AJ109">
            <v>5.2</v>
          </cell>
          <cell r="AK109">
            <v>7.2</v>
          </cell>
          <cell r="AL109">
            <v>4.2</v>
          </cell>
          <cell r="AM109">
            <v>2.6</v>
          </cell>
          <cell r="AN109">
            <v>1.042</v>
          </cell>
          <cell r="AO109">
            <v>0.86799999999999999</v>
          </cell>
          <cell r="AP109">
            <v>0.32800000000000001</v>
          </cell>
          <cell r="AQ109">
            <v>0.123</v>
          </cell>
          <cell r="AT109">
            <v>2.5642921689705618E-2</v>
          </cell>
          <cell r="AU109">
            <v>1.5331822002957392</v>
          </cell>
          <cell r="AV109">
            <v>1.1810341179343091</v>
          </cell>
          <cell r="AW109">
            <v>1.1810341179343091</v>
          </cell>
          <cell r="AX109">
            <v>182.51295789444902</v>
          </cell>
          <cell r="AY109">
            <v>1.662496549555577</v>
          </cell>
          <cell r="AZ109">
            <v>1.662496549555577</v>
          </cell>
          <cell r="BA109">
            <v>25.494709656592505</v>
          </cell>
        </row>
        <row r="110">
          <cell r="B110" t="str">
            <v>Airbus A319</v>
          </cell>
          <cell r="C110" t="str">
            <v>Eurowings</v>
          </cell>
          <cell r="D110" t="str">
            <v>CFM56-5B6/P</v>
          </cell>
          <cell r="E110">
            <v>104.53</v>
          </cell>
          <cell r="F110">
            <v>75500</v>
          </cell>
          <cell r="G110">
            <v>32</v>
          </cell>
          <cell r="H110">
            <v>18</v>
          </cell>
          <cell r="I110">
            <v>126</v>
          </cell>
          <cell r="J110">
            <v>32</v>
          </cell>
          <cell r="K110">
            <v>27</v>
          </cell>
          <cell r="L110">
            <v>12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91.4</v>
          </cell>
          <cell r="T110">
            <v>96.9</v>
          </cell>
          <cell r="U110">
            <v>86.9</v>
          </cell>
          <cell r="V110">
            <v>91.7</v>
          </cell>
          <cell r="W110">
            <v>93.7</v>
          </cell>
          <cell r="X110">
            <v>100.6</v>
          </cell>
          <cell r="AE110">
            <v>901</v>
          </cell>
          <cell r="AF110">
            <v>4525</v>
          </cell>
          <cell r="AG110">
            <v>4232</v>
          </cell>
          <cell r="AH110">
            <v>363</v>
          </cell>
          <cell r="AJ110">
            <v>5.4</v>
          </cell>
          <cell r="AK110">
            <v>2.2000000000000002</v>
          </cell>
          <cell r="AL110">
            <v>0.3</v>
          </cell>
          <cell r="AM110">
            <v>0.6</v>
          </cell>
          <cell r="AN110">
            <v>0.96099999999999997</v>
          </cell>
          <cell r="AO110">
            <v>0.79900000000000004</v>
          </cell>
          <cell r="AP110">
            <v>0.27500000000000002</v>
          </cell>
          <cell r="AQ110">
            <v>9.7000000000000003E-2</v>
          </cell>
          <cell r="AT110">
            <v>2.5642921689705618E-2</v>
          </cell>
          <cell r="AU110">
            <v>1.5331822002957392</v>
          </cell>
          <cell r="AV110">
            <v>1.1810341179343091</v>
          </cell>
          <cell r="AW110">
            <v>1.1810341179343091</v>
          </cell>
          <cell r="AX110">
            <v>182.51295789444902</v>
          </cell>
          <cell r="AY110">
            <v>1.662496549555577</v>
          </cell>
          <cell r="AZ110">
            <v>1.662496549555577</v>
          </cell>
          <cell r="BA110">
            <v>25.494709656592505</v>
          </cell>
        </row>
        <row r="111">
          <cell r="B111" t="str">
            <v>Airbus A320</v>
          </cell>
          <cell r="C111" t="str">
            <v>Eurowings</v>
          </cell>
          <cell r="D111" t="str">
            <v>CFM56-5B4/P</v>
          </cell>
          <cell r="E111">
            <v>120.11</v>
          </cell>
          <cell r="F111">
            <v>78000</v>
          </cell>
          <cell r="G111">
            <v>30</v>
          </cell>
          <cell r="H111">
            <v>18</v>
          </cell>
          <cell r="I111">
            <v>162</v>
          </cell>
          <cell r="J111">
            <v>0</v>
          </cell>
          <cell r="K111">
            <v>0</v>
          </cell>
          <cell r="L111">
            <v>0</v>
          </cell>
          <cell r="M111">
            <v>32</v>
          </cell>
          <cell r="N111">
            <v>27</v>
          </cell>
          <cell r="O111">
            <v>12</v>
          </cell>
          <cell r="P111">
            <v>0</v>
          </cell>
          <cell r="Q111">
            <v>0</v>
          </cell>
          <cell r="R111">
            <v>0</v>
          </cell>
          <cell r="S111">
            <v>92.8</v>
          </cell>
          <cell r="T111">
            <v>97</v>
          </cell>
          <cell r="U111">
            <v>85.2</v>
          </cell>
          <cell r="V111">
            <v>91.8</v>
          </cell>
          <cell r="W111">
            <v>95.2</v>
          </cell>
          <cell r="X111">
            <v>100.7</v>
          </cell>
          <cell r="AE111">
            <v>818</v>
          </cell>
          <cell r="AF111">
            <v>4123</v>
          </cell>
          <cell r="AG111">
            <v>5641</v>
          </cell>
          <cell r="AH111">
            <v>408</v>
          </cell>
          <cell r="AJ111">
            <v>5.4</v>
          </cell>
          <cell r="AK111">
            <v>4.0999999999999996</v>
          </cell>
          <cell r="AL111">
            <v>0.2</v>
          </cell>
          <cell r="AM111">
            <v>0.5</v>
          </cell>
          <cell r="AN111">
            <v>1.1319999999999999</v>
          </cell>
          <cell r="AO111">
            <v>0.93500000000000005</v>
          </cell>
          <cell r="AP111">
            <v>0.312</v>
          </cell>
          <cell r="AQ111">
            <v>0.104</v>
          </cell>
          <cell r="AT111">
            <v>2.8597287885879265E-2</v>
          </cell>
          <cell r="AU111">
            <v>1.5331822002957392</v>
          </cell>
          <cell r="AV111">
            <v>1.1810341179343091</v>
          </cell>
          <cell r="AW111">
            <v>1.1810341179343091</v>
          </cell>
          <cell r="AX111">
            <v>182.51295789444902</v>
          </cell>
          <cell r="AY111">
            <v>1.662496549555577</v>
          </cell>
          <cell r="AZ111">
            <v>1.662496549555577</v>
          </cell>
          <cell r="BA111">
            <v>25.494709656592505</v>
          </cell>
        </row>
        <row r="112">
          <cell r="B112" t="str">
            <v>Airbus A350-900</v>
          </cell>
          <cell r="C112" t="str">
            <v>Finnair</v>
          </cell>
          <cell r="D112" t="str">
            <v>Trent XWB-75</v>
          </cell>
          <cell r="E112">
            <v>334</v>
          </cell>
          <cell r="F112">
            <v>280000</v>
          </cell>
          <cell r="G112">
            <v>31</v>
          </cell>
          <cell r="H112">
            <v>18</v>
          </cell>
          <cell r="I112">
            <v>262</v>
          </cell>
          <cell r="J112">
            <v>35</v>
          </cell>
          <cell r="K112">
            <v>18</v>
          </cell>
          <cell r="L112">
            <v>42</v>
          </cell>
          <cell r="M112">
            <v>78</v>
          </cell>
          <cell r="N112">
            <v>21</v>
          </cell>
          <cell r="O112">
            <v>32</v>
          </cell>
          <cell r="P112">
            <v>0</v>
          </cell>
          <cell r="Q112">
            <v>0</v>
          </cell>
          <cell r="R112">
            <v>0</v>
          </cell>
          <cell r="S112">
            <v>89.9</v>
          </cell>
          <cell r="T112">
            <v>101.7</v>
          </cell>
          <cell r="U112">
            <v>88.5</v>
          </cell>
          <cell r="V112">
            <v>99.2</v>
          </cell>
          <cell r="W112">
            <v>96.5</v>
          </cell>
          <cell r="X112">
            <v>105</v>
          </cell>
          <cell r="AE112">
            <v>549</v>
          </cell>
          <cell r="AF112">
            <v>10674</v>
          </cell>
          <cell r="AG112">
            <v>14800</v>
          </cell>
          <cell r="AH112">
            <v>955</v>
          </cell>
          <cell r="AJ112">
            <v>6.2</v>
          </cell>
          <cell r="AK112">
            <v>7.5</v>
          </cell>
          <cell r="AL112">
            <v>5.6</v>
          </cell>
          <cell r="AM112">
            <v>1.3</v>
          </cell>
          <cell r="AN112">
            <v>2.411</v>
          </cell>
          <cell r="AO112">
            <v>1.98</v>
          </cell>
          <cell r="AP112">
            <v>0.71499999999999997</v>
          </cell>
          <cell r="AQ112">
            <v>0.27</v>
          </cell>
          <cell r="AT112">
            <v>4.588535564997364E-2</v>
          </cell>
          <cell r="AU112">
            <v>1.6513343009971913</v>
          </cell>
          <cell r="AV112">
            <v>1.2129334174299515</v>
          </cell>
          <cell r="AW112">
            <v>1.2129334174299515</v>
          </cell>
          <cell r="AX112">
            <v>204.52717618547004</v>
          </cell>
          <cell r="AY112">
            <v>1.4396031444039483</v>
          </cell>
          <cell r="AZ112">
            <v>1.4396031444039483</v>
          </cell>
          <cell r="BA112">
            <v>22.076595706082895</v>
          </cell>
        </row>
        <row r="113">
          <cell r="B113" t="str">
            <v>Airbus A319</v>
          </cell>
          <cell r="C113" t="str">
            <v>Finnair</v>
          </cell>
          <cell r="D113" t="str">
            <v>CFM56-5B6/P</v>
          </cell>
          <cell r="E113">
            <v>104.53</v>
          </cell>
          <cell r="F113">
            <v>75500</v>
          </cell>
          <cell r="G113">
            <v>31</v>
          </cell>
          <cell r="H113">
            <v>18</v>
          </cell>
          <cell r="I113">
            <v>117</v>
          </cell>
          <cell r="J113">
            <v>31</v>
          </cell>
          <cell r="K113">
            <v>27</v>
          </cell>
          <cell r="L113">
            <v>14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91.4</v>
          </cell>
          <cell r="T113">
            <v>96.9</v>
          </cell>
          <cell r="U113">
            <v>86.9</v>
          </cell>
          <cell r="V113">
            <v>91.7</v>
          </cell>
          <cell r="W113">
            <v>93.7</v>
          </cell>
          <cell r="X113">
            <v>100.6</v>
          </cell>
          <cell r="AE113">
            <v>901</v>
          </cell>
          <cell r="AF113">
            <v>4525</v>
          </cell>
          <cell r="AG113">
            <v>4232</v>
          </cell>
          <cell r="AH113">
            <v>363</v>
          </cell>
          <cell r="AJ113">
            <v>5.4</v>
          </cell>
          <cell r="AK113">
            <v>2.2000000000000002</v>
          </cell>
          <cell r="AL113">
            <v>0.3</v>
          </cell>
          <cell r="AM113">
            <v>0.6</v>
          </cell>
          <cell r="AN113">
            <v>0.96099999999999997</v>
          </cell>
          <cell r="AO113">
            <v>0.79900000000000004</v>
          </cell>
          <cell r="AP113">
            <v>0.27500000000000002</v>
          </cell>
          <cell r="AQ113">
            <v>9.7000000000000003E-2</v>
          </cell>
          <cell r="AT113">
            <v>2.5642921689705618E-2</v>
          </cell>
          <cell r="AU113">
            <v>1.5331822002957392</v>
          </cell>
          <cell r="AV113">
            <v>1.1810341179343091</v>
          </cell>
          <cell r="AW113">
            <v>1.1810341179343091</v>
          </cell>
          <cell r="AX113">
            <v>182.51295789444902</v>
          </cell>
          <cell r="AY113">
            <v>1.662496549555577</v>
          </cell>
          <cell r="AZ113">
            <v>1.662496549555577</v>
          </cell>
          <cell r="BA113">
            <v>25.494709656592505</v>
          </cell>
        </row>
        <row r="114">
          <cell r="B114" t="str">
            <v>Airbus A320</v>
          </cell>
          <cell r="C114" t="str">
            <v>Finnair</v>
          </cell>
          <cell r="D114" t="str">
            <v>CFM56-5B4/P</v>
          </cell>
          <cell r="E114">
            <v>120.11</v>
          </cell>
          <cell r="F114">
            <v>78000</v>
          </cell>
          <cell r="G114">
            <v>31</v>
          </cell>
          <cell r="H114">
            <v>18</v>
          </cell>
          <cell r="I114">
            <v>144</v>
          </cell>
          <cell r="J114">
            <v>0</v>
          </cell>
          <cell r="K114">
            <v>0</v>
          </cell>
          <cell r="L114">
            <v>0</v>
          </cell>
          <cell r="M114">
            <v>31</v>
          </cell>
          <cell r="N114">
            <v>27</v>
          </cell>
          <cell r="O114">
            <v>14</v>
          </cell>
          <cell r="P114">
            <v>0</v>
          </cell>
          <cell r="Q114">
            <v>0</v>
          </cell>
          <cell r="R114">
            <v>0</v>
          </cell>
          <cell r="S114">
            <v>92.8</v>
          </cell>
          <cell r="T114">
            <v>97</v>
          </cell>
          <cell r="U114">
            <v>85.2</v>
          </cell>
          <cell r="V114">
            <v>91.8</v>
          </cell>
          <cell r="W114">
            <v>95.2</v>
          </cell>
          <cell r="X114">
            <v>100.7</v>
          </cell>
          <cell r="AE114">
            <v>818</v>
          </cell>
          <cell r="AF114">
            <v>4123</v>
          </cell>
          <cell r="AG114">
            <v>5641</v>
          </cell>
          <cell r="AH114">
            <v>408</v>
          </cell>
          <cell r="AJ114">
            <v>5.4</v>
          </cell>
          <cell r="AK114">
            <v>4.0999999999999996</v>
          </cell>
          <cell r="AL114">
            <v>0.2</v>
          </cell>
          <cell r="AM114">
            <v>0.5</v>
          </cell>
          <cell r="AN114">
            <v>1.1319999999999999</v>
          </cell>
          <cell r="AO114">
            <v>0.93500000000000005</v>
          </cell>
          <cell r="AP114">
            <v>0.312</v>
          </cell>
          <cell r="AQ114">
            <v>0.104</v>
          </cell>
          <cell r="AT114">
            <v>2.8597287885879265E-2</v>
          </cell>
          <cell r="AU114">
            <v>1.5331822002957392</v>
          </cell>
          <cell r="AV114">
            <v>1.1810341179343091</v>
          </cell>
          <cell r="AW114">
            <v>1.1810341179343091</v>
          </cell>
          <cell r="AX114">
            <v>182.51295789444902</v>
          </cell>
          <cell r="AY114">
            <v>1.662496549555577</v>
          </cell>
          <cell r="AZ114">
            <v>1.662496549555577</v>
          </cell>
          <cell r="BA114">
            <v>25.494709656592505</v>
          </cell>
        </row>
        <row r="115">
          <cell r="B115" t="str">
            <v>Airbus A350-900</v>
          </cell>
          <cell r="C115" t="str">
            <v>HAW Hamburg</v>
          </cell>
          <cell r="D115" t="str">
            <v>Trent XWB-84</v>
          </cell>
          <cell r="E115">
            <v>379</v>
          </cell>
          <cell r="F115">
            <v>280000</v>
          </cell>
          <cell r="G115">
            <v>31</v>
          </cell>
          <cell r="H115">
            <v>17</v>
          </cell>
          <cell r="I115">
            <v>262</v>
          </cell>
          <cell r="J115">
            <v>38</v>
          </cell>
          <cell r="K115">
            <v>18</v>
          </cell>
          <cell r="L115">
            <v>21</v>
          </cell>
          <cell r="M115">
            <v>64</v>
          </cell>
          <cell r="N115">
            <v>20</v>
          </cell>
          <cell r="O115">
            <v>30</v>
          </cell>
          <cell r="P115">
            <v>83</v>
          </cell>
          <cell r="Q115">
            <v>31</v>
          </cell>
          <cell r="R115">
            <v>6</v>
          </cell>
          <cell r="S115">
            <v>91.5</v>
          </cell>
          <cell r="T115">
            <v>101.7</v>
          </cell>
          <cell r="U115">
            <v>86.5</v>
          </cell>
          <cell r="V115">
            <v>99.2</v>
          </cell>
          <cell r="W115">
            <v>96.5</v>
          </cell>
          <cell r="X115">
            <v>105</v>
          </cell>
          <cell r="AE115">
            <v>424</v>
          </cell>
          <cell r="AF115">
            <v>9760</v>
          </cell>
          <cell r="AG115">
            <v>20243</v>
          </cell>
          <cell r="AH115">
            <v>1069</v>
          </cell>
          <cell r="AJ115">
            <v>5.8</v>
          </cell>
          <cell r="AK115">
            <v>6.4</v>
          </cell>
          <cell r="AL115">
            <v>6.6</v>
          </cell>
          <cell r="AM115">
            <v>1.2</v>
          </cell>
          <cell r="AN115">
            <v>2.819</v>
          </cell>
          <cell r="AO115">
            <v>2.306</v>
          </cell>
          <cell r="AP115">
            <v>0.80100000000000005</v>
          </cell>
          <cell r="AQ115">
            <v>0.29099999999999998</v>
          </cell>
          <cell r="AT115">
            <v>4.588535564997364E-2</v>
          </cell>
          <cell r="AU115">
            <v>1.6513343009971913</v>
          </cell>
          <cell r="AV115">
            <v>1.2129334174299515</v>
          </cell>
          <cell r="AW115">
            <v>1.2129334174299515</v>
          </cell>
          <cell r="AX115">
            <v>204.52717618547004</v>
          </cell>
          <cell r="AY115">
            <v>1.4396031444039483</v>
          </cell>
          <cell r="AZ115">
            <v>1.4396031444039483</v>
          </cell>
          <cell r="BA115">
            <v>22.076595706082895</v>
          </cell>
        </row>
        <row r="116">
          <cell r="B116" t="str">
            <v>Airbus A320</v>
          </cell>
          <cell r="C116" t="str">
            <v>Iberia</v>
          </cell>
          <cell r="D116" t="str">
            <v>CFM56-5B4/P</v>
          </cell>
          <cell r="E116">
            <v>120.11</v>
          </cell>
          <cell r="F116">
            <v>78000</v>
          </cell>
          <cell r="G116">
            <v>28</v>
          </cell>
          <cell r="H116">
            <v>17</v>
          </cell>
          <cell r="I116">
            <v>144</v>
          </cell>
          <cell r="J116">
            <v>0</v>
          </cell>
          <cell r="K116">
            <v>0</v>
          </cell>
          <cell r="L116">
            <v>0</v>
          </cell>
          <cell r="M116">
            <v>31</v>
          </cell>
          <cell r="N116">
            <v>17</v>
          </cell>
          <cell r="O116">
            <v>18</v>
          </cell>
          <cell r="P116">
            <v>0</v>
          </cell>
          <cell r="Q116">
            <v>0</v>
          </cell>
          <cell r="R116">
            <v>0</v>
          </cell>
          <cell r="S116">
            <v>92.8</v>
          </cell>
          <cell r="T116">
            <v>97</v>
          </cell>
          <cell r="U116">
            <v>85.2</v>
          </cell>
          <cell r="V116">
            <v>91.8</v>
          </cell>
          <cell r="W116">
            <v>95.2</v>
          </cell>
          <cell r="X116">
            <v>100.7</v>
          </cell>
          <cell r="AE116">
            <v>818</v>
          </cell>
          <cell r="AF116">
            <v>4123</v>
          </cell>
          <cell r="AG116">
            <v>5641</v>
          </cell>
          <cell r="AH116">
            <v>408</v>
          </cell>
          <cell r="AJ116">
            <v>5.4</v>
          </cell>
          <cell r="AK116">
            <v>4.0999999999999996</v>
          </cell>
          <cell r="AL116">
            <v>0.2</v>
          </cell>
          <cell r="AM116">
            <v>0.5</v>
          </cell>
          <cell r="AN116">
            <v>1.1319999999999999</v>
          </cell>
          <cell r="AO116">
            <v>0.93500000000000005</v>
          </cell>
          <cell r="AP116">
            <v>0.312</v>
          </cell>
          <cell r="AQ116">
            <v>0.104</v>
          </cell>
          <cell r="AT116">
            <v>2.8597287885879265E-2</v>
          </cell>
          <cell r="AU116">
            <v>1.5331822002957392</v>
          </cell>
          <cell r="AV116">
            <v>1.1810341179343091</v>
          </cell>
          <cell r="AW116">
            <v>1.1810341179343091</v>
          </cell>
          <cell r="AX116">
            <v>182.51295789444902</v>
          </cell>
          <cell r="AY116">
            <v>1.662496549555577</v>
          </cell>
          <cell r="AZ116">
            <v>1.662496549555577</v>
          </cell>
          <cell r="BA116">
            <v>25.494709656592505</v>
          </cell>
        </row>
        <row r="117">
          <cell r="B117" t="str">
            <v>Airbus A320</v>
          </cell>
          <cell r="C117" t="str">
            <v>Iberia</v>
          </cell>
          <cell r="D117" t="str">
            <v>CFM56-5B6/3</v>
          </cell>
          <cell r="E117">
            <v>104.5</v>
          </cell>
          <cell r="F117">
            <v>78000</v>
          </cell>
          <cell r="G117">
            <v>28</v>
          </cell>
          <cell r="H117">
            <v>17</v>
          </cell>
          <cell r="I117">
            <v>144</v>
          </cell>
          <cell r="J117">
            <v>0</v>
          </cell>
          <cell r="K117">
            <v>0</v>
          </cell>
          <cell r="L117">
            <v>0</v>
          </cell>
          <cell r="M117">
            <v>31</v>
          </cell>
          <cell r="N117">
            <v>17</v>
          </cell>
          <cell r="O117">
            <v>18</v>
          </cell>
          <cell r="P117">
            <v>0</v>
          </cell>
          <cell r="Q117">
            <v>0</v>
          </cell>
          <cell r="R117">
            <v>0</v>
          </cell>
          <cell r="S117">
            <v>91.4</v>
          </cell>
          <cell r="T117">
            <v>96.9</v>
          </cell>
          <cell r="U117">
            <v>86.9</v>
          </cell>
          <cell r="V117">
            <v>91.7</v>
          </cell>
          <cell r="W117">
            <v>93.7</v>
          </cell>
          <cell r="X117">
            <v>100.6</v>
          </cell>
          <cell r="AE117">
            <v>440</v>
          </cell>
          <cell r="AF117">
            <v>5912</v>
          </cell>
          <cell r="AG117">
            <v>3363</v>
          </cell>
          <cell r="AH117">
            <v>361</v>
          </cell>
          <cell r="AJ117">
            <v>11.3</v>
          </cell>
          <cell r="AK117">
            <v>8.4</v>
          </cell>
          <cell r="AL117">
            <v>2.1</v>
          </cell>
          <cell r="AM117">
            <v>2.1</v>
          </cell>
          <cell r="AN117">
            <v>0.96499999999999997</v>
          </cell>
          <cell r="AO117">
            <v>0.8</v>
          </cell>
          <cell r="AP117">
            <v>0.27900000000000003</v>
          </cell>
          <cell r="AQ117">
            <v>9.5000000000000001E-2</v>
          </cell>
          <cell r="AT117">
            <v>2.8597287885879265E-2</v>
          </cell>
          <cell r="AU117">
            <v>1.5331822002957392</v>
          </cell>
          <cell r="AV117">
            <v>1.1810341179343091</v>
          </cell>
          <cell r="AW117">
            <v>1.1810341179343091</v>
          </cell>
          <cell r="AX117">
            <v>182.51295789444902</v>
          </cell>
          <cell r="AY117">
            <v>1.662496549555577</v>
          </cell>
          <cell r="AZ117">
            <v>1.662496549555577</v>
          </cell>
          <cell r="BA117">
            <v>25.494709656592505</v>
          </cell>
        </row>
        <row r="118">
          <cell r="B118" t="str">
            <v>Airbus A350-900</v>
          </cell>
          <cell r="C118" t="str">
            <v>Iberia</v>
          </cell>
          <cell r="D118" t="str">
            <v>Trent XWB-84</v>
          </cell>
          <cell r="E118">
            <v>379</v>
          </cell>
          <cell r="F118">
            <v>280000</v>
          </cell>
          <cell r="G118">
            <v>31</v>
          </cell>
          <cell r="H118">
            <v>18</v>
          </cell>
          <cell r="I118">
            <v>293</v>
          </cell>
          <cell r="J118">
            <v>37</v>
          </cell>
          <cell r="K118">
            <v>19</v>
          </cell>
          <cell r="L118">
            <v>24</v>
          </cell>
          <cell r="M118">
            <v>78</v>
          </cell>
          <cell r="N118">
            <v>26</v>
          </cell>
          <cell r="O118">
            <v>31</v>
          </cell>
          <cell r="P118">
            <v>0</v>
          </cell>
          <cell r="Q118">
            <v>0</v>
          </cell>
          <cell r="R118">
            <v>0</v>
          </cell>
          <cell r="S118">
            <v>91.5</v>
          </cell>
          <cell r="T118">
            <v>101.7</v>
          </cell>
          <cell r="U118">
            <v>86.5</v>
          </cell>
          <cell r="V118">
            <v>99.2</v>
          </cell>
          <cell r="W118">
            <v>96.5</v>
          </cell>
          <cell r="X118">
            <v>105</v>
          </cell>
          <cell r="AE118">
            <v>424</v>
          </cell>
          <cell r="AF118">
            <v>9760</v>
          </cell>
          <cell r="AG118">
            <v>20243</v>
          </cell>
          <cell r="AH118">
            <v>1069</v>
          </cell>
          <cell r="AJ118">
            <v>5.8</v>
          </cell>
          <cell r="AK118">
            <v>6.4</v>
          </cell>
          <cell r="AL118">
            <v>6.6</v>
          </cell>
          <cell r="AM118">
            <v>1.2</v>
          </cell>
          <cell r="AN118">
            <v>2.819</v>
          </cell>
          <cell r="AO118">
            <v>2.306</v>
          </cell>
          <cell r="AP118">
            <v>0.80100000000000005</v>
          </cell>
          <cell r="AQ118">
            <v>0.29099999999999998</v>
          </cell>
          <cell r="AT118">
            <v>4.588535564997364E-2</v>
          </cell>
          <cell r="AU118">
            <v>1.6513343009971913</v>
          </cell>
          <cell r="AV118">
            <v>1.2129334174299515</v>
          </cell>
          <cell r="AW118">
            <v>1.2129334174299515</v>
          </cell>
          <cell r="AX118">
            <v>204.52717618547004</v>
          </cell>
          <cell r="AY118">
            <v>1.4396031444039483</v>
          </cell>
          <cell r="AZ118">
            <v>1.4396031444039483</v>
          </cell>
          <cell r="BA118">
            <v>22.076595706082895</v>
          </cell>
        </row>
        <row r="119">
          <cell r="B119" t="str">
            <v>Bombardier CRJ1000</v>
          </cell>
          <cell r="C119" t="str">
            <v>Iberia</v>
          </cell>
          <cell r="D119" t="str">
            <v>CF34-8C5A2</v>
          </cell>
          <cell r="E119">
            <v>62.49</v>
          </cell>
          <cell r="F119">
            <v>41640</v>
          </cell>
          <cell r="G119">
            <v>31</v>
          </cell>
          <cell r="H119">
            <v>17</v>
          </cell>
          <cell r="I119">
            <v>100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89.8</v>
          </cell>
          <cell r="T119">
            <v>94.7</v>
          </cell>
          <cell r="U119">
            <v>85</v>
          </cell>
          <cell r="V119">
            <v>89</v>
          </cell>
          <cell r="W119">
            <v>93.3</v>
          </cell>
          <cell r="X119">
            <v>98.6</v>
          </cell>
          <cell r="AE119">
            <v>18</v>
          </cell>
          <cell r="AF119">
            <v>2026</v>
          </cell>
          <cell r="AG119">
            <v>2419</v>
          </cell>
          <cell r="AH119">
            <v>251</v>
          </cell>
          <cell r="AJ119">
            <v>13.64</v>
          </cell>
          <cell r="AK119">
            <v>3.49</v>
          </cell>
          <cell r="AL119">
            <v>0</v>
          </cell>
          <cell r="AM119">
            <v>0</v>
          </cell>
          <cell r="AN119">
            <v>0.69099999999999995</v>
          </cell>
          <cell r="AO119">
            <v>0.56299999999999994</v>
          </cell>
          <cell r="AP119">
            <v>0.188</v>
          </cell>
          <cell r="AQ119">
            <v>6.6000000000000003E-2</v>
          </cell>
          <cell r="AT119">
            <v>1.8656492519977908E-2</v>
          </cell>
          <cell r="AU119">
            <v>1.5331822002957392</v>
          </cell>
          <cell r="AV119">
            <v>1.1810341179343091</v>
          </cell>
          <cell r="AW119">
            <v>1.1810341179343091</v>
          </cell>
          <cell r="AX119">
            <v>182.51295789444902</v>
          </cell>
          <cell r="AY119">
            <v>1.662496549555577</v>
          </cell>
          <cell r="AZ119">
            <v>1.662496549555577</v>
          </cell>
          <cell r="BA119">
            <v>25.494709656592505</v>
          </cell>
        </row>
        <row r="120">
          <cell r="B120" t="str">
            <v>Boeing 767-300ER</v>
          </cell>
          <cell r="C120" t="str">
            <v>Icelandair</v>
          </cell>
          <cell r="D120" t="str">
            <v>CF6-80C2B6</v>
          </cell>
          <cell r="E120">
            <v>267.2</v>
          </cell>
          <cell r="F120">
            <v>181437</v>
          </cell>
          <cell r="G120">
            <v>31</v>
          </cell>
          <cell r="H120">
            <v>17.600000000000001</v>
          </cell>
          <cell r="I120">
            <v>234</v>
          </cell>
          <cell r="J120">
            <v>0</v>
          </cell>
          <cell r="K120">
            <v>0</v>
          </cell>
          <cell r="L120">
            <v>0</v>
          </cell>
          <cell r="M120">
            <v>40</v>
          </cell>
          <cell r="N120">
            <v>20.5</v>
          </cell>
          <cell r="O120">
            <v>25</v>
          </cell>
          <cell r="P120">
            <v>0</v>
          </cell>
          <cell r="Q120">
            <v>0</v>
          </cell>
          <cell r="R120">
            <v>0</v>
          </cell>
          <cell r="S120">
            <v>96.2</v>
          </cell>
          <cell r="T120">
            <v>100.2</v>
          </cell>
          <cell r="U120">
            <v>91.5</v>
          </cell>
          <cell r="V120">
            <v>96.8</v>
          </cell>
          <cell r="W120">
            <v>98.4</v>
          </cell>
          <cell r="X120">
            <v>103.6</v>
          </cell>
          <cell r="AE120">
            <v>2966</v>
          </cell>
          <cell r="AF120">
            <v>13970</v>
          </cell>
          <cell r="AG120">
            <v>12362</v>
          </cell>
          <cell r="AH120">
            <v>871</v>
          </cell>
          <cell r="AJ120">
            <v>7.8</v>
          </cell>
          <cell r="AK120">
            <v>5.4</v>
          </cell>
          <cell r="AL120">
            <v>2.2999999999999998</v>
          </cell>
          <cell r="AM120">
            <v>3</v>
          </cell>
          <cell r="AN120">
            <v>2.5790000000000002</v>
          </cell>
          <cell r="AO120">
            <v>2.081</v>
          </cell>
          <cell r="AP120">
            <v>0.68600000000000005</v>
          </cell>
          <cell r="AQ120">
            <v>0.20699999999999999</v>
          </cell>
          <cell r="AT120">
            <v>3.3005584008804323E-2</v>
          </cell>
          <cell r="AU120">
            <v>1.570295437136549</v>
          </cell>
          <cell r="AV120">
            <v>1.1952416373603938</v>
          </cell>
          <cell r="AW120">
            <v>1.1952416373603938</v>
          </cell>
          <cell r="AX120">
            <v>188.86484334428377</v>
          </cell>
          <cell r="AY120">
            <v>1.608173705717574</v>
          </cell>
          <cell r="AZ120">
            <v>1.608173705717574</v>
          </cell>
          <cell r="BA120">
            <v>24.661658224551623</v>
          </cell>
        </row>
        <row r="121">
          <cell r="B121" t="str">
            <v>Boeing 737 MAX 8</v>
          </cell>
          <cell r="C121" t="str">
            <v>Icelandair</v>
          </cell>
          <cell r="D121" t="str">
            <v>LEAP-1B25</v>
          </cell>
          <cell r="E121">
            <v>119.2</v>
          </cell>
          <cell r="F121">
            <v>82644</v>
          </cell>
          <cell r="G121">
            <v>32</v>
          </cell>
          <cell r="H121">
            <v>17</v>
          </cell>
          <cell r="I121">
            <v>144</v>
          </cell>
          <cell r="J121">
            <v>0</v>
          </cell>
          <cell r="K121">
            <v>0</v>
          </cell>
          <cell r="L121">
            <v>0</v>
          </cell>
          <cell r="M121">
            <v>40</v>
          </cell>
          <cell r="N121">
            <v>20</v>
          </cell>
          <cell r="O121">
            <v>16</v>
          </cell>
          <cell r="P121">
            <v>0</v>
          </cell>
          <cell r="Q121">
            <v>0</v>
          </cell>
          <cell r="R121">
            <v>0</v>
          </cell>
          <cell r="S121">
            <v>87.4</v>
          </cell>
          <cell r="T121">
            <v>97.2</v>
          </cell>
          <cell r="U121">
            <v>84.3</v>
          </cell>
          <cell r="V121">
            <v>92.1</v>
          </cell>
          <cell r="W121">
            <v>94.2</v>
          </cell>
          <cell r="X121">
            <v>100.9</v>
          </cell>
          <cell r="AE121">
            <v>116</v>
          </cell>
          <cell r="AF121">
            <v>2438</v>
          </cell>
          <cell r="AG121">
            <v>5174</v>
          </cell>
          <cell r="AH121">
            <v>348</v>
          </cell>
          <cell r="AJ121">
            <v>0.94</v>
          </cell>
          <cell r="AK121">
            <v>0.85</v>
          </cell>
          <cell r="AL121">
            <v>1.07</v>
          </cell>
          <cell r="AM121">
            <v>0.8</v>
          </cell>
          <cell r="AN121">
            <v>0.94599999999999995</v>
          </cell>
          <cell r="AO121">
            <v>0.77300000000000002</v>
          </cell>
          <cell r="AP121">
            <v>0.255</v>
          </cell>
          <cell r="AQ121">
            <v>9.2999999999999999E-2</v>
          </cell>
          <cell r="AT121">
            <v>5.1951023443360146E-2</v>
          </cell>
          <cell r="AU121">
            <v>1.5520219521772329</v>
          </cell>
          <cell r="AV121">
            <v>1.1882462655027639</v>
          </cell>
          <cell r="AW121">
            <v>1.1882462655027639</v>
          </cell>
          <cell r="AX121">
            <v>185.73735856766029</v>
          </cell>
          <cell r="AY121">
            <v>1.6349207036708622</v>
          </cell>
          <cell r="AZ121">
            <v>1.6349207036708622</v>
          </cell>
          <cell r="BA121">
            <v>25.071828668025233</v>
          </cell>
        </row>
        <row r="122">
          <cell r="B122" t="str">
            <v>Airbus A321neo</v>
          </cell>
          <cell r="C122" t="str">
            <v>JetBlue</v>
          </cell>
          <cell r="D122" t="str">
            <v>PW1133G1-JM</v>
          </cell>
          <cell r="E122">
            <v>147.28</v>
          </cell>
          <cell r="F122">
            <v>97000</v>
          </cell>
          <cell r="G122">
            <v>32</v>
          </cell>
          <cell r="H122">
            <v>18</v>
          </cell>
          <cell r="I122">
            <v>158</v>
          </cell>
          <cell r="J122">
            <v>35</v>
          </cell>
          <cell r="K122">
            <v>18</v>
          </cell>
          <cell r="L122">
            <v>42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88.7</v>
          </cell>
          <cell r="T122">
            <v>97.6</v>
          </cell>
          <cell r="U122">
            <v>85.2</v>
          </cell>
          <cell r="V122">
            <v>92.8</v>
          </cell>
          <cell r="W122">
            <v>94.8</v>
          </cell>
          <cell r="X122">
            <v>101.3</v>
          </cell>
          <cell r="AE122">
            <v>16</v>
          </cell>
          <cell r="AF122">
            <v>3025</v>
          </cell>
          <cell r="AG122">
            <v>4864</v>
          </cell>
          <cell r="AH122">
            <v>374.6</v>
          </cell>
          <cell r="AJ122">
            <v>4.4000000000000004</v>
          </cell>
          <cell r="AK122">
            <v>2.0099999999999998</v>
          </cell>
          <cell r="AL122">
            <v>0.34</v>
          </cell>
          <cell r="AM122">
            <v>0.54</v>
          </cell>
          <cell r="AN122">
            <v>1.0229699999999999</v>
          </cell>
          <cell r="AO122">
            <v>0.83854300000000004</v>
          </cell>
          <cell r="AP122">
            <v>0.27834199999999998</v>
          </cell>
          <cell r="AQ122">
            <v>9.8780000000000007E-2</v>
          </cell>
          <cell r="AT122">
            <v>5.097549313429401E-2</v>
          </cell>
          <cell r="AU122">
            <v>1.5331822002957392</v>
          </cell>
          <cell r="AV122">
            <v>1.1810341179343091</v>
          </cell>
          <cell r="AW122">
            <v>1.1810341179343091</v>
          </cell>
          <cell r="AX122">
            <v>182.51295789444902</v>
          </cell>
          <cell r="AY122">
            <v>1.662496549555577</v>
          </cell>
          <cell r="AZ122">
            <v>1.662496549555577</v>
          </cell>
          <cell r="BA122">
            <v>25.494709656592505</v>
          </cell>
        </row>
        <row r="123">
          <cell r="B123" t="str">
            <v>Embraer E190</v>
          </cell>
          <cell r="C123" t="str">
            <v>JetBlue</v>
          </cell>
          <cell r="D123" t="str">
            <v>CF34-10E6</v>
          </cell>
          <cell r="E123">
            <v>77.400000000000006</v>
          </cell>
          <cell r="F123">
            <v>47790</v>
          </cell>
          <cell r="G123">
            <v>32</v>
          </cell>
          <cell r="H123">
            <v>18.25</v>
          </cell>
          <cell r="I123">
            <v>84</v>
          </cell>
          <cell r="J123">
            <v>39</v>
          </cell>
          <cell r="K123">
            <v>18.25</v>
          </cell>
          <cell r="L123">
            <v>16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91.8</v>
          </cell>
          <cell r="T123">
            <v>95.5</v>
          </cell>
          <cell r="U123">
            <v>86.3</v>
          </cell>
          <cell r="V123">
            <v>89.4</v>
          </cell>
          <cell r="W123">
            <v>92.4</v>
          </cell>
          <cell r="X123">
            <v>99.3</v>
          </cell>
          <cell r="AE123">
            <v>848</v>
          </cell>
          <cell r="AF123">
            <v>6761</v>
          </cell>
          <cell r="AG123">
            <v>2836</v>
          </cell>
          <cell r="AH123">
            <v>303</v>
          </cell>
          <cell r="AJ123">
            <v>11.33</v>
          </cell>
          <cell r="AK123">
            <v>5.22</v>
          </cell>
          <cell r="AL123">
            <v>0.11</v>
          </cell>
          <cell r="AM123">
            <v>0.39</v>
          </cell>
          <cell r="AN123">
            <v>0.78900000000000003</v>
          </cell>
          <cell r="AO123">
            <v>0.65</v>
          </cell>
          <cell r="AP123">
            <v>0.221</v>
          </cell>
          <cell r="AQ123">
            <v>8.4000000000000005E-2</v>
          </cell>
          <cell r="AT123">
            <v>2.8682052383315653E-2</v>
          </cell>
          <cell r="AU123">
            <v>1.5331822002957392</v>
          </cell>
          <cell r="AV123">
            <v>1.1810341179343091</v>
          </cell>
          <cell r="AW123">
            <v>1.1810341179343091</v>
          </cell>
          <cell r="AX123">
            <v>182.51295789444902</v>
          </cell>
          <cell r="AY123">
            <v>1.662496549555577</v>
          </cell>
          <cell r="AZ123">
            <v>1.662496549555577</v>
          </cell>
          <cell r="BA123">
            <v>25.494709656592505</v>
          </cell>
        </row>
        <row r="124">
          <cell r="B124" t="str">
            <v>Airbus A330-200</v>
          </cell>
          <cell r="C124" t="str">
            <v>KLM</v>
          </cell>
          <cell r="D124" t="str">
            <v>CF6-80E1A3</v>
          </cell>
          <cell r="E124">
            <v>304.8</v>
          </cell>
          <cell r="F124">
            <v>242000</v>
          </cell>
          <cell r="G124">
            <v>31</v>
          </cell>
          <cell r="H124">
            <v>17.5</v>
          </cell>
          <cell r="I124">
            <v>214</v>
          </cell>
          <cell r="J124">
            <v>35</v>
          </cell>
          <cell r="K124">
            <v>17.5</v>
          </cell>
          <cell r="L124">
            <v>36</v>
          </cell>
          <cell r="M124">
            <v>60</v>
          </cell>
          <cell r="N124">
            <v>20.25</v>
          </cell>
          <cell r="O124">
            <v>18</v>
          </cell>
          <cell r="P124">
            <v>0</v>
          </cell>
          <cell r="Q124">
            <v>0</v>
          </cell>
          <cell r="R124">
            <v>0</v>
          </cell>
          <cell r="S124">
            <v>98.7</v>
          </cell>
          <cell r="T124">
            <v>101.1</v>
          </cell>
          <cell r="U124">
            <v>92.2</v>
          </cell>
          <cell r="V124">
            <v>98.2</v>
          </cell>
          <cell r="W124">
            <v>99.5</v>
          </cell>
          <cell r="X124">
            <v>104.4</v>
          </cell>
          <cell r="AE124">
            <v>3438</v>
          </cell>
          <cell r="AF124">
            <v>13473</v>
          </cell>
          <cell r="AG124">
            <v>19254</v>
          </cell>
          <cell r="AH124">
            <v>976</v>
          </cell>
          <cell r="AJ124">
            <v>10.1</v>
          </cell>
          <cell r="AK124">
            <v>8.6</v>
          </cell>
          <cell r="AL124">
            <v>0</v>
          </cell>
          <cell r="AM124">
            <v>0</v>
          </cell>
          <cell r="AN124">
            <v>2.9889999999999999</v>
          </cell>
          <cell r="AO124">
            <v>2.387</v>
          </cell>
          <cell r="AP124">
            <v>0.755</v>
          </cell>
          <cell r="AQ124">
            <v>0.22700000000000001</v>
          </cell>
          <cell r="AT124">
            <v>3.8803330948589947E-2</v>
          </cell>
          <cell r="AU124">
            <v>1.6052294051517633</v>
          </cell>
          <cell r="AV124">
            <v>1.2086148990711754</v>
          </cell>
          <cell r="AW124">
            <v>1.2086148990711754</v>
          </cell>
          <cell r="AX124">
            <v>194.84374957907579</v>
          </cell>
          <cell r="AY124">
            <v>1.5570406693491181</v>
          </cell>
          <cell r="AZ124">
            <v>1.5570406693491181</v>
          </cell>
          <cell r="BA124">
            <v>23.877523113761615</v>
          </cell>
        </row>
        <row r="125">
          <cell r="B125" t="str">
            <v>Airbus A330-300</v>
          </cell>
          <cell r="C125" t="str">
            <v>KLM</v>
          </cell>
          <cell r="D125" t="str">
            <v>CF6-80E1A3</v>
          </cell>
          <cell r="E125">
            <v>304.8</v>
          </cell>
          <cell r="F125">
            <v>242000</v>
          </cell>
          <cell r="G125">
            <v>31</v>
          </cell>
          <cell r="H125">
            <v>17.5</v>
          </cell>
          <cell r="I125">
            <v>222</v>
          </cell>
          <cell r="J125">
            <v>35</v>
          </cell>
          <cell r="K125">
            <v>17.5</v>
          </cell>
          <cell r="L125">
            <v>40</v>
          </cell>
          <cell r="M125">
            <v>60</v>
          </cell>
          <cell r="N125">
            <v>20.25</v>
          </cell>
          <cell r="O125">
            <v>30</v>
          </cell>
          <cell r="P125">
            <v>0</v>
          </cell>
          <cell r="Q125">
            <v>0</v>
          </cell>
          <cell r="R125">
            <v>0</v>
          </cell>
          <cell r="S125">
            <v>98.7</v>
          </cell>
          <cell r="T125">
            <v>101.1</v>
          </cell>
          <cell r="U125">
            <v>92.2</v>
          </cell>
          <cell r="V125">
            <v>98.2</v>
          </cell>
          <cell r="W125">
            <v>99.5</v>
          </cell>
          <cell r="X125">
            <v>104.4</v>
          </cell>
          <cell r="AE125">
            <v>3438</v>
          </cell>
          <cell r="AF125">
            <v>13473</v>
          </cell>
          <cell r="AG125">
            <v>19254</v>
          </cell>
          <cell r="AH125">
            <v>976</v>
          </cell>
          <cell r="AJ125">
            <v>10.1</v>
          </cell>
          <cell r="AK125">
            <v>8.6</v>
          </cell>
          <cell r="AL125">
            <v>0</v>
          </cell>
          <cell r="AM125">
            <v>0</v>
          </cell>
          <cell r="AN125">
            <v>2.9889999999999999</v>
          </cell>
          <cell r="AO125">
            <v>2.387</v>
          </cell>
          <cell r="AP125">
            <v>0.755</v>
          </cell>
          <cell r="AQ125">
            <v>0.22700000000000001</v>
          </cell>
          <cell r="AT125">
            <v>4.0082972805128396E-2</v>
          </cell>
          <cell r="AU125">
            <v>1.6052294051517633</v>
          </cell>
          <cell r="AV125">
            <v>1.2086148990711754</v>
          </cell>
          <cell r="AW125">
            <v>1.2086148990711754</v>
          </cell>
          <cell r="AX125">
            <v>194.84374957907579</v>
          </cell>
          <cell r="AY125">
            <v>1.5570406693491181</v>
          </cell>
          <cell r="AZ125">
            <v>1.5570406693491181</v>
          </cell>
          <cell r="BA125">
            <v>23.877523113761615</v>
          </cell>
        </row>
        <row r="126">
          <cell r="B126" t="str">
            <v>Boeing 737-700</v>
          </cell>
          <cell r="C126" t="str">
            <v>KLM</v>
          </cell>
          <cell r="D126" t="str">
            <v>CFM56-7B22</v>
          </cell>
          <cell r="E126">
            <v>100.97</v>
          </cell>
          <cell r="F126">
            <v>70080</v>
          </cell>
          <cell r="G126">
            <v>30</v>
          </cell>
          <cell r="H126">
            <v>17</v>
          </cell>
          <cell r="I126">
            <v>106</v>
          </cell>
          <cell r="J126">
            <v>33</v>
          </cell>
          <cell r="K126">
            <v>17</v>
          </cell>
          <cell r="L126">
            <v>6</v>
          </cell>
          <cell r="M126">
            <v>33</v>
          </cell>
          <cell r="N126">
            <v>17</v>
          </cell>
          <cell r="O126">
            <v>20</v>
          </cell>
          <cell r="P126">
            <v>0</v>
          </cell>
          <cell r="Q126">
            <v>0</v>
          </cell>
          <cell r="R126">
            <v>0</v>
          </cell>
          <cell r="S126">
            <v>91.9</v>
          </cell>
          <cell r="T126">
            <v>96.4</v>
          </cell>
          <cell r="U126">
            <v>84.3</v>
          </cell>
          <cell r="V126">
            <v>90.8</v>
          </cell>
          <cell r="W126">
            <v>95.6</v>
          </cell>
          <cell r="X126">
            <v>100.1</v>
          </cell>
          <cell r="AE126">
            <v>432</v>
          </cell>
          <cell r="AF126">
            <v>4002</v>
          </cell>
          <cell r="AG126">
            <v>4560</v>
          </cell>
          <cell r="AH126">
            <v>390</v>
          </cell>
          <cell r="AJ126">
            <v>12</v>
          </cell>
          <cell r="AK126">
            <v>10.5</v>
          </cell>
          <cell r="AL126">
            <v>0</v>
          </cell>
          <cell r="AM126">
            <v>0</v>
          </cell>
          <cell r="AN126">
            <v>1.0209999999999999</v>
          </cell>
          <cell r="AO126">
            <v>0.84399999999999997</v>
          </cell>
          <cell r="AP126">
            <v>0.29799999999999999</v>
          </cell>
          <cell r="AQ126">
            <v>0.105</v>
          </cell>
          <cell r="AT126">
            <v>2.202424384479949E-2</v>
          </cell>
          <cell r="AU126">
            <v>1.5426742566452178</v>
          </cell>
          <cell r="AV126">
            <v>1.1846678234921715</v>
          </cell>
          <cell r="AW126">
            <v>1.1846678234921715</v>
          </cell>
          <cell r="AX126">
            <v>184.13751182042103</v>
          </cell>
          <cell r="AY126">
            <v>1.6486029757617855</v>
          </cell>
          <cell r="AZ126">
            <v>1.6486029757617855</v>
          </cell>
          <cell r="BA126">
            <v>25.281648985844143</v>
          </cell>
        </row>
        <row r="127">
          <cell r="B127" t="str">
            <v>Boeing 737-800</v>
          </cell>
          <cell r="C127" t="str">
            <v>KLM</v>
          </cell>
          <cell r="D127" t="str">
            <v>CFM56-7B27</v>
          </cell>
          <cell r="E127">
            <v>121.44</v>
          </cell>
          <cell r="F127">
            <v>79016</v>
          </cell>
          <cell r="G127">
            <v>30</v>
          </cell>
          <cell r="H127">
            <v>17</v>
          </cell>
          <cell r="I127">
            <v>150</v>
          </cell>
          <cell r="J127">
            <v>33</v>
          </cell>
          <cell r="K127">
            <v>17</v>
          </cell>
          <cell r="L127">
            <v>6</v>
          </cell>
          <cell r="M127">
            <v>33</v>
          </cell>
          <cell r="N127">
            <v>17</v>
          </cell>
          <cell r="O127">
            <v>20</v>
          </cell>
          <cell r="P127">
            <v>0</v>
          </cell>
          <cell r="Q127">
            <v>0</v>
          </cell>
          <cell r="R127">
            <v>0</v>
          </cell>
          <cell r="S127">
            <v>94.9</v>
          </cell>
          <cell r="T127">
            <v>97</v>
          </cell>
          <cell r="U127">
            <v>86.4</v>
          </cell>
          <cell r="V127">
            <v>91.8</v>
          </cell>
          <cell r="W127">
            <v>96</v>
          </cell>
          <cell r="X127">
            <v>100.7</v>
          </cell>
          <cell r="AE127">
            <v>335</v>
          </cell>
          <cell r="AF127">
            <v>3436</v>
          </cell>
          <cell r="AG127">
            <v>6719</v>
          </cell>
          <cell r="AH127">
            <v>456</v>
          </cell>
          <cell r="AJ127">
            <v>15.7</v>
          </cell>
          <cell r="AK127">
            <v>12.1</v>
          </cell>
          <cell r="AL127">
            <v>0</v>
          </cell>
          <cell r="AM127">
            <v>0</v>
          </cell>
          <cell r="AN127">
            <v>1.284</v>
          </cell>
          <cell r="AO127">
            <v>1.0429999999999999</v>
          </cell>
          <cell r="AP127">
            <v>0.34899999999999998</v>
          </cell>
          <cell r="AQ127">
            <v>0.11600000000000001</v>
          </cell>
          <cell r="AT127">
            <v>2.5518577028328184E-2</v>
          </cell>
          <cell r="AU127">
            <v>1.5426742566452178</v>
          </cell>
          <cell r="AV127">
            <v>1.1846678234921715</v>
          </cell>
          <cell r="AW127">
            <v>1.1846678234921715</v>
          </cell>
          <cell r="AX127">
            <v>184.13751182042103</v>
          </cell>
          <cell r="AY127">
            <v>1.6486029757617855</v>
          </cell>
          <cell r="AZ127">
            <v>1.6486029757617855</v>
          </cell>
          <cell r="BA127">
            <v>25.281648985844143</v>
          </cell>
        </row>
        <row r="128">
          <cell r="B128" t="str">
            <v>Boeing 737-900</v>
          </cell>
          <cell r="C128" t="str">
            <v>KLM</v>
          </cell>
          <cell r="D128" t="str">
            <v>CFM56-7B26</v>
          </cell>
          <cell r="E128">
            <v>116.99</v>
          </cell>
          <cell r="F128">
            <v>74389</v>
          </cell>
          <cell r="G128">
            <v>30</v>
          </cell>
          <cell r="H128">
            <v>17</v>
          </cell>
          <cell r="I128">
            <v>132</v>
          </cell>
          <cell r="J128">
            <v>33</v>
          </cell>
          <cell r="K128">
            <v>17</v>
          </cell>
          <cell r="L128">
            <v>18</v>
          </cell>
          <cell r="M128">
            <v>33</v>
          </cell>
          <cell r="N128">
            <v>17</v>
          </cell>
          <cell r="O128">
            <v>28</v>
          </cell>
          <cell r="P128">
            <v>0</v>
          </cell>
          <cell r="Q128">
            <v>0</v>
          </cell>
          <cell r="R128">
            <v>0</v>
          </cell>
          <cell r="S128">
            <v>94</v>
          </cell>
          <cell r="T128">
            <v>97</v>
          </cell>
          <cell r="U128">
            <v>86.8</v>
          </cell>
          <cell r="V128">
            <v>91.8</v>
          </cell>
          <cell r="W128">
            <v>96</v>
          </cell>
          <cell r="X128">
            <v>100.7</v>
          </cell>
          <cell r="AE128">
            <v>361</v>
          </cell>
          <cell r="AF128">
            <v>3533</v>
          </cell>
          <cell r="AG128">
            <v>6149</v>
          </cell>
          <cell r="AH128">
            <v>441</v>
          </cell>
          <cell r="AJ128">
            <v>14.7</v>
          </cell>
          <cell r="AK128">
            <v>11.9</v>
          </cell>
          <cell r="AL128">
            <v>0</v>
          </cell>
          <cell r="AM128">
            <v>0</v>
          </cell>
          <cell r="AN128">
            <v>1.2210000000000001</v>
          </cell>
          <cell r="AO128">
            <v>0.999</v>
          </cell>
          <cell r="AP128">
            <v>0.33800000000000002</v>
          </cell>
          <cell r="AQ128">
            <v>0.113</v>
          </cell>
          <cell r="AT128">
            <v>1.998788652812248E-2</v>
          </cell>
          <cell r="AU128">
            <v>1.5426742566452178</v>
          </cell>
          <cell r="AV128">
            <v>1.1846678234921715</v>
          </cell>
          <cell r="AW128">
            <v>1.1846678234921715</v>
          </cell>
          <cell r="AX128">
            <v>184.13751182042103</v>
          </cell>
          <cell r="AY128">
            <v>1.6486029757617855</v>
          </cell>
          <cell r="AZ128">
            <v>1.6486029757617855</v>
          </cell>
          <cell r="BA128">
            <v>25.281648985844143</v>
          </cell>
        </row>
        <row r="129">
          <cell r="B129" t="str">
            <v>Boeing 777-200ER</v>
          </cell>
          <cell r="C129" t="str">
            <v>KLM</v>
          </cell>
          <cell r="D129" t="str">
            <v>GE90-94B</v>
          </cell>
          <cell r="E129">
            <v>432.8</v>
          </cell>
          <cell r="F129">
            <v>233600</v>
          </cell>
          <cell r="G129">
            <v>31</v>
          </cell>
          <cell r="H129">
            <v>17.5</v>
          </cell>
          <cell r="I129">
            <v>242</v>
          </cell>
          <cell r="J129">
            <v>35</v>
          </cell>
          <cell r="K129">
            <v>17.5</v>
          </cell>
          <cell r="L129">
            <v>40</v>
          </cell>
          <cell r="M129">
            <v>63</v>
          </cell>
          <cell r="N129">
            <v>20</v>
          </cell>
          <cell r="O129">
            <v>34</v>
          </cell>
          <cell r="P129">
            <v>0</v>
          </cell>
          <cell r="Q129">
            <v>0</v>
          </cell>
          <cell r="R129">
            <v>0</v>
          </cell>
          <cell r="S129">
            <v>96.3</v>
          </cell>
          <cell r="T129">
            <v>101.9</v>
          </cell>
          <cell r="U129">
            <v>91.1</v>
          </cell>
          <cell r="V129">
            <v>99.5</v>
          </cell>
          <cell r="W129">
            <v>98.7</v>
          </cell>
          <cell r="X129">
            <v>105</v>
          </cell>
          <cell r="AE129">
            <v>221</v>
          </cell>
          <cell r="AF129">
            <v>6156</v>
          </cell>
          <cell r="AG129">
            <v>30617</v>
          </cell>
          <cell r="AH129">
            <v>1203</v>
          </cell>
          <cell r="AJ129">
            <v>3.7</v>
          </cell>
          <cell r="AK129">
            <v>2.9</v>
          </cell>
          <cell r="AL129">
            <v>3.2</v>
          </cell>
          <cell r="AM129">
            <v>2.5</v>
          </cell>
          <cell r="AN129">
            <v>3.5139999999999998</v>
          </cell>
          <cell r="AO129">
            <v>2.8479999999999999</v>
          </cell>
          <cell r="AP129">
            <v>0.90800000000000003</v>
          </cell>
          <cell r="AQ129">
            <v>0.29599999999999999</v>
          </cell>
          <cell r="AT129">
            <v>3.7515139145798106E-2</v>
          </cell>
          <cell r="AU129">
            <v>1.6369561075759755</v>
          </cell>
          <cell r="AV129">
            <v>1.2138321074811573</v>
          </cell>
          <cell r="AW129">
            <v>1.2138321074811573</v>
          </cell>
          <cell r="AX129">
            <v>201.20537463592822</v>
          </cell>
          <cell r="AY129">
            <v>1.4850206028140427</v>
          </cell>
          <cell r="AZ129">
            <v>1.4850206028140427</v>
          </cell>
          <cell r="BA129">
            <v>22.773081311310317</v>
          </cell>
        </row>
        <row r="130">
          <cell r="B130" t="str">
            <v>Boeing 777-300ER</v>
          </cell>
          <cell r="C130" t="str">
            <v>KLM</v>
          </cell>
          <cell r="D130" t="str">
            <v>GE90-115B</v>
          </cell>
          <cell r="E130">
            <v>513.9</v>
          </cell>
          <cell r="F130">
            <v>351535</v>
          </cell>
          <cell r="G130">
            <v>31</v>
          </cell>
          <cell r="H130">
            <v>17.5</v>
          </cell>
          <cell r="I130">
            <v>334</v>
          </cell>
          <cell r="J130">
            <v>34</v>
          </cell>
          <cell r="K130">
            <v>17.5</v>
          </cell>
          <cell r="L130">
            <v>40</v>
          </cell>
          <cell r="M130">
            <v>63</v>
          </cell>
          <cell r="N130">
            <v>20</v>
          </cell>
          <cell r="O130">
            <v>34</v>
          </cell>
          <cell r="P130">
            <v>0</v>
          </cell>
          <cell r="Q130">
            <v>0</v>
          </cell>
          <cell r="R130">
            <v>0</v>
          </cell>
          <cell r="S130">
            <v>99.2</v>
          </cell>
          <cell r="T130">
            <v>102.5</v>
          </cell>
          <cell r="U130">
            <v>92</v>
          </cell>
          <cell r="V130">
            <v>100.4</v>
          </cell>
          <cell r="W130">
            <v>100.3</v>
          </cell>
          <cell r="X130">
            <v>105</v>
          </cell>
          <cell r="AE130">
            <v>2559</v>
          </cell>
          <cell r="AF130">
            <v>23858</v>
          </cell>
          <cell r="AG130">
            <v>34888</v>
          </cell>
          <cell r="AH130">
            <v>1546</v>
          </cell>
          <cell r="AJ130">
            <v>4.0999999999999996</v>
          </cell>
          <cell r="AK130">
            <v>2.5</v>
          </cell>
          <cell r="AL130">
            <v>1.45</v>
          </cell>
          <cell r="AM130">
            <v>0.87</v>
          </cell>
          <cell r="AN130">
            <v>4.6900000000000004</v>
          </cell>
          <cell r="AO130">
            <v>3.67</v>
          </cell>
          <cell r="AP130">
            <v>1.1299999999999999</v>
          </cell>
          <cell r="AQ130">
            <v>0.38</v>
          </cell>
          <cell r="AT130">
            <v>4.2129907386228703E-2</v>
          </cell>
          <cell r="AU130">
            <v>1.6369561075759755</v>
          </cell>
          <cell r="AV130">
            <v>1.2138321074811573</v>
          </cell>
          <cell r="AW130">
            <v>1.2138321074811573</v>
          </cell>
          <cell r="AX130">
            <v>201.20537463592822</v>
          </cell>
          <cell r="AY130">
            <v>1.4850206028140427</v>
          </cell>
          <cell r="AZ130">
            <v>1.4850206028140427</v>
          </cell>
          <cell r="BA130">
            <v>22.773081311310317</v>
          </cell>
        </row>
        <row r="131">
          <cell r="B131" t="str">
            <v>Boeing 787-10</v>
          </cell>
          <cell r="C131" t="str">
            <v>KLM</v>
          </cell>
          <cell r="D131" t="str">
            <v>GEnx-1B76A/P2G01</v>
          </cell>
          <cell r="E131">
            <v>349.2</v>
          </cell>
          <cell r="F131">
            <v>254011</v>
          </cell>
          <cell r="G131">
            <v>31</v>
          </cell>
          <cell r="H131">
            <v>17.5</v>
          </cell>
          <cell r="I131">
            <v>270</v>
          </cell>
          <cell r="J131">
            <v>35</v>
          </cell>
          <cell r="K131">
            <v>17.5</v>
          </cell>
          <cell r="L131">
            <v>36</v>
          </cell>
          <cell r="M131">
            <v>60</v>
          </cell>
          <cell r="N131">
            <v>20.25</v>
          </cell>
          <cell r="O131">
            <v>38</v>
          </cell>
          <cell r="P131">
            <v>0</v>
          </cell>
          <cell r="Q131">
            <v>0</v>
          </cell>
          <cell r="R131">
            <v>0</v>
          </cell>
          <cell r="S131">
            <v>92.8</v>
          </cell>
          <cell r="T131">
            <v>101.3</v>
          </cell>
          <cell r="U131">
            <v>88.7</v>
          </cell>
          <cell r="V131">
            <v>98.6</v>
          </cell>
          <cell r="W131">
            <v>95.3</v>
          </cell>
          <cell r="X131">
            <v>104.7</v>
          </cell>
          <cell r="AE131">
            <v>140</v>
          </cell>
          <cell r="AF131">
            <v>4980</v>
          </cell>
          <cell r="AG131">
            <v>17251</v>
          </cell>
          <cell r="AH131">
            <v>934</v>
          </cell>
          <cell r="AJ131">
            <v>0.2</v>
          </cell>
          <cell r="AK131">
            <v>0.16</v>
          </cell>
          <cell r="AL131">
            <v>0.43</v>
          </cell>
          <cell r="AM131">
            <v>7.0000000000000007E-2</v>
          </cell>
          <cell r="AN131">
            <v>2.79</v>
          </cell>
          <cell r="AO131">
            <v>2.262</v>
          </cell>
          <cell r="AP131">
            <v>0.70899999999999996</v>
          </cell>
          <cell r="AQ131">
            <v>0.223</v>
          </cell>
          <cell r="AT131">
            <v>5.114561016493676E-2</v>
          </cell>
          <cell r="AU131">
            <v>1.6513343009971913</v>
          </cell>
          <cell r="AV131">
            <v>1.2129334174299515</v>
          </cell>
          <cell r="AW131">
            <v>1.2129334174299515</v>
          </cell>
          <cell r="AX131">
            <v>204.52717618547004</v>
          </cell>
          <cell r="AY131">
            <v>1.4396031444039483</v>
          </cell>
          <cell r="AZ131">
            <v>1.4396031444039483</v>
          </cell>
          <cell r="BA131">
            <v>22.076595706082895</v>
          </cell>
        </row>
        <row r="132">
          <cell r="B132" t="str">
            <v>Boeing 787-9</v>
          </cell>
          <cell r="C132" t="str">
            <v>KLM</v>
          </cell>
          <cell r="D132" t="str">
            <v>GeNx-1B67/P2G01</v>
          </cell>
          <cell r="E132">
            <v>308.7</v>
          </cell>
          <cell r="F132">
            <v>254011</v>
          </cell>
          <cell r="G132">
            <v>31</v>
          </cell>
          <cell r="H132">
            <v>17.5</v>
          </cell>
          <cell r="I132">
            <v>216</v>
          </cell>
          <cell r="J132">
            <v>35</v>
          </cell>
          <cell r="K132">
            <v>17.5</v>
          </cell>
          <cell r="L132">
            <v>48</v>
          </cell>
          <cell r="M132">
            <v>42</v>
          </cell>
          <cell r="N132">
            <v>20.25</v>
          </cell>
          <cell r="O132">
            <v>30</v>
          </cell>
          <cell r="P132">
            <v>0</v>
          </cell>
          <cell r="Q132">
            <v>0</v>
          </cell>
          <cell r="R132">
            <v>0</v>
          </cell>
          <cell r="S132">
            <v>90.9</v>
          </cell>
          <cell r="T132">
            <v>100.9</v>
          </cell>
          <cell r="U132">
            <v>87.3</v>
          </cell>
          <cell r="V132">
            <v>98</v>
          </cell>
          <cell r="W132">
            <v>94.2</v>
          </cell>
          <cell r="X132">
            <v>104.3</v>
          </cell>
          <cell r="AE132">
            <v>176</v>
          </cell>
          <cell r="AF132">
            <v>5409</v>
          </cell>
          <cell r="AG132">
            <v>10951</v>
          </cell>
          <cell r="AH132">
            <v>833</v>
          </cell>
          <cell r="AJ132">
            <v>0</v>
          </cell>
          <cell r="AK132">
            <v>0</v>
          </cell>
          <cell r="AL132">
            <v>0.4</v>
          </cell>
          <cell r="AM132">
            <v>0.1</v>
          </cell>
          <cell r="AN132">
            <v>2.3759999999999999</v>
          </cell>
          <cell r="AO132">
            <v>1.9430000000000001</v>
          </cell>
          <cell r="AP132">
            <v>0.629</v>
          </cell>
          <cell r="AQ132">
            <v>0.20899999999999999</v>
          </cell>
          <cell r="AT132">
            <v>5.1320959922805741E-2</v>
          </cell>
          <cell r="AU132">
            <v>1.6513343009971913</v>
          </cell>
          <cell r="AV132">
            <v>1.2129334174299515</v>
          </cell>
          <cell r="AW132">
            <v>1.2129334174299515</v>
          </cell>
          <cell r="AX132">
            <v>204.52717618547004</v>
          </cell>
          <cell r="AY132">
            <v>1.4396031444039483</v>
          </cell>
          <cell r="AZ132">
            <v>1.4396031444039483</v>
          </cell>
          <cell r="BA132">
            <v>22.076595706082895</v>
          </cell>
        </row>
        <row r="133">
          <cell r="B133" t="str">
            <v>Embraer E190</v>
          </cell>
          <cell r="C133" t="str">
            <v>KLM</v>
          </cell>
          <cell r="D133" t="str">
            <v>CF34-10E5</v>
          </cell>
          <cell r="E133">
            <v>77.400000000000006</v>
          </cell>
          <cell r="F133">
            <v>47790</v>
          </cell>
          <cell r="G133">
            <v>30</v>
          </cell>
          <cell r="H133">
            <v>17</v>
          </cell>
          <cell r="I133">
            <v>72</v>
          </cell>
          <cell r="J133">
            <v>32</v>
          </cell>
          <cell r="K133">
            <v>17</v>
          </cell>
          <cell r="L133">
            <v>8</v>
          </cell>
          <cell r="M133">
            <v>32</v>
          </cell>
          <cell r="N133">
            <v>17</v>
          </cell>
          <cell r="O133">
            <v>20</v>
          </cell>
          <cell r="P133">
            <v>0</v>
          </cell>
          <cell r="Q133">
            <v>0</v>
          </cell>
          <cell r="R133">
            <v>0</v>
          </cell>
          <cell r="S133">
            <v>91.7</v>
          </cell>
          <cell r="T133">
            <v>95.5</v>
          </cell>
          <cell r="U133">
            <v>86.4</v>
          </cell>
          <cell r="V133">
            <v>89.4</v>
          </cell>
          <cell r="W133">
            <v>92.4</v>
          </cell>
          <cell r="X133">
            <v>99.3</v>
          </cell>
          <cell r="AE133">
            <v>848</v>
          </cell>
          <cell r="AF133">
            <v>6761</v>
          </cell>
          <cell r="AG133">
            <v>2836</v>
          </cell>
          <cell r="AH133">
            <v>303</v>
          </cell>
          <cell r="AJ133">
            <v>11.33</v>
          </cell>
          <cell r="AK133">
            <v>5.22</v>
          </cell>
          <cell r="AL133">
            <v>0.11</v>
          </cell>
          <cell r="AM133">
            <v>0.39</v>
          </cell>
          <cell r="AN133">
            <v>0.78900000000000003</v>
          </cell>
          <cell r="AO133">
            <v>0.65</v>
          </cell>
          <cell r="AP133">
            <v>0.221</v>
          </cell>
          <cell r="AQ133">
            <v>8.4000000000000005E-2</v>
          </cell>
          <cell r="AT133">
            <v>2.8682052383315653E-2</v>
          </cell>
          <cell r="AU133">
            <v>1.5331822002957392</v>
          </cell>
          <cell r="AV133">
            <v>1.1810341179343091</v>
          </cell>
          <cell r="AW133">
            <v>1.1810341179343091</v>
          </cell>
          <cell r="AX133">
            <v>182.51295789444902</v>
          </cell>
          <cell r="AY133">
            <v>1.662496549555577</v>
          </cell>
          <cell r="AZ133">
            <v>1.662496549555577</v>
          </cell>
          <cell r="BA133">
            <v>25.494709656592505</v>
          </cell>
        </row>
        <row r="134">
          <cell r="B134" t="str">
            <v>Embraer E195-E2</v>
          </cell>
          <cell r="C134" t="str">
            <v>KLM</v>
          </cell>
          <cell r="D134" t="str">
            <v>PW1921G</v>
          </cell>
          <cell r="E134">
            <v>100.3</v>
          </cell>
          <cell r="F134">
            <v>61500</v>
          </cell>
          <cell r="G134">
            <v>30</v>
          </cell>
          <cell r="H134">
            <v>17</v>
          </cell>
          <cell r="I134">
            <v>104</v>
          </cell>
          <cell r="J134">
            <v>33</v>
          </cell>
          <cell r="K134">
            <v>17</v>
          </cell>
          <cell r="L134">
            <v>8</v>
          </cell>
          <cell r="M134">
            <v>33</v>
          </cell>
          <cell r="N134">
            <v>17</v>
          </cell>
          <cell r="O134">
            <v>20</v>
          </cell>
          <cell r="P134">
            <v>0</v>
          </cell>
          <cell r="Q134">
            <v>0</v>
          </cell>
          <cell r="R134">
            <v>0</v>
          </cell>
          <cell r="S134">
            <v>86.1</v>
          </cell>
          <cell r="T134">
            <v>96.1</v>
          </cell>
          <cell r="U134">
            <v>79.599999999999994</v>
          </cell>
          <cell r="V134">
            <v>90.4</v>
          </cell>
          <cell r="W134">
            <v>91.7</v>
          </cell>
          <cell r="X134">
            <v>99.9</v>
          </cell>
          <cell r="AE134">
            <v>21</v>
          </cell>
          <cell r="AF134">
            <v>2356</v>
          </cell>
          <cell r="AG134">
            <v>3199</v>
          </cell>
          <cell r="AH134">
            <v>270.39999999999998</v>
          </cell>
          <cell r="AJ134">
            <v>2.6</v>
          </cell>
          <cell r="AK134">
            <v>1.6</v>
          </cell>
          <cell r="AL134">
            <v>0.8</v>
          </cell>
          <cell r="AM134">
            <v>0.5</v>
          </cell>
          <cell r="AN134">
            <v>0.71</v>
          </cell>
          <cell r="AO134">
            <v>0.59</v>
          </cell>
          <cell r="AP134">
            <v>0.21</v>
          </cell>
          <cell r="AQ134">
            <v>7.0000000000000007E-2</v>
          </cell>
          <cell r="AT134">
            <v>2.6673443195087604E-2</v>
          </cell>
          <cell r="AU134">
            <v>1.5331822002957392</v>
          </cell>
          <cell r="AV134">
            <v>1.1810341179343091</v>
          </cell>
          <cell r="AW134">
            <v>1.1810341179343091</v>
          </cell>
          <cell r="AX134">
            <v>182.51295789444902</v>
          </cell>
          <cell r="AY134">
            <v>1.662496549555577</v>
          </cell>
          <cell r="AZ134">
            <v>1.662496549555577</v>
          </cell>
          <cell r="BA134">
            <v>25.494709656592505</v>
          </cell>
        </row>
        <row r="135">
          <cell r="B135" t="str">
            <v>Embraer E175</v>
          </cell>
          <cell r="C135" t="str">
            <v>LOT</v>
          </cell>
          <cell r="D135" t="str">
            <v>CF34-8E5</v>
          </cell>
          <cell r="E135">
            <v>59.68</v>
          </cell>
          <cell r="F135">
            <v>37500</v>
          </cell>
          <cell r="G135">
            <v>31</v>
          </cell>
          <cell r="H135">
            <v>17.3</v>
          </cell>
          <cell r="I135">
            <v>52</v>
          </cell>
          <cell r="J135">
            <v>31</v>
          </cell>
          <cell r="K135">
            <v>17.3</v>
          </cell>
          <cell r="L135">
            <v>16</v>
          </cell>
          <cell r="M135">
            <v>31</v>
          </cell>
          <cell r="N135">
            <v>17.3</v>
          </cell>
          <cell r="O135">
            <v>14</v>
          </cell>
          <cell r="P135">
            <v>0</v>
          </cell>
          <cell r="Q135">
            <v>0</v>
          </cell>
          <cell r="R135">
            <v>0</v>
          </cell>
          <cell r="S135">
            <v>92.2</v>
          </cell>
          <cell r="T135">
            <v>94.4</v>
          </cell>
          <cell r="U135">
            <v>85.3</v>
          </cell>
          <cell r="V135">
            <v>89</v>
          </cell>
          <cell r="W135">
            <v>93.5</v>
          </cell>
          <cell r="X135">
            <v>98.3</v>
          </cell>
          <cell r="AE135">
            <v>18</v>
          </cell>
          <cell r="AF135">
            <v>2065</v>
          </cell>
          <cell r="AG135">
            <v>2222</v>
          </cell>
          <cell r="AH135">
            <v>241</v>
          </cell>
          <cell r="AJ135">
            <v>8.6300000000000008</v>
          </cell>
          <cell r="AK135">
            <v>2.64</v>
          </cell>
          <cell r="AL135">
            <v>0</v>
          </cell>
          <cell r="AM135">
            <v>0</v>
          </cell>
          <cell r="AN135">
            <v>0.65180000000000005</v>
          </cell>
          <cell r="AO135">
            <v>0.53259999999999996</v>
          </cell>
          <cell r="AP135">
            <v>0.18</v>
          </cell>
          <cell r="AQ135">
            <v>6.4399999999999999E-2</v>
          </cell>
          <cell r="AT135">
            <v>1.9172780167330327E-2</v>
          </cell>
          <cell r="AU135">
            <v>1.4730320389050195</v>
          </cell>
          <cell r="AV135">
            <v>1.1580077085131542</v>
          </cell>
          <cell r="AW135">
            <v>1.1580077085131542</v>
          </cell>
          <cell r="AX135">
            <v>172.21833076230956</v>
          </cell>
          <cell r="AY135">
            <v>1.7505386634265436</v>
          </cell>
          <cell r="AZ135">
            <v>1.7505386634265436</v>
          </cell>
          <cell r="BA135">
            <v>26.844852687742247</v>
          </cell>
        </row>
        <row r="136">
          <cell r="B136" t="str">
            <v>Airbus A319</v>
          </cell>
          <cell r="C136" t="str">
            <v>Lufthansa</v>
          </cell>
          <cell r="D136" t="str">
            <v>CFM56-5A5</v>
          </cell>
          <cell r="E136">
            <v>104.53</v>
          </cell>
          <cell r="F136">
            <v>75500</v>
          </cell>
          <cell r="G136">
            <v>31</v>
          </cell>
          <cell r="H136">
            <v>18</v>
          </cell>
          <cell r="I136">
            <v>102</v>
          </cell>
          <cell r="J136">
            <v>0</v>
          </cell>
          <cell r="K136">
            <v>0</v>
          </cell>
          <cell r="L136">
            <v>0</v>
          </cell>
          <cell r="M136">
            <v>31</v>
          </cell>
          <cell r="N136">
            <v>18</v>
          </cell>
          <cell r="O136">
            <v>24</v>
          </cell>
          <cell r="P136">
            <v>0</v>
          </cell>
          <cell r="Q136">
            <v>0</v>
          </cell>
          <cell r="R136">
            <v>0</v>
          </cell>
          <cell r="S136">
            <v>93.5</v>
          </cell>
          <cell r="T136">
            <v>96.9</v>
          </cell>
          <cell r="U136">
            <v>87.4</v>
          </cell>
          <cell r="V136">
            <v>91.7</v>
          </cell>
          <cell r="W136">
            <v>94.6</v>
          </cell>
          <cell r="X136">
            <v>100.6</v>
          </cell>
          <cell r="AE136">
            <v>297</v>
          </cell>
          <cell r="AF136">
            <v>3175</v>
          </cell>
          <cell r="AG136">
            <v>4367</v>
          </cell>
          <cell r="AH136">
            <v>365</v>
          </cell>
          <cell r="AJ136">
            <v>14.3</v>
          </cell>
          <cell r="AK136">
            <v>12.6</v>
          </cell>
          <cell r="AL136">
            <v>4.4000000000000004</v>
          </cell>
          <cell r="AM136">
            <v>2.4</v>
          </cell>
          <cell r="AN136">
            <v>0.97199999999999998</v>
          </cell>
          <cell r="AO136">
            <v>0.79900000000000004</v>
          </cell>
          <cell r="AP136">
            <v>0.27600000000000002</v>
          </cell>
          <cell r="AQ136">
            <v>9.8000000000000004E-2</v>
          </cell>
          <cell r="AT136">
            <v>2.5642921689705618E-2</v>
          </cell>
          <cell r="AU136">
            <v>1.5331822002957392</v>
          </cell>
          <cell r="AV136">
            <v>1.1810341179343091</v>
          </cell>
          <cell r="AW136">
            <v>1.1810341179343091</v>
          </cell>
          <cell r="AX136">
            <v>182.51295789444902</v>
          </cell>
          <cell r="AY136">
            <v>1.662496549555577</v>
          </cell>
          <cell r="AZ136">
            <v>1.662496549555577</v>
          </cell>
          <cell r="BA136">
            <v>25.494709656592505</v>
          </cell>
        </row>
        <row r="137">
          <cell r="B137" t="str">
            <v>Airbus A319</v>
          </cell>
          <cell r="C137" t="str">
            <v>Lufthansa</v>
          </cell>
          <cell r="D137" t="str">
            <v>CFM56-5B6/P</v>
          </cell>
          <cell r="E137">
            <v>104.53</v>
          </cell>
          <cell r="F137">
            <v>75500</v>
          </cell>
          <cell r="G137">
            <v>31</v>
          </cell>
          <cell r="H137">
            <v>18</v>
          </cell>
          <cell r="I137">
            <v>102</v>
          </cell>
          <cell r="J137">
            <v>0</v>
          </cell>
          <cell r="K137">
            <v>0</v>
          </cell>
          <cell r="L137">
            <v>0</v>
          </cell>
          <cell r="M137">
            <v>31</v>
          </cell>
          <cell r="N137">
            <v>18</v>
          </cell>
          <cell r="O137">
            <v>24</v>
          </cell>
          <cell r="P137">
            <v>0</v>
          </cell>
          <cell r="Q137">
            <v>0</v>
          </cell>
          <cell r="R137">
            <v>0</v>
          </cell>
          <cell r="S137">
            <v>91.4</v>
          </cell>
          <cell r="T137">
            <v>96.9</v>
          </cell>
          <cell r="U137">
            <v>86.9</v>
          </cell>
          <cell r="V137">
            <v>91.7</v>
          </cell>
          <cell r="W137">
            <v>93.7</v>
          </cell>
          <cell r="X137">
            <v>100.6</v>
          </cell>
          <cell r="AE137">
            <v>901</v>
          </cell>
          <cell r="AF137">
            <v>4525</v>
          </cell>
          <cell r="AG137">
            <v>4232</v>
          </cell>
          <cell r="AH137">
            <v>363</v>
          </cell>
          <cell r="AJ137">
            <v>5.4</v>
          </cell>
          <cell r="AK137">
            <v>2.2000000000000002</v>
          </cell>
          <cell r="AL137">
            <v>0.3</v>
          </cell>
          <cell r="AM137">
            <v>0.6</v>
          </cell>
          <cell r="AN137">
            <v>0.96099999999999997</v>
          </cell>
          <cell r="AO137">
            <v>0.79900000000000004</v>
          </cell>
          <cell r="AP137">
            <v>0.27500000000000002</v>
          </cell>
          <cell r="AQ137">
            <v>9.7000000000000003E-2</v>
          </cell>
          <cell r="AT137">
            <v>2.5642921689705618E-2</v>
          </cell>
          <cell r="AU137">
            <v>1.5331822002957392</v>
          </cell>
          <cell r="AV137">
            <v>1.1810341179343091</v>
          </cell>
          <cell r="AW137">
            <v>1.1810341179343091</v>
          </cell>
          <cell r="AX137">
            <v>182.51295789444902</v>
          </cell>
          <cell r="AY137">
            <v>1.662496549555577</v>
          </cell>
          <cell r="AZ137">
            <v>1.662496549555577</v>
          </cell>
          <cell r="BA137">
            <v>25.494709656592505</v>
          </cell>
        </row>
        <row r="138">
          <cell r="B138" t="str">
            <v>Airbus A320</v>
          </cell>
          <cell r="C138" t="str">
            <v>Lufthansa</v>
          </cell>
          <cell r="D138" t="str">
            <v>CFM56-5B4/P</v>
          </cell>
          <cell r="E138">
            <v>120.11</v>
          </cell>
          <cell r="F138">
            <v>78000</v>
          </cell>
          <cell r="G138">
            <v>30</v>
          </cell>
          <cell r="H138">
            <v>18</v>
          </cell>
          <cell r="I138">
            <v>126</v>
          </cell>
          <cell r="J138">
            <v>0</v>
          </cell>
          <cell r="K138">
            <v>0</v>
          </cell>
          <cell r="L138">
            <v>0</v>
          </cell>
          <cell r="M138">
            <v>30</v>
          </cell>
          <cell r="N138">
            <v>18</v>
          </cell>
          <cell r="O138">
            <v>28</v>
          </cell>
          <cell r="P138">
            <v>0</v>
          </cell>
          <cell r="Q138">
            <v>0</v>
          </cell>
          <cell r="R138">
            <v>0</v>
          </cell>
          <cell r="S138">
            <v>92.8</v>
          </cell>
          <cell r="T138">
            <v>97</v>
          </cell>
          <cell r="U138">
            <v>85.2</v>
          </cell>
          <cell r="V138">
            <v>91.8</v>
          </cell>
          <cell r="W138">
            <v>95.2</v>
          </cell>
          <cell r="X138">
            <v>100.7</v>
          </cell>
          <cell r="AE138">
            <v>818</v>
          </cell>
          <cell r="AF138">
            <v>4123</v>
          </cell>
          <cell r="AG138">
            <v>5641</v>
          </cell>
          <cell r="AH138">
            <v>408</v>
          </cell>
          <cell r="AJ138">
            <v>5.4</v>
          </cell>
          <cell r="AK138">
            <v>4.0999999999999996</v>
          </cell>
          <cell r="AL138">
            <v>0.2</v>
          </cell>
          <cell r="AM138">
            <v>0.5</v>
          </cell>
          <cell r="AN138">
            <v>1.1319999999999999</v>
          </cell>
          <cell r="AO138">
            <v>0.93500000000000005</v>
          </cell>
          <cell r="AP138">
            <v>0.312</v>
          </cell>
          <cell r="AQ138">
            <v>0.104</v>
          </cell>
          <cell r="AT138">
            <v>2.8597287885879265E-2</v>
          </cell>
          <cell r="AU138">
            <v>1.5331822002957392</v>
          </cell>
          <cell r="AV138">
            <v>1.1810341179343091</v>
          </cell>
          <cell r="AW138">
            <v>1.1810341179343091</v>
          </cell>
          <cell r="AX138">
            <v>182.51295789444902</v>
          </cell>
          <cell r="AY138">
            <v>1.662496549555577</v>
          </cell>
          <cell r="AZ138">
            <v>1.662496549555577</v>
          </cell>
          <cell r="BA138">
            <v>25.494709656592505</v>
          </cell>
        </row>
        <row r="139">
          <cell r="B139" t="str">
            <v>Airbus A320neo</v>
          </cell>
          <cell r="C139" t="str">
            <v>Lufthansa</v>
          </cell>
          <cell r="D139" t="str">
            <v>PW1127G-JM</v>
          </cell>
          <cell r="E139">
            <v>120.44</v>
          </cell>
          <cell r="F139">
            <v>79000</v>
          </cell>
          <cell r="G139">
            <v>30</v>
          </cell>
          <cell r="H139">
            <v>18</v>
          </cell>
          <cell r="I139">
            <v>138</v>
          </cell>
          <cell r="J139">
            <v>0</v>
          </cell>
          <cell r="K139">
            <v>0</v>
          </cell>
          <cell r="L139">
            <v>0</v>
          </cell>
          <cell r="M139">
            <v>30</v>
          </cell>
          <cell r="N139">
            <v>27</v>
          </cell>
          <cell r="O139">
            <v>28</v>
          </cell>
          <cell r="P139">
            <v>0</v>
          </cell>
          <cell r="Q139">
            <v>0</v>
          </cell>
          <cell r="R139">
            <v>0</v>
          </cell>
          <cell r="S139">
            <v>86.8</v>
          </cell>
          <cell r="T139">
            <v>97</v>
          </cell>
          <cell r="U139">
            <v>81.7</v>
          </cell>
          <cell r="V139">
            <v>91.9</v>
          </cell>
          <cell r="W139">
            <v>92.4</v>
          </cell>
          <cell r="X139">
            <v>100.7</v>
          </cell>
          <cell r="AE139">
            <v>21</v>
          </cell>
          <cell r="AF139">
            <v>3348</v>
          </cell>
          <cell r="AG139">
            <v>3244</v>
          </cell>
          <cell r="AH139">
            <v>316.60000000000002</v>
          </cell>
          <cell r="AJ139">
            <v>1.4</v>
          </cell>
          <cell r="AK139">
            <v>0.3</v>
          </cell>
          <cell r="AL139">
            <v>0.36</v>
          </cell>
          <cell r="AM139">
            <v>0.56000000000000005</v>
          </cell>
          <cell r="AN139">
            <v>0.80041600000000002</v>
          </cell>
          <cell r="AO139">
            <v>0.66126300000000005</v>
          </cell>
          <cell r="AP139">
            <v>0.23219400000000001</v>
          </cell>
          <cell r="AQ139">
            <v>8.9743000000000003E-2</v>
          </cell>
          <cell r="AT139">
            <v>2.8788575539066177E-2</v>
          </cell>
          <cell r="AU139">
            <v>1.5331822002957392</v>
          </cell>
          <cell r="AV139">
            <v>1.1810341179343091</v>
          </cell>
          <cell r="AW139">
            <v>1.1810341179343091</v>
          </cell>
          <cell r="AX139">
            <v>182.51295789444902</v>
          </cell>
          <cell r="AY139">
            <v>1.662496549555577</v>
          </cell>
          <cell r="AZ139">
            <v>1.662496549555577</v>
          </cell>
          <cell r="BA139">
            <v>25.494709656592505</v>
          </cell>
        </row>
        <row r="140">
          <cell r="B140" t="str">
            <v>Airbus A321</v>
          </cell>
          <cell r="C140" t="str">
            <v>Lufthansa</v>
          </cell>
          <cell r="D140" t="str">
            <v>V2533-A5</v>
          </cell>
          <cell r="E140">
            <v>140.56</v>
          </cell>
          <cell r="F140">
            <v>93500</v>
          </cell>
          <cell r="G140">
            <v>30</v>
          </cell>
          <cell r="H140">
            <v>18</v>
          </cell>
          <cell r="I140">
            <v>166</v>
          </cell>
          <cell r="J140">
            <v>0</v>
          </cell>
          <cell r="K140">
            <v>0</v>
          </cell>
          <cell r="L140">
            <v>0</v>
          </cell>
          <cell r="M140">
            <v>30</v>
          </cell>
          <cell r="N140">
            <v>27</v>
          </cell>
          <cell r="O140">
            <v>26</v>
          </cell>
          <cell r="P140">
            <v>0</v>
          </cell>
          <cell r="Q140">
            <v>0</v>
          </cell>
          <cell r="R140">
            <v>0</v>
          </cell>
          <cell r="S140">
            <v>94.7</v>
          </cell>
          <cell r="T140">
            <v>97.6</v>
          </cell>
          <cell r="U140">
            <v>89.2</v>
          </cell>
          <cell r="V140">
            <v>92.8</v>
          </cell>
          <cell r="W140">
            <v>95.9</v>
          </cell>
          <cell r="X140">
            <v>101.3</v>
          </cell>
          <cell r="AE140">
            <v>35</v>
          </cell>
          <cell r="AF140">
            <v>2241</v>
          </cell>
          <cell r="AG140">
            <v>8646</v>
          </cell>
          <cell r="AH140">
            <v>517</v>
          </cell>
          <cell r="AJ140">
            <v>4.7</v>
          </cell>
          <cell r="AK140">
            <v>6.2</v>
          </cell>
          <cell r="AL140">
            <v>4.8</v>
          </cell>
          <cell r="AM140">
            <v>2.4</v>
          </cell>
          <cell r="AN140">
            <v>1.4259999999999999</v>
          </cell>
          <cell r="AO140">
            <v>1.1447000000000001</v>
          </cell>
          <cell r="AP140">
            <v>0.3901</v>
          </cell>
          <cell r="AQ140">
            <v>0.1363</v>
          </cell>
          <cell r="AT140">
            <v>2.7628795708091864E-2</v>
          </cell>
          <cell r="AU140">
            <v>1.5331822002957392</v>
          </cell>
          <cell r="AV140">
            <v>1.1810341179343091</v>
          </cell>
          <cell r="AW140">
            <v>1.1810341179343091</v>
          </cell>
          <cell r="AX140">
            <v>182.51295789444902</v>
          </cell>
          <cell r="AY140">
            <v>1.662496549555577</v>
          </cell>
          <cell r="AZ140">
            <v>1.662496549555577</v>
          </cell>
          <cell r="BA140">
            <v>25.494709656592505</v>
          </cell>
        </row>
        <row r="141">
          <cell r="B141" t="str">
            <v>Airbus A321neo</v>
          </cell>
          <cell r="C141" t="str">
            <v>Lufthansa</v>
          </cell>
          <cell r="D141" t="str">
            <v>PW1133G-JM</v>
          </cell>
          <cell r="E141">
            <v>147.28</v>
          </cell>
          <cell r="F141">
            <v>97000</v>
          </cell>
          <cell r="G141">
            <v>30</v>
          </cell>
          <cell r="H141">
            <v>18</v>
          </cell>
          <cell r="I141">
            <v>167</v>
          </cell>
          <cell r="J141">
            <v>0</v>
          </cell>
          <cell r="K141">
            <v>0</v>
          </cell>
          <cell r="L141">
            <v>0</v>
          </cell>
          <cell r="M141">
            <v>30</v>
          </cell>
          <cell r="N141">
            <v>27</v>
          </cell>
          <cell r="O141">
            <v>32</v>
          </cell>
          <cell r="P141">
            <v>0</v>
          </cell>
          <cell r="Q141">
            <v>0</v>
          </cell>
          <cell r="R141">
            <v>0</v>
          </cell>
          <cell r="S141">
            <v>88</v>
          </cell>
          <cell r="T141">
            <v>97.6</v>
          </cell>
          <cell r="U141">
            <v>84.9</v>
          </cell>
          <cell r="V141">
            <v>92.8</v>
          </cell>
          <cell r="W141">
            <v>94.7</v>
          </cell>
          <cell r="X141">
            <v>101.3</v>
          </cell>
          <cell r="AE141">
            <v>16</v>
          </cell>
          <cell r="AF141">
            <v>3025</v>
          </cell>
          <cell r="AG141">
            <v>4864</v>
          </cell>
          <cell r="AH141">
            <v>374.6</v>
          </cell>
          <cell r="AJ141">
            <v>4.4000000000000004</v>
          </cell>
          <cell r="AK141">
            <v>2.0099999999999998</v>
          </cell>
          <cell r="AL141">
            <v>0.34</v>
          </cell>
          <cell r="AM141">
            <v>0.54</v>
          </cell>
          <cell r="AN141">
            <v>1.0229699999999999</v>
          </cell>
          <cell r="AO141">
            <v>0.83854300000000004</v>
          </cell>
          <cell r="AP141">
            <v>0.27834199999999998</v>
          </cell>
          <cell r="AQ141">
            <v>9.8780000000000007E-2</v>
          </cell>
          <cell r="AT141">
            <v>5.097549313429401E-2</v>
          </cell>
          <cell r="AU141">
            <v>1.5331822002957392</v>
          </cell>
          <cell r="AV141">
            <v>1.1810341179343091</v>
          </cell>
          <cell r="AW141">
            <v>1.1810341179343091</v>
          </cell>
          <cell r="AX141">
            <v>182.51295789444902</v>
          </cell>
          <cell r="AY141">
            <v>1.662496549555577</v>
          </cell>
          <cell r="AZ141">
            <v>1.662496549555577</v>
          </cell>
          <cell r="BA141">
            <v>25.494709656592505</v>
          </cell>
        </row>
        <row r="142">
          <cell r="B142" t="str">
            <v>Airbus A330-300</v>
          </cell>
          <cell r="C142" t="str">
            <v>Lufthansa</v>
          </cell>
          <cell r="D142" t="str">
            <v>Trent 772B-60</v>
          </cell>
          <cell r="E142">
            <v>315.89999999999998</v>
          </cell>
          <cell r="F142">
            <v>242000</v>
          </cell>
          <cell r="G142">
            <v>31</v>
          </cell>
          <cell r="H142">
            <v>17</v>
          </cell>
          <cell r="I142">
            <v>185</v>
          </cell>
          <cell r="J142">
            <v>38</v>
          </cell>
          <cell r="K142">
            <v>18</v>
          </cell>
          <cell r="L142">
            <v>28</v>
          </cell>
          <cell r="M142">
            <v>64</v>
          </cell>
          <cell r="N142">
            <v>20.5</v>
          </cell>
          <cell r="O142">
            <v>42</v>
          </cell>
          <cell r="P142">
            <v>0</v>
          </cell>
          <cell r="Q142">
            <v>0</v>
          </cell>
          <cell r="R142">
            <v>0</v>
          </cell>
          <cell r="S142">
            <v>97.3</v>
          </cell>
          <cell r="T142">
            <v>101.1</v>
          </cell>
          <cell r="U142">
            <v>91.9</v>
          </cell>
          <cell r="V142">
            <v>98.3</v>
          </cell>
          <cell r="W142">
            <v>96.9</v>
          </cell>
          <cell r="X142">
            <v>104.5</v>
          </cell>
          <cell r="AE142">
            <v>735</v>
          </cell>
          <cell r="AF142">
            <v>4175</v>
          </cell>
          <cell r="AG142">
            <v>21462</v>
          </cell>
          <cell r="AH142">
            <v>1096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3.15</v>
          </cell>
          <cell r="AO142">
            <v>2.58</v>
          </cell>
          <cell r="AP142">
            <v>0.84</v>
          </cell>
          <cell r="AQ142">
            <v>0.27</v>
          </cell>
          <cell r="AT142">
            <v>4.0082972805128396E-2</v>
          </cell>
          <cell r="AU142">
            <v>1.6052294051517633</v>
          </cell>
          <cell r="AV142">
            <v>1.2086148990711754</v>
          </cell>
          <cell r="AW142">
            <v>1.2086148990711754</v>
          </cell>
          <cell r="AX142">
            <v>194.84374957907579</v>
          </cell>
          <cell r="AY142">
            <v>1.5570406693491181</v>
          </cell>
          <cell r="AZ142">
            <v>1.5570406693491181</v>
          </cell>
          <cell r="BA142">
            <v>23.877523113761615</v>
          </cell>
        </row>
        <row r="143">
          <cell r="B143" t="str">
            <v>Airbus A340-300</v>
          </cell>
          <cell r="C143" t="str">
            <v>Lufthansa</v>
          </cell>
          <cell r="D143" t="str">
            <v>CFM56-5C4</v>
          </cell>
          <cell r="E143">
            <v>151.25</v>
          </cell>
          <cell r="F143">
            <v>271000</v>
          </cell>
          <cell r="G143">
            <v>31</v>
          </cell>
          <cell r="H143">
            <v>17</v>
          </cell>
          <cell r="I143">
            <v>221</v>
          </cell>
          <cell r="J143">
            <v>38</v>
          </cell>
          <cell r="K143">
            <v>18</v>
          </cell>
          <cell r="L143">
            <v>28</v>
          </cell>
          <cell r="M143">
            <v>64</v>
          </cell>
          <cell r="N143">
            <v>20.5</v>
          </cell>
          <cell r="O143">
            <v>30</v>
          </cell>
          <cell r="P143">
            <v>0</v>
          </cell>
          <cell r="Q143">
            <v>0</v>
          </cell>
          <cell r="R143">
            <v>0</v>
          </cell>
          <cell r="S143">
            <v>96.1</v>
          </cell>
          <cell r="T143">
            <v>101.6</v>
          </cell>
          <cell r="U143">
            <v>95.4</v>
          </cell>
          <cell r="V143">
            <v>104.1</v>
          </cell>
          <cell r="W143">
            <v>96.9</v>
          </cell>
          <cell r="X143">
            <v>104.9</v>
          </cell>
          <cell r="AE143">
            <v>975</v>
          </cell>
          <cell r="AF143">
            <v>6308</v>
          </cell>
          <cell r="AG143">
            <v>8702</v>
          </cell>
          <cell r="AH143">
            <v>505</v>
          </cell>
          <cell r="AJ143">
            <v>12.6</v>
          </cell>
          <cell r="AK143">
            <v>9.8000000000000007</v>
          </cell>
          <cell r="AL143">
            <v>1</v>
          </cell>
          <cell r="AM143">
            <v>1.1000000000000001</v>
          </cell>
          <cell r="AN143">
            <v>1.456</v>
          </cell>
          <cell r="AO143">
            <v>1.1950000000000001</v>
          </cell>
          <cell r="AP143">
            <v>0.38600000000000001</v>
          </cell>
          <cell r="AQ143">
            <v>0.124</v>
          </cell>
          <cell r="AT143">
            <v>8.7747504079337374E-2</v>
          </cell>
          <cell r="AU143">
            <v>1.6052294051517633</v>
          </cell>
          <cell r="AV143">
            <v>1.2086148990711754</v>
          </cell>
          <cell r="AW143">
            <v>1.2086148990711754</v>
          </cell>
          <cell r="AX143">
            <v>194.84374957907579</v>
          </cell>
          <cell r="AY143">
            <v>1.5570406693491181</v>
          </cell>
          <cell r="AZ143">
            <v>1.5570406693491181</v>
          </cell>
          <cell r="BA143">
            <v>23.877523113761615</v>
          </cell>
        </row>
        <row r="144">
          <cell r="B144" t="str">
            <v>Airbus A340-600</v>
          </cell>
          <cell r="C144" t="str">
            <v>Lufthansa</v>
          </cell>
          <cell r="D144" t="str">
            <v>Trent 556-61</v>
          </cell>
          <cell r="E144">
            <v>261.5</v>
          </cell>
          <cell r="F144">
            <v>365000</v>
          </cell>
          <cell r="G144">
            <v>31</v>
          </cell>
          <cell r="H144">
            <v>17.3</v>
          </cell>
          <cell r="I144">
            <v>213</v>
          </cell>
          <cell r="J144">
            <v>38</v>
          </cell>
          <cell r="K144">
            <v>18</v>
          </cell>
          <cell r="L144">
            <v>32</v>
          </cell>
          <cell r="M144">
            <v>64</v>
          </cell>
          <cell r="N144">
            <v>20</v>
          </cell>
          <cell r="O144">
            <v>44</v>
          </cell>
          <cell r="P144">
            <v>81</v>
          </cell>
          <cell r="Q144">
            <v>31</v>
          </cell>
          <cell r="R144">
            <v>8</v>
          </cell>
          <cell r="S144">
            <v>95.6</v>
          </cell>
          <cell r="T144">
            <v>103</v>
          </cell>
          <cell r="U144">
            <v>97.5</v>
          </cell>
          <cell r="V144">
            <v>106</v>
          </cell>
          <cell r="W144">
            <v>100.2</v>
          </cell>
          <cell r="X144">
            <v>105</v>
          </cell>
          <cell r="AE144">
            <v>36</v>
          </cell>
          <cell r="AF144">
            <v>3826</v>
          </cell>
          <cell r="AG144">
            <v>16113</v>
          </cell>
          <cell r="AH144">
            <v>843</v>
          </cell>
          <cell r="AJ144">
            <v>2.2400000000000002</v>
          </cell>
          <cell r="AK144">
            <v>2.09</v>
          </cell>
          <cell r="AL144">
            <v>1.02</v>
          </cell>
          <cell r="AM144">
            <v>0.76</v>
          </cell>
          <cell r="AN144">
            <v>2.2400000000000002</v>
          </cell>
          <cell r="AO144">
            <v>1.83</v>
          </cell>
          <cell r="AP144">
            <v>0.62</v>
          </cell>
          <cell r="AQ144">
            <v>0.23</v>
          </cell>
          <cell r="AT144">
            <v>7.8359754067415258E-2</v>
          </cell>
          <cell r="AU144">
            <v>1.6052294051517633</v>
          </cell>
          <cell r="AV144">
            <v>1.2086148990711754</v>
          </cell>
          <cell r="AW144">
            <v>1.2086148990711754</v>
          </cell>
          <cell r="AX144">
            <v>194.84374957907579</v>
          </cell>
          <cell r="AY144">
            <v>1.5570406693491181</v>
          </cell>
          <cell r="AZ144">
            <v>1.5570406693491181</v>
          </cell>
          <cell r="BA144">
            <v>23.877523113761615</v>
          </cell>
        </row>
        <row r="145">
          <cell r="B145" t="str">
            <v>Airbus A350-900</v>
          </cell>
          <cell r="C145" t="str">
            <v>Lufthansa</v>
          </cell>
          <cell r="D145" t="str">
            <v>Trent XWB-84</v>
          </cell>
          <cell r="E145">
            <v>379</v>
          </cell>
          <cell r="F145">
            <v>280000</v>
          </cell>
          <cell r="G145">
            <v>31</v>
          </cell>
          <cell r="H145">
            <v>17</v>
          </cell>
          <cell r="I145">
            <v>224</v>
          </cell>
          <cell r="J145">
            <v>38</v>
          </cell>
          <cell r="K145">
            <v>18</v>
          </cell>
          <cell r="L145">
            <v>21</v>
          </cell>
          <cell r="M145">
            <v>64</v>
          </cell>
          <cell r="N145">
            <v>20</v>
          </cell>
          <cell r="O145">
            <v>48</v>
          </cell>
          <cell r="P145">
            <v>0</v>
          </cell>
          <cell r="Q145">
            <v>0</v>
          </cell>
          <cell r="R145">
            <v>0</v>
          </cell>
          <cell r="S145">
            <v>91.5</v>
          </cell>
          <cell r="T145">
            <v>101.7</v>
          </cell>
          <cell r="U145">
            <v>86.5</v>
          </cell>
          <cell r="V145">
            <v>99.2</v>
          </cell>
          <cell r="W145">
            <v>96.5</v>
          </cell>
          <cell r="X145">
            <v>105</v>
          </cell>
          <cell r="AE145">
            <v>424</v>
          </cell>
          <cell r="AF145">
            <v>9760</v>
          </cell>
          <cell r="AG145">
            <v>20243</v>
          </cell>
          <cell r="AH145">
            <v>1069</v>
          </cell>
          <cell r="AJ145">
            <v>5.8</v>
          </cell>
          <cell r="AK145">
            <v>6.4</v>
          </cell>
          <cell r="AL145">
            <v>6.6</v>
          </cell>
          <cell r="AM145">
            <v>1.2</v>
          </cell>
          <cell r="AN145">
            <v>2.819</v>
          </cell>
          <cell r="AO145">
            <v>2.306</v>
          </cell>
          <cell r="AP145">
            <v>0.80100000000000005</v>
          </cell>
          <cell r="AQ145">
            <v>0.29099999999999998</v>
          </cell>
          <cell r="AT145">
            <v>4.588535564997364E-2</v>
          </cell>
          <cell r="AU145">
            <v>1.6513343009971913</v>
          </cell>
          <cell r="AV145">
            <v>1.2129334174299515</v>
          </cell>
          <cell r="AW145">
            <v>1.2129334174299515</v>
          </cell>
          <cell r="AX145">
            <v>204.52717618547004</v>
          </cell>
          <cell r="AY145">
            <v>1.4396031444039483</v>
          </cell>
          <cell r="AZ145">
            <v>1.4396031444039483</v>
          </cell>
          <cell r="BA145">
            <v>22.076595706082895</v>
          </cell>
        </row>
        <row r="146">
          <cell r="B146" t="str">
            <v>Airbus A380-800</v>
          </cell>
          <cell r="C146" t="str">
            <v>Lufthansa</v>
          </cell>
          <cell r="D146" t="str">
            <v>Trent 970-84</v>
          </cell>
          <cell r="E146">
            <v>334.7</v>
          </cell>
          <cell r="F146">
            <v>575000</v>
          </cell>
          <cell r="G146">
            <v>31</v>
          </cell>
          <cell r="H146">
            <v>18.2</v>
          </cell>
          <cell r="I146">
            <v>371</v>
          </cell>
          <cell r="J146">
            <v>38</v>
          </cell>
          <cell r="K146">
            <v>19</v>
          </cell>
          <cell r="L146">
            <v>52</v>
          </cell>
          <cell r="M146">
            <v>64</v>
          </cell>
          <cell r="N146">
            <v>20</v>
          </cell>
          <cell r="O146">
            <v>78</v>
          </cell>
          <cell r="P146">
            <v>81</v>
          </cell>
          <cell r="Q146">
            <v>31</v>
          </cell>
          <cell r="R146">
            <v>8</v>
          </cell>
          <cell r="S146">
            <v>94.2</v>
          </cell>
          <cell r="T146">
            <v>103</v>
          </cell>
          <cell r="U146">
            <v>96</v>
          </cell>
          <cell r="V146">
            <v>106</v>
          </cell>
          <cell r="W146">
            <v>98.1</v>
          </cell>
          <cell r="X146">
            <v>105</v>
          </cell>
          <cell r="AE146">
            <v>81</v>
          </cell>
          <cell r="AF146">
            <v>6461</v>
          </cell>
          <cell r="AG146">
            <v>16555</v>
          </cell>
          <cell r="AH146">
            <v>980</v>
          </cell>
          <cell r="AJ146">
            <v>4.0999999999999996</v>
          </cell>
          <cell r="AK146">
            <v>4.7</v>
          </cell>
          <cell r="AL146">
            <v>2.6</v>
          </cell>
          <cell r="AM146">
            <v>0.7</v>
          </cell>
          <cell r="AN146">
            <v>2.6</v>
          </cell>
          <cell r="AO146">
            <v>2.2000000000000002</v>
          </cell>
          <cell r="AP146">
            <v>0.7</v>
          </cell>
          <cell r="AQ146">
            <v>0.3</v>
          </cell>
          <cell r="AT146">
            <v>9.1689426131764937E-2</v>
          </cell>
          <cell r="AU146">
            <v>1.6513343009971913</v>
          </cell>
          <cell r="AV146">
            <v>1.2129334174299515</v>
          </cell>
          <cell r="AW146">
            <v>1.2129334174299515</v>
          </cell>
          <cell r="AX146">
            <v>204.52717618547004</v>
          </cell>
          <cell r="AY146">
            <v>1.4396031444039483</v>
          </cell>
          <cell r="AZ146">
            <v>1.4396031444039483</v>
          </cell>
          <cell r="BA146">
            <v>22.076595706082895</v>
          </cell>
        </row>
        <row r="147">
          <cell r="B147" t="str">
            <v>Boeing 747-400</v>
          </cell>
          <cell r="C147" t="str">
            <v>Lufthansa</v>
          </cell>
          <cell r="D147" t="str">
            <v>CF6-80C2B1F</v>
          </cell>
          <cell r="E147">
            <v>254.3</v>
          </cell>
          <cell r="F147">
            <v>396894</v>
          </cell>
          <cell r="G147">
            <v>31</v>
          </cell>
          <cell r="H147">
            <v>17.100000000000001</v>
          </cell>
          <cell r="I147">
            <v>308</v>
          </cell>
          <cell r="J147">
            <v>38</v>
          </cell>
          <cell r="K147">
            <v>19</v>
          </cell>
          <cell r="L147">
            <v>32</v>
          </cell>
          <cell r="M147">
            <v>64</v>
          </cell>
          <cell r="N147">
            <v>20</v>
          </cell>
          <cell r="O147">
            <v>53</v>
          </cell>
          <cell r="P147">
            <v>0</v>
          </cell>
          <cell r="Q147">
            <v>0</v>
          </cell>
          <cell r="R147">
            <v>0</v>
          </cell>
          <cell r="S147">
            <v>97.9</v>
          </cell>
          <cell r="T147">
            <v>103</v>
          </cell>
          <cell r="U147">
            <v>99.9</v>
          </cell>
          <cell r="V147">
            <v>106</v>
          </cell>
          <cell r="W147">
            <v>103.8</v>
          </cell>
          <cell r="X147">
            <v>105</v>
          </cell>
          <cell r="AE147">
            <v>3157</v>
          </cell>
          <cell r="AF147">
            <v>14493</v>
          </cell>
          <cell r="AG147">
            <v>10718</v>
          </cell>
          <cell r="AH147">
            <v>823</v>
          </cell>
          <cell r="AJ147">
            <v>7.1</v>
          </cell>
          <cell r="AK147">
            <v>4.8</v>
          </cell>
          <cell r="AL147">
            <v>2.2999999999999998</v>
          </cell>
          <cell r="AM147">
            <v>3</v>
          </cell>
          <cell r="AN147">
            <v>2.3530000000000002</v>
          </cell>
          <cell r="AO147">
            <v>1.913</v>
          </cell>
          <cell r="AP147">
            <v>0.63200000000000001</v>
          </cell>
          <cell r="AQ147">
            <v>0.20499999999999999</v>
          </cell>
          <cell r="AT147">
            <v>7.5083067960307781E-2</v>
          </cell>
          <cell r="AU147">
            <v>1.6513343009971913</v>
          </cell>
          <cell r="AV147">
            <v>1.2129334174299515</v>
          </cell>
          <cell r="AW147">
            <v>1.2129334174299515</v>
          </cell>
          <cell r="AX147">
            <v>204.52717618547004</v>
          </cell>
          <cell r="AY147">
            <v>1.4396031444039483</v>
          </cell>
          <cell r="AZ147">
            <v>1.4396031444039483</v>
          </cell>
          <cell r="BA147">
            <v>22.076595706082895</v>
          </cell>
        </row>
        <row r="148">
          <cell r="B148" t="str">
            <v>Boeing 747-8</v>
          </cell>
          <cell r="C148" t="str">
            <v>Lufthansa</v>
          </cell>
          <cell r="D148" t="str">
            <v>GeNx-2B67</v>
          </cell>
          <cell r="E148">
            <v>299.8</v>
          </cell>
          <cell r="F148">
            <v>447696</v>
          </cell>
          <cell r="G148">
            <v>31</v>
          </cell>
          <cell r="H148">
            <v>17.100000000000001</v>
          </cell>
          <cell r="I148">
            <v>244</v>
          </cell>
          <cell r="J148">
            <v>38</v>
          </cell>
          <cell r="K148">
            <v>19</v>
          </cell>
          <cell r="L148">
            <v>32</v>
          </cell>
          <cell r="M148">
            <v>64</v>
          </cell>
          <cell r="N148">
            <v>20</v>
          </cell>
          <cell r="O148">
            <v>80</v>
          </cell>
          <cell r="P148">
            <v>81</v>
          </cell>
          <cell r="Q148">
            <v>31</v>
          </cell>
          <cell r="R148">
            <v>8</v>
          </cell>
          <cell r="S148">
            <v>94</v>
          </cell>
          <cell r="T148">
            <v>103</v>
          </cell>
          <cell r="U148">
            <v>94.5</v>
          </cell>
          <cell r="V148">
            <v>106</v>
          </cell>
          <cell r="W148">
            <v>100.4</v>
          </cell>
          <cell r="X148">
            <v>105</v>
          </cell>
          <cell r="AE148">
            <v>208</v>
          </cell>
          <cell r="AF148">
            <v>6890</v>
          </cell>
          <cell r="AG148">
            <v>10978</v>
          </cell>
          <cell r="AH148">
            <v>874</v>
          </cell>
          <cell r="AJ148">
            <v>0</v>
          </cell>
          <cell r="AK148">
            <v>0</v>
          </cell>
          <cell r="AL148">
            <v>5.54</v>
          </cell>
          <cell r="AM148">
            <v>0.05</v>
          </cell>
          <cell r="AN148">
            <v>2.4510000000000001</v>
          </cell>
          <cell r="AO148">
            <v>2.012</v>
          </cell>
          <cell r="AP148">
            <v>0.70099999999999996</v>
          </cell>
          <cell r="AQ148">
            <v>0.216</v>
          </cell>
          <cell r="AT148">
            <v>0</v>
          </cell>
          <cell r="AU148">
            <v>1.6653015762660728</v>
          </cell>
          <cell r="AV148">
            <v>1.2120604112768925</v>
          </cell>
          <cell r="AW148">
            <v>1.2120604112768925</v>
          </cell>
          <cell r="AX148">
            <v>207.75404309926367</v>
          </cell>
          <cell r="AY148">
            <v>1.3954836834227979</v>
          </cell>
          <cell r="AZ148">
            <v>1.3954836834227979</v>
          </cell>
          <cell r="BA148">
            <v>21.400015145226703</v>
          </cell>
        </row>
        <row r="149">
          <cell r="B149" t="str">
            <v>Bombardier CRJ900</v>
          </cell>
          <cell r="C149" t="str">
            <v>Lufthansa</v>
          </cell>
          <cell r="D149" t="str">
            <v>CF34-8C5</v>
          </cell>
          <cell r="E149">
            <v>59.42</v>
          </cell>
          <cell r="F149">
            <v>38329</v>
          </cell>
          <cell r="G149">
            <v>31</v>
          </cell>
          <cell r="H149">
            <v>17.5</v>
          </cell>
          <cell r="I149">
            <v>68</v>
          </cell>
          <cell r="J149">
            <v>0</v>
          </cell>
          <cell r="K149">
            <v>0</v>
          </cell>
          <cell r="L149">
            <v>0</v>
          </cell>
          <cell r="M149">
            <v>31</v>
          </cell>
          <cell r="N149">
            <v>17.5</v>
          </cell>
          <cell r="O149">
            <v>11</v>
          </cell>
          <cell r="P149">
            <v>0</v>
          </cell>
          <cell r="Q149">
            <v>0</v>
          </cell>
          <cell r="R149">
            <v>0</v>
          </cell>
          <cell r="S149">
            <v>89.8</v>
          </cell>
          <cell r="T149">
            <v>94.3</v>
          </cell>
          <cell r="U149">
            <v>84.2</v>
          </cell>
          <cell r="V149">
            <v>89</v>
          </cell>
          <cell r="W149">
            <v>92.3</v>
          </cell>
          <cell r="X149">
            <v>98.3</v>
          </cell>
          <cell r="AE149">
            <v>18</v>
          </cell>
          <cell r="AF149">
            <v>2070</v>
          </cell>
          <cell r="AG149">
            <v>2205</v>
          </cell>
          <cell r="AH149">
            <v>240</v>
          </cell>
          <cell r="AJ149">
            <v>8.32</v>
          </cell>
          <cell r="AK149">
            <v>2.52</v>
          </cell>
          <cell r="AL149">
            <v>0</v>
          </cell>
          <cell r="AM149">
            <v>0</v>
          </cell>
          <cell r="AN149">
            <v>0.64810000000000001</v>
          </cell>
          <cell r="AO149">
            <v>0.52969999999999995</v>
          </cell>
          <cell r="AP149">
            <v>0.17929999999999999</v>
          </cell>
          <cell r="AQ149">
            <v>6.4299999999999996E-2</v>
          </cell>
          <cell r="AT149">
            <v>2.087182558822058E-2</v>
          </cell>
          <cell r="AU149">
            <v>1.5331822002957392</v>
          </cell>
          <cell r="AV149">
            <v>1.1810341179343091</v>
          </cell>
          <cell r="AW149">
            <v>1.1810341179343091</v>
          </cell>
          <cell r="AX149">
            <v>182.51295789444902</v>
          </cell>
          <cell r="AY149">
            <v>1.662496549555577</v>
          </cell>
          <cell r="AZ149">
            <v>1.662496549555577</v>
          </cell>
          <cell r="BA149">
            <v>25.494709656592505</v>
          </cell>
        </row>
        <row r="150">
          <cell r="B150" t="str">
            <v>Embraer E190</v>
          </cell>
          <cell r="C150" t="str">
            <v>Lufthansa</v>
          </cell>
          <cell r="D150" t="str">
            <v>CF34-10E7</v>
          </cell>
          <cell r="E150">
            <v>83.7</v>
          </cell>
          <cell r="F150">
            <v>47790</v>
          </cell>
          <cell r="G150">
            <v>32</v>
          </cell>
          <cell r="H150">
            <v>18.190000000000001</v>
          </cell>
          <cell r="I150">
            <v>92</v>
          </cell>
          <cell r="J150">
            <v>0</v>
          </cell>
          <cell r="K150">
            <v>0</v>
          </cell>
          <cell r="L150">
            <v>0</v>
          </cell>
          <cell r="M150">
            <v>32</v>
          </cell>
          <cell r="N150">
            <v>18.190000000000001</v>
          </cell>
          <cell r="O150">
            <v>8</v>
          </cell>
          <cell r="P150">
            <v>0</v>
          </cell>
          <cell r="Q150">
            <v>0</v>
          </cell>
          <cell r="R150">
            <v>0</v>
          </cell>
          <cell r="S150">
            <v>92.9</v>
          </cell>
          <cell r="T150">
            <v>95.5</v>
          </cell>
          <cell r="U150">
            <v>85.4</v>
          </cell>
          <cell r="V150">
            <v>89.4</v>
          </cell>
          <cell r="W150">
            <v>92.4</v>
          </cell>
          <cell r="X150">
            <v>99.3</v>
          </cell>
          <cell r="AE150">
            <v>690</v>
          </cell>
          <cell r="AF150">
            <v>6273</v>
          </cell>
          <cell r="AG150">
            <v>3328</v>
          </cell>
          <cell r="AH150">
            <v>323</v>
          </cell>
          <cell r="AJ150">
            <v>16.010000000000002</v>
          </cell>
          <cell r="AK150">
            <v>7.7</v>
          </cell>
          <cell r="AL150">
            <v>0.12</v>
          </cell>
          <cell r="AM150">
            <v>0.34</v>
          </cell>
          <cell r="AN150">
            <v>0.86599999999999999</v>
          </cell>
          <cell r="AO150">
            <v>0.71399999999999997</v>
          </cell>
          <cell r="AP150">
            <v>0.23699999999999999</v>
          </cell>
          <cell r="AQ150">
            <v>8.6999999999999994E-2</v>
          </cell>
          <cell r="AT150">
            <v>2.8682052383315653E-2</v>
          </cell>
          <cell r="AU150">
            <v>1.5331822002957392</v>
          </cell>
          <cell r="AV150">
            <v>1.1810341179343091</v>
          </cell>
          <cell r="AW150">
            <v>1.1810341179343091</v>
          </cell>
          <cell r="AX150">
            <v>182.51295789444902</v>
          </cell>
          <cell r="AY150">
            <v>1.662496549555577</v>
          </cell>
          <cell r="AZ150">
            <v>1.662496549555577</v>
          </cell>
          <cell r="BA150">
            <v>25.494709656592505</v>
          </cell>
        </row>
        <row r="151">
          <cell r="B151" t="str">
            <v>Boeing 777-200ER</v>
          </cell>
          <cell r="C151" t="str">
            <v>Pakistan International</v>
          </cell>
          <cell r="D151" t="str">
            <v>GE90-94B</v>
          </cell>
          <cell r="E151">
            <v>432.8</v>
          </cell>
          <cell r="F151">
            <v>233600</v>
          </cell>
          <cell r="G151">
            <v>31</v>
          </cell>
          <cell r="H151">
            <v>17</v>
          </cell>
          <cell r="I151">
            <v>285</v>
          </cell>
          <cell r="J151">
            <v>0</v>
          </cell>
          <cell r="K151">
            <v>0</v>
          </cell>
          <cell r="L151">
            <v>0</v>
          </cell>
          <cell r="M151">
            <v>38</v>
          </cell>
          <cell r="N151">
            <v>20</v>
          </cell>
          <cell r="O151">
            <v>35</v>
          </cell>
          <cell r="P151">
            <v>0</v>
          </cell>
          <cell r="Q151">
            <v>0</v>
          </cell>
          <cell r="R151">
            <v>0</v>
          </cell>
          <cell r="S151">
            <v>96.3</v>
          </cell>
          <cell r="T151">
            <v>101.9</v>
          </cell>
          <cell r="U151">
            <v>91.1</v>
          </cell>
          <cell r="V151">
            <v>99.5</v>
          </cell>
          <cell r="W151">
            <v>98.7</v>
          </cell>
          <cell r="X151">
            <v>105</v>
          </cell>
          <cell r="AE151">
            <v>221</v>
          </cell>
          <cell r="AF151">
            <v>6156</v>
          </cell>
          <cell r="AG151">
            <v>30617</v>
          </cell>
          <cell r="AH151">
            <v>1203</v>
          </cell>
          <cell r="AJ151">
            <v>3.7</v>
          </cell>
          <cell r="AK151">
            <v>2.9</v>
          </cell>
          <cell r="AL151">
            <v>3.2</v>
          </cell>
          <cell r="AM151">
            <v>2.5</v>
          </cell>
          <cell r="AN151">
            <v>3.5139999999999998</v>
          </cell>
          <cell r="AO151">
            <v>2.8479999999999999</v>
          </cell>
          <cell r="AP151">
            <v>0.90800000000000003</v>
          </cell>
          <cell r="AQ151">
            <v>0.29599999999999999</v>
          </cell>
          <cell r="AT151">
            <v>3.7515139145798106E-2</v>
          </cell>
          <cell r="AU151">
            <v>1.6369561075759755</v>
          </cell>
          <cell r="AV151">
            <v>1.2138321074811573</v>
          </cell>
          <cell r="AW151">
            <v>1.2138321074811573</v>
          </cell>
          <cell r="AX151">
            <v>201.20537463592822</v>
          </cell>
          <cell r="AY151">
            <v>1.4850206028140427</v>
          </cell>
          <cell r="AZ151">
            <v>1.4850206028140427</v>
          </cell>
          <cell r="BA151">
            <v>22.773081311310317</v>
          </cell>
        </row>
        <row r="152">
          <cell r="B152" t="str">
            <v>Boeing 737-800</v>
          </cell>
          <cell r="C152" t="str">
            <v>Ryanair</v>
          </cell>
          <cell r="D152" t="str">
            <v>CFM56-7B26</v>
          </cell>
          <cell r="E152">
            <v>116.99</v>
          </cell>
          <cell r="F152">
            <v>79016</v>
          </cell>
          <cell r="G152">
            <v>30</v>
          </cell>
          <cell r="H152">
            <v>17</v>
          </cell>
          <cell r="I152">
            <v>138</v>
          </cell>
          <cell r="J152">
            <v>32</v>
          </cell>
          <cell r="K152">
            <v>17</v>
          </cell>
          <cell r="L152">
            <v>51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94</v>
          </cell>
          <cell r="T152">
            <v>97</v>
          </cell>
          <cell r="U152">
            <v>86.8</v>
          </cell>
          <cell r="V152">
            <v>91.8</v>
          </cell>
          <cell r="W152">
            <v>96</v>
          </cell>
          <cell r="X152">
            <v>100.7</v>
          </cell>
          <cell r="AE152">
            <v>361</v>
          </cell>
          <cell r="AF152">
            <v>3533</v>
          </cell>
          <cell r="AG152">
            <v>6149</v>
          </cell>
          <cell r="AH152">
            <v>441</v>
          </cell>
          <cell r="AJ152">
            <v>14.7</v>
          </cell>
          <cell r="AK152">
            <v>11.9</v>
          </cell>
          <cell r="AL152">
            <v>0</v>
          </cell>
          <cell r="AM152">
            <v>0</v>
          </cell>
          <cell r="AN152">
            <v>1.2210000000000001</v>
          </cell>
          <cell r="AO152">
            <v>0.999</v>
          </cell>
          <cell r="AP152">
            <v>0.33800000000000002</v>
          </cell>
          <cell r="AQ152">
            <v>0.113</v>
          </cell>
          <cell r="AT152">
            <v>2.5518577028328184E-2</v>
          </cell>
          <cell r="AU152">
            <v>1.5426742566452178</v>
          </cell>
          <cell r="AV152">
            <v>1.1846678234921715</v>
          </cell>
          <cell r="AW152">
            <v>1.1846678234921715</v>
          </cell>
          <cell r="AX152">
            <v>184.13751182042103</v>
          </cell>
          <cell r="AY152">
            <v>1.6486029757617855</v>
          </cell>
          <cell r="AZ152">
            <v>1.6486029757617855</v>
          </cell>
          <cell r="BA152">
            <v>25.281648985844143</v>
          </cell>
        </row>
        <row r="153">
          <cell r="B153" t="str">
            <v>Airbus A350-900ULR</v>
          </cell>
          <cell r="C153" t="str">
            <v>Singapore Airlines</v>
          </cell>
          <cell r="D153" t="str">
            <v>Trent XWB-84</v>
          </cell>
          <cell r="E153">
            <v>379</v>
          </cell>
          <cell r="F153">
            <v>280000</v>
          </cell>
          <cell r="G153">
            <v>0</v>
          </cell>
          <cell r="H153">
            <v>0</v>
          </cell>
          <cell r="I153">
            <v>0</v>
          </cell>
          <cell r="J153">
            <v>38</v>
          </cell>
          <cell r="K153">
            <v>19.5</v>
          </cell>
          <cell r="L153">
            <v>94</v>
          </cell>
          <cell r="M153">
            <v>60</v>
          </cell>
          <cell r="N153">
            <v>28</v>
          </cell>
          <cell r="O153">
            <v>67</v>
          </cell>
          <cell r="P153">
            <v>0</v>
          </cell>
          <cell r="Q153">
            <v>0</v>
          </cell>
          <cell r="R153">
            <v>0</v>
          </cell>
          <cell r="S153">
            <v>91.5</v>
          </cell>
          <cell r="T153">
            <v>101.7</v>
          </cell>
          <cell r="U153">
            <v>86.5</v>
          </cell>
          <cell r="V153">
            <v>99.2</v>
          </cell>
          <cell r="W153">
            <v>96.5</v>
          </cell>
          <cell r="X153">
            <v>105</v>
          </cell>
          <cell r="AE153">
            <v>424</v>
          </cell>
          <cell r="AF153">
            <v>9760</v>
          </cell>
          <cell r="AG153">
            <v>20243</v>
          </cell>
          <cell r="AH153">
            <v>1069</v>
          </cell>
          <cell r="AJ153">
            <v>5.8</v>
          </cell>
          <cell r="AK153">
            <v>6.4</v>
          </cell>
          <cell r="AL153">
            <v>6.6</v>
          </cell>
          <cell r="AM153">
            <v>1.2</v>
          </cell>
          <cell r="AN153">
            <v>2.819</v>
          </cell>
          <cell r="AO153">
            <v>2.306</v>
          </cell>
          <cell r="AP153">
            <v>0.80100000000000005</v>
          </cell>
          <cell r="AQ153">
            <v>0.29099999999999998</v>
          </cell>
          <cell r="AT153">
            <v>4.6511896278108256E-2</v>
          </cell>
          <cell r="AU153">
            <v>1.6513343009971913</v>
          </cell>
          <cell r="AV153">
            <v>1.2129334174299515</v>
          </cell>
          <cell r="AW153">
            <v>1.2129334174299515</v>
          </cell>
          <cell r="AX153">
            <v>204.52717618547004</v>
          </cell>
          <cell r="AY153">
            <v>1.4396031444039483</v>
          </cell>
          <cell r="AZ153">
            <v>1.4396031444039483</v>
          </cell>
          <cell r="BA153">
            <v>22.076595706082895</v>
          </cell>
        </row>
        <row r="154">
          <cell r="B154" t="str">
            <v>Airbus A350-900ULR</v>
          </cell>
          <cell r="C154" t="str">
            <v>Singapore Airlines</v>
          </cell>
          <cell r="D154" t="str">
            <v>Trent XWB-75</v>
          </cell>
          <cell r="E154">
            <v>334</v>
          </cell>
          <cell r="F154">
            <v>280000</v>
          </cell>
          <cell r="G154">
            <v>0</v>
          </cell>
          <cell r="H154">
            <v>0</v>
          </cell>
          <cell r="I154">
            <v>0</v>
          </cell>
          <cell r="J154">
            <v>38</v>
          </cell>
          <cell r="K154">
            <v>19.5</v>
          </cell>
          <cell r="L154">
            <v>94</v>
          </cell>
          <cell r="M154">
            <v>78</v>
          </cell>
          <cell r="N154">
            <v>28</v>
          </cell>
          <cell r="O154">
            <v>67</v>
          </cell>
          <cell r="P154">
            <v>0</v>
          </cell>
          <cell r="Q154">
            <v>0</v>
          </cell>
          <cell r="R154">
            <v>0</v>
          </cell>
          <cell r="S154">
            <v>89.9</v>
          </cell>
          <cell r="T154">
            <v>101.7</v>
          </cell>
          <cell r="U154">
            <v>88.5</v>
          </cell>
          <cell r="V154">
            <v>99.2</v>
          </cell>
          <cell r="W154">
            <v>96.5</v>
          </cell>
          <cell r="X154">
            <v>105</v>
          </cell>
          <cell r="AE154">
            <v>549</v>
          </cell>
          <cell r="AF154">
            <v>10674</v>
          </cell>
          <cell r="AG154">
            <v>14800</v>
          </cell>
          <cell r="AH154">
            <v>955</v>
          </cell>
          <cell r="AJ154">
            <v>6.2</v>
          </cell>
          <cell r="AK154">
            <v>7.5</v>
          </cell>
          <cell r="AL154">
            <v>5.6</v>
          </cell>
          <cell r="AM154">
            <v>1.3</v>
          </cell>
          <cell r="AN154">
            <v>2.411</v>
          </cell>
          <cell r="AO154">
            <v>1.98</v>
          </cell>
          <cell r="AP154">
            <v>0.71499999999999997</v>
          </cell>
          <cell r="AQ154">
            <v>0.27</v>
          </cell>
          <cell r="AT154">
            <v>4.6511896278108256E-2</v>
          </cell>
          <cell r="AU154">
            <v>1.6513343009971913</v>
          </cell>
          <cell r="AV154">
            <v>1.2129334174299515</v>
          </cell>
          <cell r="AW154">
            <v>1.2129334174299515</v>
          </cell>
          <cell r="AX154">
            <v>204.52717618547004</v>
          </cell>
          <cell r="AY154">
            <v>1.4396031444039483</v>
          </cell>
          <cell r="AZ154">
            <v>1.4396031444039483</v>
          </cell>
          <cell r="BA154">
            <v>22.076595706082895</v>
          </cell>
        </row>
        <row r="155">
          <cell r="B155" t="str">
            <v>Boeing 787-10</v>
          </cell>
          <cell r="C155" t="str">
            <v>Singapore Airlines</v>
          </cell>
          <cell r="D155" t="str">
            <v>Trent 1000-J3</v>
          </cell>
          <cell r="E155">
            <v>350.9</v>
          </cell>
          <cell r="F155">
            <v>254011</v>
          </cell>
          <cell r="G155">
            <v>32</v>
          </cell>
          <cell r="H155">
            <v>17.5</v>
          </cell>
          <cell r="I155">
            <v>301</v>
          </cell>
          <cell r="J155">
            <v>0</v>
          </cell>
          <cell r="K155">
            <v>0</v>
          </cell>
          <cell r="L155">
            <v>0</v>
          </cell>
          <cell r="M155">
            <v>60</v>
          </cell>
          <cell r="N155">
            <v>30</v>
          </cell>
          <cell r="O155">
            <v>36</v>
          </cell>
          <cell r="P155">
            <v>0</v>
          </cell>
          <cell r="Q155">
            <v>0</v>
          </cell>
          <cell r="R155">
            <v>0</v>
          </cell>
          <cell r="S155">
            <v>91.8</v>
          </cell>
          <cell r="T155">
            <v>101.3</v>
          </cell>
          <cell r="U155">
            <v>88.7</v>
          </cell>
          <cell r="V155">
            <v>98.6</v>
          </cell>
          <cell r="W155">
            <v>96.3</v>
          </cell>
          <cell r="X155">
            <v>104.7</v>
          </cell>
          <cell r="AE155">
            <v>0</v>
          </cell>
          <cell r="AF155">
            <v>2585</v>
          </cell>
          <cell r="AG155">
            <v>23599</v>
          </cell>
          <cell r="AH155">
            <v>965</v>
          </cell>
          <cell r="AJ155">
            <v>7.8</v>
          </cell>
          <cell r="AK155">
            <v>10.7</v>
          </cell>
          <cell r="AL155">
            <v>9.1999999999999993</v>
          </cell>
          <cell r="AM155">
            <v>1.8</v>
          </cell>
          <cell r="AN155">
            <v>2.649</v>
          </cell>
          <cell r="AO155">
            <v>2.1680000000000001</v>
          </cell>
          <cell r="AP155">
            <v>0.69899999999999995</v>
          </cell>
          <cell r="AQ155">
            <v>0.25600000000000001</v>
          </cell>
          <cell r="AT155">
            <v>5.114561016493676E-2</v>
          </cell>
          <cell r="AU155">
            <v>1.6513343009971913</v>
          </cell>
          <cell r="AV155">
            <v>1.2129334174299515</v>
          </cell>
          <cell r="AW155">
            <v>1.2129334174299515</v>
          </cell>
          <cell r="AX155">
            <v>204.52717618547004</v>
          </cell>
          <cell r="AY155">
            <v>1.4396031444039483</v>
          </cell>
          <cell r="AZ155">
            <v>1.4396031444039483</v>
          </cell>
          <cell r="BA155">
            <v>22.076595706082895</v>
          </cell>
        </row>
        <row r="156">
          <cell r="B156" t="str">
            <v>Airbus A340-600</v>
          </cell>
          <cell r="C156" t="str">
            <v>South African Airways</v>
          </cell>
          <cell r="D156" t="str">
            <v>Trent 556-61</v>
          </cell>
          <cell r="E156">
            <v>261.5</v>
          </cell>
          <cell r="F156">
            <v>365000</v>
          </cell>
          <cell r="G156">
            <v>33.5</v>
          </cell>
          <cell r="H156">
            <v>17</v>
          </cell>
          <cell r="I156">
            <v>275</v>
          </cell>
          <cell r="J156">
            <v>0</v>
          </cell>
          <cell r="K156">
            <v>0</v>
          </cell>
          <cell r="L156">
            <v>0</v>
          </cell>
          <cell r="M156">
            <v>73</v>
          </cell>
          <cell r="N156">
            <v>23.7</v>
          </cell>
          <cell r="O156">
            <v>42</v>
          </cell>
          <cell r="P156">
            <v>0</v>
          </cell>
          <cell r="Q156">
            <v>0</v>
          </cell>
          <cell r="R156">
            <v>0</v>
          </cell>
          <cell r="S156">
            <v>95.6</v>
          </cell>
          <cell r="T156">
            <v>103</v>
          </cell>
          <cell r="U156">
            <v>97.5</v>
          </cell>
          <cell r="V156">
            <v>106</v>
          </cell>
          <cell r="W156">
            <v>100.2</v>
          </cell>
          <cell r="X156">
            <v>105</v>
          </cell>
          <cell r="AE156">
            <v>36</v>
          </cell>
          <cell r="AF156">
            <v>3826</v>
          </cell>
          <cell r="AG156">
            <v>16113</v>
          </cell>
          <cell r="AH156">
            <v>843</v>
          </cell>
          <cell r="AJ156">
            <v>2.2400000000000002</v>
          </cell>
          <cell r="AK156">
            <v>2.09</v>
          </cell>
          <cell r="AL156">
            <v>1.02</v>
          </cell>
          <cell r="AM156">
            <v>0.76</v>
          </cell>
          <cell r="AN156">
            <v>2.2400000000000002</v>
          </cell>
          <cell r="AO156">
            <v>1.83</v>
          </cell>
          <cell r="AP156">
            <v>0.62</v>
          </cell>
          <cell r="AQ156">
            <v>0.23</v>
          </cell>
          <cell r="AT156">
            <v>7.8359754067415258E-2</v>
          </cell>
          <cell r="AU156">
            <v>1.6052294051517633</v>
          </cell>
          <cell r="AV156">
            <v>1.2086148990711754</v>
          </cell>
          <cell r="AW156">
            <v>1.2086148990711754</v>
          </cell>
          <cell r="AX156">
            <v>194.84374957907579</v>
          </cell>
          <cell r="AY156">
            <v>1.5570406693491181</v>
          </cell>
          <cell r="AZ156">
            <v>1.5570406693491181</v>
          </cell>
          <cell r="BA156">
            <v>23.877523113761615</v>
          </cell>
        </row>
        <row r="157">
          <cell r="B157" t="str">
            <v>Boeing 737 MAX 8</v>
          </cell>
          <cell r="C157" t="str">
            <v>Southwest Airlines</v>
          </cell>
          <cell r="D157" t="str">
            <v>LEAP-1B28</v>
          </cell>
          <cell r="E157">
            <v>130.4</v>
          </cell>
          <cell r="F157">
            <v>82644</v>
          </cell>
          <cell r="G157">
            <v>32</v>
          </cell>
          <cell r="H157">
            <v>17.8</v>
          </cell>
          <cell r="I157">
            <v>175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88.5</v>
          </cell>
          <cell r="T157">
            <v>97.2</v>
          </cell>
          <cell r="U157">
            <v>82.6</v>
          </cell>
          <cell r="V157">
            <v>92.1</v>
          </cell>
          <cell r="W157">
            <v>94.2</v>
          </cell>
          <cell r="X157">
            <v>100.9</v>
          </cell>
          <cell r="AE157">
            <v>97</v>
          </cell>
          <cell r="AF157">
            <v>2339</v>
          </cell>
          <cell r="AG157">
            <v>7534</v>
          </cell>
          <cell r="AH157">
            <v>378</v>
          </cell>
          <cell r="AJ157">
            <v>0.94</v>
          </cell>
          <cell r="AK157">
            <v>0.85</v>
          </cell>
          <cell r="AL157">
            <v>1.07</v>
          </cell>
          <cell r="AM157">
            <v>0.8</v>
          </cell>
          <cell r="AN157">
            <v>1.0609999999999999</v>
          </cell>
          <cell r="AO157">
            <v>0.86399999999999999</v>
          </cell>
          <cell r="AP157">
            <v>0.27700000000000002</v>
          </cell>
          <cell r="AQ157">
            <v>9.8000000000000004E-2</v>
          </cell>
          <cell r="AT157">
            <v>5.1951023443360146E-2</v>
          </cell>
          <cell r="AU157">
            <v>1.5520219521772329</v>
          </cell>
          <cell r="AV157">
            <v>1.1882462655027639</v>
          </cell>
          <cell r="AW157">
            <v>1.1882462655027639</v>
          </cell>
          <cell r="AX157">
            <v>185.73735856766029</v>
          </cell>
          <cell r="AY157">
            <v>1.6349207036708622</v>
          </cell>
          <cell r="AZ157">
            <v>1.6349207036708622</v>
          </cell>
          <cell r="BA157">
            <v>25.071828668025233</v>
          </cell>
        </row>
        <row r="158">
          <cell r="B158" t="str">
            <v>Sukhoi Superjet 100</v>
          </cell>
          <cell r="C158" t="str">
            <v>Sukhoi standard config.</v>
          </cell>
          <cell r="D158" t="str">
            <v>SaM146-1S17</v>
          </cell>
          <cell r="E158">
            <v>69.209999999999994</v>
          </cell>
          <cell r="F158">
            <v>45880</v>
          </cell>
          <cell r="G158">
            <v>30</v>
          </cell>
          <cell r="H158">
            <v>18.5</v>
          </cell>
          <cell r="I158">
            <v>100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90.9</v>
          </cell>
          <cell r="T158">
            <v>95</v>
          </cell>
          <cell r="U158">
            <v>82.9</v>
          </cell>
          <cell r="V158">
            <v>89</v>
          </cell>
          <cell r="W158">
            <v>94.3</v>
          </cell>
          <cell r="X158">
            <v>98.9</v>
          </cell>
          <cell r="AE158">
            <v>167</v>
          </cell>
          <cell r="AF158">
            <v>4776</v>
          </cell>
          <cell r="AG158">
            <v>2695</v>
          </cell>
          <cell r="AH158">
            <v>326</v>
          </cell>
          <cell r="AJ158">
            <v>12.6</v>
          </cell>
          <cell r="AK158">
            <v>11.7</v>
          </cell>
          <cell r="AL158">
            <v>0.1</v>
          </cell>
          <cell r="AM158">
            <v>0.1</v>
          </cell>
          <cell r="AN158">
            <v>0.79100000000000004</v>
          </cell>
          <cell r="AO158">
            <v>0.65300000000000002</v>
          </cell>
          <cell r="AP158">
            <v>0.22800000000000001</v>
          </cell>
          <cell r="AQ158">
            <v>9.7000000000000003E-2</v>
          </cell>
          <cell r="AT158">
            <v>2.6035939614557402E-2</v>
          </cell>
          <cell r="AU158">
            <v>1.5331822002957392</v>
          </cell>
          <cell r="AV158">
            <v>1.1810341179343091</v>
          </cell>
          <cell r="AW158">
            <v>1.1810341179343091</v>
          </cell>
          <cell r="AX158">
            <v>182.51295789444902</v>
          </cell>
          <cell r="AY158">
            <v>1.662496549555577</v>
          </cell>
          <cell r="AZ158">
            <v>1.662496549555577</v>
          </cell>
          <cell r="BA158">
            <v>25.494709656592505</v>
          </cell>
        </row>
        <row r="159">
          <cell r="B159" t="str">
            <v>Airbus A320</v>
          </cell>
          <cell r="C159" t="str">
            <v>Swiss</v>
          </cell>
          <cell r="D159" t="str">
            <v>CFM56-5B4/P</v>
          </cell>
          <cell r="E159">
            <v>120.11</v>
          </cell>
          <cell r="F159">
            <v>78000</v>
          </cell>
          <cell r="G159">
            <v>31</v>
          </cell>
          <cell r="H159">
            <v>18</v>
          </cell>
          <cell r="I159">
            <v>150</v>
          </cell>
          <cell r="J159">
            <v>0</v>
          </cell>
          <cell r="K159">
            <v>0</v>
          </cell>
          <cell r="L159">
            <v>0</v>
          </cell>
          <cell r="M159">
            <v>32</v>
          </cell>
          <cell r="N159">
            <v>18</v>
          </cell>
          <cell r="O159">
            <v>30</v>
          </cell>
          <cell r="P159">
            <v>0</v>
          </cell>
          <cell r="Q159">
            <v>0</v>
          </cell>
          <cell r="R159">
            <v>0</v>
          </cell>
          <cell r="S159">
            <v>92.8</v>
          </cell>
          <cell r="T159">
            <v>97</v>
          </cell>
          <cell r="U159">
            <v>85.2</v>
          </cell>
          <cell r="V159">
            <v>91.8</v>
          </cell>
          <cell r="W159">
            <v>95.2</v>
          </cell>
          <cell r="X159">
            <v>100.7</v>
          </cell>
          <cell r="AE159">
            <v>818</v>
          </cell>
          <cell r="AF159">
            <v>4123</v>
          </cell>
          <cell r="AG159">
            <v>5641</v>
          </cell>
          <cell r="AH159">
            <v>408</v>
          </cell>
          <cell r="AJ159">
            <v>5.4</v>
          </cell>
          <cell r="AK159">
            <v>4.0999999999999996</v>
          </cell>
          <cell r="AL159">
            <v>0.2</v>
          </cell>
          <cell r="AM159">
            <v>0.5</v>
          </cell>
          <cell r="AN159">
            <v>1.1319999999999999</v>
          </cell>
          <cell r="AO159">
            <v>0.93500000000000005</v>
          </cell>
          <cell r="AP159">
            <v>0.312</v>
          </cell>
          <cell r="AQ159">
            <v>0.104</v>
          </cell>
          <cell r="AT159">
            <v>2.8597287885879265E-2</v>
          </cell>
          <cell r="AU159">
            <v>1.5331822002957392</v>
          </cell>
          <cell r="AV159">
            <v>1.1810341179343091</v>
          </cell>
          <cell r="AW159">
            <v>1.1810341179343091</v>
          </cell>
          <cell r="AX159">
            <v>182.51295789444902</v>
          </cell>
          <cell r="AY159">
            <v>1.662496549555577</v>
          </cell>
          <cell r="AZ159">
            <v>1.662496549555577</v>
          </cell>
          <cell r="BA159">
            <v>25.494709656592505</v>
          </cell>
        </row>
        <row r="160">
          <cell r="B160" t="str">
            <v>Airbus A330-200</v>
          </cell>
          <cell r="C160" t="str">
            <v>TAP Air Portugal</v>
          </cell>
          <cell r="D160" t="str">
            <v>CF6-80E1A4</v>
          </cell>
          <cell r="E160">
            <v>297.44</v>
          </cell>
          <cell r="F160">
            <v>242000</v>
          </cell>
          <cell r="G160">
            <v>32</v>
          </cell>
          <cell r="H160">
            <v>18</v>
          </cell>
          <cell r="I160">
            <v>239</v>
          </cell>
          <cell r="J160">
            <v>0</v>
          </cell>
          <cell r="K160">
            <v>0</v>
          </cell>
          <cell r="L160">
            <v>0</v>
          </cell>
          <cell r="M160">
            <v>60</v>
          </cell>
          <cell r="N160">
            <v>20</v>
          </cell>
          <cell r="O160">
            <v>24</v>
          </cell>
          <cell r="P160">
            <v>0</v>
          </cell>
          <cell r="Q160">
            <v>0</v>
          </cell>
          <cell r="R160">
            <v>0</v>
          </cell>
          <cell r="S160">
            <v>98.1</v>
          </cell>
          <cell r="T160">
            <v>101.2</v>
          </cell>
          <cell r="U160">
            <v>93.1</v>
          </cell>
          <cell r="V160">
            <v>98.3</v>
          </cell>
          <cell r="W160">
            <v>99.5</v>
          </cell>
          <cell r="X160">
            <v>104.5</v>
          </cell>
          <cell r="AE160">
            <v>3726</v>
          </cell>
          <cell r="AF160">
            <v>13860</v>
          </cell>
          <cell r="AG160">
            <v>18055</v>
          </cell>
          <cell r="AH160">
            <v>963</v>
          </cell>
          <cell r="AJ160">
            <v>10.09</v>
          </cell>
          <cell r="AK160">
            <v>8.06</v>
          </cell>
          <cell r="AL160">
            <v>0</v>
          </cell>
          <cell r="AM160">
            <v>0</v>
          </cell>
          <cell r="AN160">
            <v>2.9039999999999999</v>
          </cell>
          <cell r="AO160">
            <v>2.3370000000000002</v>
          </cell>
          <cell r="AP160">
            <v>0.74399999999999999</v>
          </cell>
          <cell r="AQ160">
            <v>0.22700000000000001</v>
          </cell>
          <cell r="AT160">
            <v>3.8803330948589947E-2</v>
          </cell>
          <cell r="AU160">
            <v>1.6052294051517633</v>
          </cell>
          <cell r="AV160">
            <v>1.2086148990711754</v>
          </cell>
          <cell r="AW160">
            <v>1.2086148990711754</v>
          </cell>
          <cell r="AX160">
            <v>194.84374957907579</v>
          </cell>
          <cell r="AY160">
            <v>1.5570406693491181</v>
          </cell>
          <cell r="AZ160">
            <v>1.5570406693491181</v>
          </cell>
          <cell r="BA160">
            <v>23.877523113761615</v>
          </cell>
        </row>
        <row r="161">
          <cell r="B161" t="str">
            <v>Airbus A330-900</v>
          </cell>
          <cell r="C161" t="str">
            <v>TAP Air Portugal</v>
          </cell>
          <cell r="D161" t="str">
            <v>Trent 7000-72</v>
          </cell>
          <cell r="E161">
            <v>327.9</v>
          </cell>
          <cell r="F161">
            <v>242000</v>
          </cell>
          <cell r="G161">
            <v>31</v>
          </cell>
          <cell r="H161">
            <v>17.72</v>
          </cell>
          <cell r="I161">
            <v>168</v>
          </cell>
          <cell r="J161">
            <v>34</v>
          </cell>
          <cell r="K161">
            <v>17.72</v>
          </cell>
          <cell r="L161">
            <v>96</v>
          </cell>
          <cell r="M161">
            <v>42</v>
          </cell>
          <cell r="N161">
            <v>22.3</v>
          </cell>
          <cell r="O161">
            <v>34</v>
          </cell>
          <cell r="P161">
            <v>0</v>
          </cell>
          <cell r="Q161">
            <v>0</v>
          </cell>
          <cell r="R161">
            <v>0</v>
          </cell>
          <cell r="S161">
            <v>92.5</v>
          </cell>
          <cell r="T161">
            <v>101.1</v>
          </cell>
          <cell r="U161">
            <v>89.2</v>
          </cell>
          <cell r="V161">
            <v>98.3</v>
          </cell>
          <cell r="W161">
            <v>98.4</v>
          </cell>
          <cell r="X161">
            <v>104.5</v>
          </cell>
          <cell r="AE161">
            <v>0</v>
          </cell>
          <cell r="AF161">
            <v>2689</v>
          </cell>
          <cell r="AG161">
            <v>21739</v>
          </cell>
          <cell r="AH161">
            <v>909</v>
          </cell>
          <cell r="AJ161">
            <v>8.3000000000000007</v>
          </cell>
          <cell r="AK161">
            <v>11.6</v>
          </cell>
          <cell r="AL161">
            <v>8.8000000000000007</v>
          </cell>
          <cell r="AM161">
            <v>1.9</v>
          </cell>
          <cell r="AN161">
            <v>2.4780000000000002</v>
          </cell>
          <cell r="AO161">
            <v>2.0289999999999999</v>
          </cell>
          <cell r="AP161">
            <v>0.67</v>
          </cell>
          <cell r="AQ161">
            <v>0.24099999999999999</v>
          </cell>
          <cell r="AT161">
            <v>6.3194192026538476E-2</v>
          </cell>
          <cell r="AU161">
            <v>1.6052294051517633</v>
          </cell>
          <cell r="AV161">
            <v>1.2086148990711754</v>
          </cell>
          <cell r="AW161">
            <v>1.2086148990711754</v>
          </cell>
          <cell r="AX161">
            <v>194.84374957907579</v>
          </cell>
          <cell r="AY161">
            <v>1.5570406693491181</v>
          </cell>
          <cell r="AZ161">
            <v>1.5570406693491181</v>
          </cell>
          <cell r="BA161">
            <v>23.877523113761615</v>
          </cell>
        </row>
        <row r="162">
          <cell r="B162" t="str">
            <v>Embraer E190</v>
          </cell>
          <cell r="C162" t="str">
            <v>TAP Air Portugal</v>
          </cell>
          <cell r="D162" t="str">
            <v>CF34-10E7</v>
          </cell>
          <cell r="E162">
            <v>83.7</v>
          </cell>
          <cell r="F162">
            <v>47790</v>
          </cell>
          <cell r="G162">
            <v>30</v>
          </cell>
          <cell r="H162">
            <v>18</v>
          </cell>
          <cell r="I162">
            <v>100</v>
          </cell>
          <cell r="J162">
            <v>0</v>
          </cell>
          <cell r="K162">
            <v>0</v>
          </cell>
          <cell r="L162">
            <v>0</v>
          </cell>
          <cell r="M162">
            <v>32</v>
          </cell>
          <cell r="N162">
            <v>18</v>
          </cell>
          <cell r="O162">
            <v>6</v>
          </cell>
          <cell r="P162">
            <v>0</v>
          </cell>
          <cell r="Q162">
            <v>0</v>
          </cell>
          <cell r="R162">
            <v>0</v>
          </cell>
          <cell r="S162">
            <v>92.9</v>
          </cell>
          <cell r="T162">
            <v>95.5</v>
          </cell>
          <cell r="U162">
            <v>85.4</v>
          </cell>
          <cell r="V162">
            <v>89.4</v>
          </cell>
          <cell r="W162">
            <v>92.4</v>
          </cell>
          <cell r="X162">
            <v>99.3</v>
          </cell>
          <cell r="AE162">
            <v>690</v>
          </cell>
          <cell r="AF162">
            <v>6273</v>
          </cell>
          <cell r="AG162">
            <v>3328</v>
          </cell>
          <cell r="AH162">
            <v>323</v>
          </cell>
          <cell r="AJ162">
            <v>16.010000000000002</v>
          </cell>
          <cell r="AK162">
            <v>7.7</v>
          </cell>
          <cell r="AL162">
            <v>0.12</v>
          </cell>
          <cell r="AM162">
            <v>0.34</v>
          </cell>
          <cell r="AN162">
            <v>0.86599999999999999</v>
          </cell>
          <cell r="AO162">
            <v>0.71399999999999997</v>
          </cell>
          <cell r="AP162">
            <v>0.23699999999999999</v>
          </cell>
          <cell r="AQ162">
            <v>8.6999999999999994E-2</v>
          </cell>
          <cell r="AT162">
            <v>2.8682052383315653E-2</v>
          </cell>
          <cell r="AU162">
            <v>1.5331822002957392</v>
          </cell>
          <cell r="AV162">
            <v>1.1810341179343091</v>
          </cell>
          <cell r="AW162">
            <v>1.1810341179343091</v>
          </cell>
          <cell r="AX162">
            <v>182.51295789444902</v>
          </cell>
          <cell r="AY162">
            <v>1.662496549555577</v>
          </cell>
          <cell r="AZ162">
            <v>1.662496549555577</v>
          </cell>
          <cell r="BA162">
            <v>25.494709656592505</v>
          </cell>
        </row>
        <row r="163">
          <cell r="B163" t="str">
            <v>Boeing 737-800</v>
          </cell>
          <cell r="C163" t="str">
            <v>TUIfly</v>
          </cell>
          <cell r="D163" t="str">
            <v>CFM56-7B27</v>
          </cell>
          <cell r="E163">
            <v>121.44</v>
          </cell>
          <cell r="F163">
            <v>79016</v>
          </cell>
          <cell r="G163">
            <v>30</v>
          </cell>
          <cell r="H163">
            <v>18</v>
          </cell>
          <cell r="I163">
            <v>189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94.9</v>
          </cell>
          <cell r="T163">
            <v>97</v>
          </cell>
          <cell r="U163">
            <v>86.4</v>
          </cell>
          <cell r="V163">
            <v>91.8</v>
          </cell>
          <cell r="W163">
            <v>96</v>
          </cell>
          <cell r="X163">
            <v>100.7</v>
          </cell>
          <cell r="AE163">
            <v>335</v>
          </cell>
          <cell r="AF163">
            <v>3436</v>
          </cell>
          <cell r="AG163">
            <v>6719</v>
          </cell>
          <cell r="AH163">
            <v>456</v>
          </cell>
          <cell r="AJ163">
            <v>15.7</v>
          </cell>
          <cell r="AK163">
            <v>12.1</v>
          </cell>
          <cell r="AL163">
            <v>0</v>
          </cell>
          <cell r="AM163">
            <v>0</v>
          </cell>
          <cell r="AN163">
            <v>1.284</v>
          </cell>
          <cell r="AO163">
            <v>1.0429999999999999</v>
          </cell>
          <cell r="AP163">
            <v>0.34899999999999998</v>
          </cell>
          <cell r="AQ163">
            <v>0.11600000000000001</v>
          </cell>
          <cell r="AT163">
            <v>2.5518577028328184E-2</v>
          </cell>
          <cell r="AU163">
            <v>1.5426742566452178</v>
          </cell>
          <cell r="AV163">
            <v>1.1846678234921715</v>
          </cell>
          <cell r="AW163">
            <v>1.1846678234921715</v>
          </cell>
          <cell r="AX163">
            <v>184.13751182042103</v>
          </cell>
          <cell r="AY163">
            <v>1.6486029757617855</v>
          </cell>
          <cell r="AZ163">
            <v>1.6486029757617855</v>
          </cell>
          <cell r="BA163">
            <v>25.281648985844143</v>
          </cell>
        </row>
        <row r="164">
          <cell r="B164" t="str">
            <v>Boeing 737 MAX 9</v>
          </cell>
          <cell r="C164" t="str">
            <v>United</v>
          </cell>
          <cell r="D164" t="str">
            <v>LEAP-1B27</v>
          </cell>
          <cell r="E164">
            <v>124.7</v>
          </cell>
          <cell r="F164">
            <v>88314</v>
          </cell>
          <cell r="G164">
            <v>31</v>
          </cell>
          <cell r="H164">
            <v>18</v>
          </cell>
          <cell r="I164">
            <v>117</v>
          </cell>
          <cell r="J164">
            <v>35</v>
          </cell>
          <cell r="K164">
            <v>18</v>
          </cell>
          <cell r="L164">
            <v>42</v>
          </cell>
          <cell r="M164">
            <v>0</v>
          </cell>
          <cell r="N164">
            <v>0</v>
          </cell>
          <cell r="O164">
            <v>0</v>
          </cell>
          <cell r="P164">
            <v>38</v>
          </cell>
          <cell r="Q164">
            <v>20.5</v>
          </cell>
          <cell r="R164">
            <v>20</v>
          </cell>
          <cell r="S164">
            <v>87.9</v>
          </cell>
          <cell r="T164">
            <v>97.2</v>
          </cell>
          <cell r="U164">
            <v>83.4</v>
          </cell>
          <cell r="V164">
            <v>92.1</v>
          </cell>
          <cell r="W164">
            <v>94.2</v>
          </cell>
          <cell r="X164">
            <v>100.9</v>
          </cell>
          <cell r="AE164">
            <v>106</v>
          </cell>
          <cell r="AF164">
            <v>2374</v>
          </cell>
          <cell r="AG164">
            <v>6220</v>
          </cell>
          <cell r="AH164">
            <v>362</v>
          </cell>
          <cell r="AJ164">
            <v>0.94</v>
          </cell>
          <cell r="AK164">
            <v>0.85</v>
          </cell>
          <cell r="AL164">
            <v>1.07</v>
          </cell>
          <cell r="AM164">
            <v>0.8</v>
          </cell>
          <cell r="AN164">
            <v>1.002</v>
          </cell>
          <cell r="AO164">
            <v>0.81799999999999995</v>
          </cell>
          <cell r="AP164">
            <v>0.26600000000000001</v>
          </cell>
          <cell r="AQ164">
            <v>9.5000000000000001E-2</v>
          </cell>
          <cell r="AT164">
            <v>6.0041497009342366E-2</v>
          </cell>
          <cell r="AU164">
            <v>1.5520219521772329</v>
          </cell>
          <cell r="AV164">
            <v>1.1882462655027639</v>
          </cell>
          <cell r="AW164">
            <v>1.1882462655027639</v>
          </cell>
          <cell r="AX164">
            <v>185.73735856766029</v>
          </cell>
          <cell r="AY164">
            <v>1.6349207036708622</v>
          </cell>
          <cell r="AZ164">
            <v>1.6349207036708622</v>
          </cell>
          <cell r="BA164">
            <v>25.071828668025233</v>
          </cell>
        </row>
        <row r="165">
          <cell r="B165" t="str">
            <v>Boeing 787-10</v>
          </cell>
          <cell r="C165" t="str">
            <v>United Airlines</v>
          </cell>
          <cell r="D165" t="str">
            <v>GEnx-1B76/P2G01</v>
          </cell>
          <cell r="E165">
            <v>349.2</v>
          </cell>
          <cell r="F165">
            <v>254011</v>
          </cell>
          <cell r="G165">
            <v>31</v>
          </cell>
          <cell r="H165">
            <v>17</v>
          </cell>
          <cell r="I165">
            <v>199</v>
          </cell>
          <cell r="J165">
            <v>35</v>
          </cell>
          <cell r="K165">
            <v>17.3</v>
          </cell>
          <cell r="L165">
            <v>54</v>
          </cell>
          <cell r="M165">
            <v>38</v>
          </cell>
          <cell r="N165">
            <v>19</v>
          </cell>
          <cell r="O165">
            <v>21</v>
          </cell>
          <cell r="P165">
            <v>78</v>
          </cell>
          <cell r="Q165">
            <v>20.6</v>
          </cell>
          <cell r="R165">
            <v>44</v>
          </cell>
          <cell r="S165">
            <v>92.8</v>
          </cell>
          <cell r="T165">
            <v>101.3</v>
          </cell>
          <cell r="U165">
            <v>88.7</v>
          </cell>
          <cell r="V165">
            <v>98.6</v>
          </cell>
          <cell r="W165">
            <v>95.3</v>
          </cell>
          <cell r="X165">
            <v>104.7</v>
          </cell>
          <cell r="AE165">
            <v>140</v>
          </cell>
          <cell r="AF165">
            <v>4980</v>
          </cell>
          <cell r="AG165">
            <v>17251</v>
          </cell>
          <cell r="AH165">
            <v>934</v>
          </cell>
          <cell r="AJ165">
            <v>0.2</v>
          </cell>
          <cell r="AK165">
            <v>0.16</v>
          </cell>
          <cell r="AL165">
            <v>0.43</v>
          </cell>
          <cell r="AM165">
            <v>7.0000000000000007E-2</v>
          </cell>
          <cell r="AN165">
            <v>2.79</v>
          </cell>
          <cell r="AO165">
            <v>2.262</v>
          </cell>
          <cell r="AP165">
            <v>0.70899999999999996</v>
          </cell>
          <cell r="AQ165">
            <v>0.223</v>
          </cell>
          <cell r="AT165">
            <v>5.114561016493676E-2</v>
          </cell>
          <cell r="AU165">
            <v>1.6513343009971913</v>
          </cell>
          <cell r="AV165">
            <v>1.2129334174299515</v>
          </cell>
          <cell r="AW165">
            <v>1.2129334174299515</v>
          </cell>
          <cell r="AX165">
            <v>204.52717618547004</v>
          </cell>
          <cell r="AY165">
            <v>1.4396031444039483</v>
          </cell>
          <cell r="AZ165">
            <v>1.4396031444039483</v>
          </cell>
          <cell r="BA165">
            <v>22.076595706082895</v>
          </cell>
        </row>
        <row r="166">
          <cell r="B166" t="str">
            <v>Boeing 747-400</v>
          </cell>
          <cell r="C166" t="str">
            <v>Virgin Atlantic</v>
          </cell>
          <cell r="D166" t="str">
            <v>CF6-80C2B1F</v>
          </cell>
          <cell r="E166">
            <v>254.3</v>
          </cell>
          <cell r="F166">
            <v>396894</v>
          </cell>
          <cell r="G166">
            <v>31</v>
          </cell>
          <cell r="H166">
            <v>17.5</v>
          </cell>
          <cell r="I166">
            <v>375</v>
          </cell>
          <cell r="J166">
            <v>38</v>
          </cell>
          <cell r="K166">
            <v>21</v>
          </cell>
          <cell r="L166">
            <v>66</v>
          </cell>
          <cell r="M166">
            <v>79.5</v>
          </cell>
          <cell r="N166">
            <v>22</v>
          </cell>
          <cell r="O166">
            <v>14</v>
          </cell>
          <cell r="P166">
            <v>0</v>
          </cell>
          <cell r="Q166">
            <v>0</v>
          </cell>
          <cell r="R166">
            <v>0</v>
          </cell>
          <cell r="S166">
            <v>97.9</v>
          </cell>
          <cell r="T166">
            <v>103</v>
          </cell>
          <cell r="U166">
            <v>99.9</v>
          </cell>
          <cell r="V166">
            <v>106</v>
          </cell>
          <cell r="W166">
            <v>103.8</v>
          </cell>
          <cell r="X166">
            <v>105</v>
          </cell>
          <cell r="AE166">
            <v>3157</v>
          </cell>
          <cell r="AF166">
            <v>14493</v>
          </cell>
          <cell r="AG166">
            <v>10718</v>
          </cell>
          <cell r="AH166">
            <v>823</v>
          </cell>
          <cell r="AJ166">
            <v>7.1</v>
          </cell>
          <cell r="AK166">
            <v>4.8</v>
          </cell>
          <cell r="AL166">
            <v>2.2999999999999998</v>
          </cell>
          <cell r="AM166">
            <v>3</v>
          </cell>
          <cell r="AN166">
            <v>2.3530000000000002</v>
          </cell>
          <cell r="AO166">
            <v>1.913</v>
          </cell>
          <cell r="AP166">
            <v>0.63200000000000001</v>
          </cell>
          <cell r="AQ166">
            <v>0.20499999999999999</v>
          </cell>
          <cell r="AT166">
            <v>7.5083067960307781E-2</v>
          </cell>
          <cell r="AU166">
            <v>1.6513343009971913</v>
          </cell>
          <cell r="AV166">
            <v>1.2129334174299515</v>
          </cell>
          <cell r="AW166">
            <v>1.2129334174299515</v>
          </cell>
          <cell r="AX166">
            <v>204.52717618547004</v>
          </cell>
          <cell r="AY166">
            <v>1.4396031444039483</v>
          </cell>
          <cell r="AZ166">
            <v>1.4396031444039483</v>
          </cell>
          <cell r="BA166">
            <v>22.076595706082895</v>
          </cell>
        </row>
        <row r="167">
          <cell r="B167" t="str">
            <v>Airbus A320</v>
          </cell>
          <cell r="C167" t="str">
            <v>Vueling</v>
          </cell>
          <cell r="D167" t="str">
            <v>CFM56-5B4/P</v>
          </cell>
          <cell r="E167">
            <v>120.11</v>
          </cell>
          <cell r="F167">
            <v>78000</v>
          </cell>
          <cell r="G167">
            <v>29</v>
          </cell>
          <cell r="H167">
            <v>17.7</v>
          </cell>
          <cell r="I167">
            <v>180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92.8</v>
          </cell>
          <cell r="T167">
            <v>97</v>
          </cell>
          <cell r="U167">
            <v>85.2</v>
          </cell>
          <cell r="V167">
            <v>91.8</v>
          </cell>
          <cell r="W167">
            <v>95.2</v>
          </cell>
          <cell r="X167">
            <v>100.7</v>
          </cell>
          <cell r="AE167">
            <v>818</v>
          </cell>
          <cell r="AF167">
            <v>4123</v>
          </cell>
          <cell r="AG167">
            <v>5641</v>
          </cell>
          <cell r="AH167">
            <v>408</v>
          </cell>
          <cell r="AJ167">
            <v>5.4</v>
          </cell>
          <cell r="AK167">
            <v>4.0999999999999996</v>
          </cell>
          <cell r="AL167">
            <v>0.2</v>
          </cell>
          <cell r="AM167">
            <v>0.5</v>
          </cell>
          <cell r="AN167">
            <v>1.1319999999999999</v>
          </cell>
          <cell r="AO167">
            <v>0.93500000000000005</v>
          </cell>
          <cell r="AP167">
            <v>0.312</v>
          </cell>
          <cell r="AQ167">
            <v>0.104</v>
          </cell>
          <cell r="AT167">
            <v>2.8597287885879265E-2</v>
          </cell>
          <cell r="AU167">
            <v>1.5331822002957392</v>
          </cell>
          <cell r="AV167">
            <v>1.1810341179343091</v>
          </cell>
          <cell r="AW167">
            <v>1.1810341179343091</v>
          </cell>
          <cell r="AX167">
            <v>182.51295789444902</v>
          </cell>
          <cell r="AY167">
            <v>1.662496549555577</v>
          </cell>
          <cell r="AZ167">
            <v>1.662496549555577</v>
          </cell>
          <cell r="BA167">
            <v>25.494709656592505</v>
          </cell>
        </row>
        <row r="168">
          <cell r="B168" t="str">
            <v>Airbus A220-100</v>
          </cell>
          <cell r="C168" t="str">
            <v>Delta</v>
          </cell>
          <cell r="D168" t="str">
            <v>PW1524G</v>
          </cell>
          <cell r="E168">
            <v>108.53</v>
          </cell>
          <cell r="F168">
            <v>60781</v>
          </cell>
          <cell r="G168">
            <v>31</v>
          </cell>
          <cell r="H168">
            <v>18.600000000000001</v>
          </cell>
          <cell r="I168">
            <v>82</v>
          </cell>
          <cell r="J168">
            <v>34</v>
          </cell>
          <cell r="K168">
            <v>18.600000000000001</v>
          </cell>
          <cell r="L168">
            <v>15</v>
          </cell>
          <cell r="M168">
            <v>0</v>
          </cell>
          <cell r="N168">
            <v>0</v>
          </cell>
          <cell r="O168">
            <v>0</v>
          </cell>
          <cell r="P168">
            <v>36</v>
          </cell>
          <cell r="Q168">
            <v>21</v>
          </cell>
          <cell r="R168">
            <v>12</v>
          </cell>
          <cell r="S168">
            <v>88</v>
          </cell>
          <cell r="T168">
            <v>96</v>
          </cell>
          <cell r="U168">
            <v>78.8</v>
          </cell>
          <cell r="V168">
            <v>90.4</v>
          </cell>
          <cell r="W168">
            <v>91.5</v>
          </cell>
          <cell r="X168">
            <v>99.9</v>
          </cell>
          <cell r="AE168">
            <v>30</v>
          </cell>
          <cell r="AF168">
            <v>1719</v>
          </cell>
          <cell r="AG168">
            <v>4125</v>
          </cell>
          <cell r="AH168">
            <v>299</v>
          </cell>
          <cell r="AJ168">
            <v>3.4</v>
          </cell>
          <cell r="AK168">
            <v>2.8</v>
          </cell>
          <cell r="AL168">
            <v>2.4</v>
          </cell>
          <cell r="AM168">
            <v>2.5</v>
          </cell>
          <cell r="AN168">
            <v>0.79</v>
          </cell>
          <cell r="AO168">
            <v>0.65</v>
          </cell>
          <cell r="AP168">
            <v>0.23</v>
          </cell>
          <cell r="AQ168">
            <v>0.08</v>
          </cell>
          <cell r="AT168">
            <v>3.1483299270248316E-2</v>
          </cell>
          <cell r="AU168">
            <v>1.5331822002957392</v>
          </cell>
          <cell r="AV168">
            <v>1.1810341179343091</v>
          </cell>
          <cell r="AW168">
            <v>1.1810341179343091</v>
          </cell>
          <cell r="AX168">
            <v>182.51295789444902</v>
          </cell>
          <cell r="AY168">
            <v>1.662496549555577</v>
          </cell>
          <cell r="AZ168">
            <v>1.662496549555577</v>
          </cell>
          <cell r="BA168">
            <v>25.494709656592505</v>
          </cell>
        </row>
        <row r="169">
          <cell r="B169" t="str">
            <v>ATR 42</v>
          </cell>
          <cell r="C169" t="str">
            <v>Air France</v>
          </cell>
          <cell r="D169" t="str">
            <v>PW127M</v>
          </cell>
          <cell r="E169" t="e">
            <v>#N/A</v>
          </cell>
          <cell r="F169">
            <v>18600</v>
          </cell>
          <cell r="G169">
            <v>31</v>
          </cell>
          <cell r="H169">
            <v>17</v>
          </cell>
          <cell r="I169">
            <v>48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 t="e">
            <v>#N/A</v>
          </cell>
          <cell r="T169" t="e">
            <v>#N/A</v>
          </cell>
          <cell r="U169" t="e">
            <v>#N/A</v>
          </cell>
          <cell r="V169" t="e">
            <v>#N/A</v>
          </cell>
          <cell r="W169" t="e">
            <v>#N/A</v>
          </cell>
          <cell r="X169" t="e">
            <v>#N/A</v>
          </cell>
          <cell r="AE169" t="e">
            <v>#N/A</v>
          </cell>
          <cell r="AF169" t="e">
            <v>#N/A</v>
          </cell>
          <cell r="AG169" t="e">
            <v>#N/A</v>
          </cell>
          <cell r="AH169" t="e">
            <v>#N/A</v>
          </cell>
          <cell r="AJ169" t="e">
            <v>#N/A</v>
          </cell>
          <cell r="AK169" t="e">
            <v>#N/A</v>
          </cell>
          <cell r="AL169" t="e">
            <v>#N/A</v>
          </cell>
          <cell r="AM169" t="e">
            <v>#N/A</v>
          </cell>
          <cell r="AN169" t="e">
            <v>#N/A</v>
          </cell>
          <cell r="AO169" t="e">
            <v>#N/A</v>
          </cell>
          <cell r="AP169" t="e">
            <v>#N/A</v>
          </cell>
          <cell r="AQ169" t="e">
            <v>#N/A</v>
          </cell>
          <cell r="AT169">
            <v>1.6631442946129098E-2</v>
          </cell>
          <cell r="AU169">
            <v>0.49156649593783108</v>
          </cell>
          <cell r="AV169">
            <v>0.88267717500124154</v>
          </cell>
          <cell r="AW169">
            <v>0.88267717500124154</v>
          </cell>
          <cell r="AX169">
            <v>0</v>
          </cell>
          <cell r="AY169">
            <v>2.1196082523103538E-2</v>
          </cell>
          <cell r="AZ169">
            <v>2.1196082523103538E-2</v>
          </cell>
          <cell r="BA169">
            <v>0.32504606997720226</v>
          </cell>
        </row>
        <row r="170">
          <cell r="E170" t="e">
            <v>#N/A</v>
          </cell>
          <cell r="F170" t="e">
            <v>#N/A</v>
          </cell>
          <cell r="S170" t="e">
            <v>#N/A</v>
          </cell>
          <cell r="T170" t="e">
            <v>#N/A</v>
          </cell>
          <cell r="U170" t="e">
            <v>#N/A</v>
          </cell>
          <cell r="V170" t="e">
            <v>#N/A</v>
          </cell>
          <cell r="W170" t="e">
            <v>#N/A</v>
          </cell>
          <cell r="X170" t="e">
            <v>#N/A</v>
          </cell>
          <cell r="AE170" t="e">
            <v>#N/A</v>
          </cell>
          <cell r="AF170" t="e">
            <v>#N/A</v>
          </cell>
          <cell r="AG170" t="e">
            <v>#N/A</v>
          </cell>
          <cell r="AH170" t="e">
            <v>#N/A</v>
          </cell>
          <cell r="AJ170" t="e">
            <v>#N/A</v>
          </cell>
          <cell r="AK170" t="e">
            <v>#N/A</v>
          </cell>
          <cell r="AL170" t="e">
            <v>#N/A</v>
          </cell>
          <cell r="AM170" t="e">
            <v>#N/A</v>
          </cell>
          <cell r="AN170" t="e">
            <v>#N/A</v>
          </cell>
          <cell r="AO170" t="e">
            <v>#N/A</v>
          </cell>
          <cell r="AP170" t="e">
            <v>#N/A</v>
          </cell>
          <cell r="AQ170" t="e">
            <v>#N/A</v>
          </cell>
          <cell r="AT170" t="e">
            <v>#N/A</v>
          </cell>
          <cell r="AU170" t="e">
            <v>#N/A</v>
          </cell>
          <cell r="AV170" t="e">
            <v>#N/A</v>
          </cell>
          <cell r="AW170" t="e">
            <v>#N/A</v>
          </cell>
          <cell r="AX170" t="e">
            <v>#N/A</v>
          </cell>
          <cell r="AY170" t="e">
            <v>#N/A</v>
          </cell>
          <cell r="AZ170" t="e">
            <v>#N/A</v>
          </cell>
          <cell r="BA170" t="e">
            <v>#N/A</v>
          </cell>
        </row>
        <row r="171">
          <cell r="E171" t="e">
            <v>#N/A</v>
          </cell>
          <cell r="F171" t="e">
            <v>#N/A</v>
          </cell>
          <cell r="S171" t="e">
            <v>#N/A</v>
          </cell>
          <cell r="T171" t="e">
            <v>#N/A</v>
          </cell>
          <cell r="U171" t="e">
            <v>#N/A</v>
          </cell>
          <cell r="V171" t="e">
            <v>#N/A</v>
          </cell>
          <cell r="W171" t="e">
            <v>#N/A</v>
          </cell>
          <cell r="X171" t="e">
            <v>#N/A</v>
          </cell>
          <cell r="AE171" t="e">
            <v>#N/A</v>
          </cell>
          <cell r="AF171" t="e">
            <v>#N/A</v>
          </cell>
          <cell r="AG171" t="e">
            <v>#N/A</v>
          </cell>
          <cell r="AH171" t="e">
            <v>#N/A</v>
          </cell>
          <cell r="AJ171" t="e">
            <v>#N/A</v>
          </cell>
          <cell r="AK171" t="e">
            <v>#N/A</v>
          </cell>
          <cell r="AL171" t="e">
            <v>#N/A</v>
          </cell>
          <cell r="AM171" t="e">
            <v>#N/A</v>
          </cell>
          <cell r="AN171" t="e">
            <v>#N/A</v>
          </cell>
          <cell r="AO171" t="e">
            <v>#N/A</v>
          </cell>
          <cell r="AP171" t="e">
            <v>#N/A</v>
          </cell>
          <cell r="AQ171" t="e">
            <v>#N/A</v>
          </cell>
          <cell r="AT171" t="e">
            <v>#N/A</v>
          </cell>
          <cell r="AU171" t="e">
            <v>#N/A</v>
          </cell>
          <cell r="AV171" t="e">
            <v>#N/A</v>
          </cell>
          <cell r="AW171" t="e">
            <v>#N/A</v>
          </cell>
          <cell r="AX171" t="e">
            <v>#N/A</v>
          </cell>
          <cell r="AY171" t="e">
            <v>#N/A</v>
          </cell>
          <cell r="AZ171" t="e">
            <v>#N/A</v>
          </cell>
          <cell r="BA171" t="e">
            <v>#N/A</v>
          </cell>
        </row>
        <row r="172">
          <cell r="E172" t="e">
            <v>#N/A</v>
          </cell>
          <cell r="F172" t="e">
            <v>#N/A</v>
          </cell>
          <cell r="S172" t="e">
            <v>#N/A</v>
          </cell>
          <cell r="T172" t="e">
            <v>#N/A</v>
          </cell>
          <cell r="U172" t="e">
            <v>#N/A</v>
          </cell>
          <cell r="V172" t="e">
            <v>#N/A</v>
          </cell>
          <cell r="W172" t="e">
            <v>#N/A</v>
          </cell>
          <cell r="X172" t="e">
            <v>#N/A</v>
          </cell>
          <cell r="AE172" t="e">
            <v>#N/A</v>
          </cell>
          <cell r="AF172" t="e">
            <v>#N/A</v>
          </cell>
          <cell r="AG172" t="e">
            <v>#N/A</v>
          </cell>
          <cell r="AH172" t="e">
            <v>#N/A</v>
          </cell>
          <cell r="AJ172" t="e">
            <v>#N/A</v>
          </cell>
          <cell r="AK172" t="e">
            <v>#N/A</v>
          </cell>
          <cell r="AL172" t="e">
            <v>#N/A</v>
          </cell>
          <cell r="AM172" t="e">
            <v>#N/A</v>
          </cell>
          <cell r="AN172" t="e">
            <v>#N/A</v>
          </cell>
          <cell r="AO172" t="e">
            <v>#N/A</v>
          </cell>
          <cell r="AP172" t="e">
            <v>#N/A</v>
          </cell>
          <cell r="AQ172" t="e">
            <v>#N/A</v>
          </cell>
          <cell r="AT172" t="e">
            <v>#N/A</v>
          </cell>
          <cell r="AU172" t="e">
            <v>#N/A</v>
          </cell>
          <cell r="AV172" t="e">
            <v>#N/A</v>
          </cell>
          <cell r="AW172" t="e">
            <v>#N/A</v>
          </cell>
          <cell r="AX172" t="e">
            <v>#N/A</v>
          </cell>
          <cell r="AY172" t="e">
            <v>#N/A</v>
          </cell>
          <cell r="AZ172" t="e">
            <v>#N/A</v>
          </cell>
          <cell r="BA172" t="e">
            <v>#N/A</v>
          </cell>
        </row>
        <row r="173">
          <cell r="E173" t="e">
            <v>#N/A</v>
          </cell>
          <cell r="F173" t="e">
            <v>#N/A</v>
          </cell>
          <cell r="S173" t="e">
            <v>#N/A</v>
          </cell>
          <cell r="T173" t="e">
            <v>#N/A</v>
          </cell>
          <cell r="U173" t="e">
            <v>#N/A</v>
          </cell>
          <cell r="V173" t="e">
            <v>#N/A</v>
          </cell>
          <cell r="W173" t="e">
            <v>#N/A</v>
          </cell>
          <cell r="X173" t="e">
            <v>#N/A</v>
          </cell>
          <cell r="AE173" t="e">
            <v>#N/A</v>
          </cell>
          <cell r="AF173" t="e">
            <v>#N/A</v>
          </cell>
          <cell r="AG173" t="e">
            <v>#N/A</v>
          </cell>
          <cell r="AH173" t="e">
            <v>#N/A</v>
          </cell>
          <cell r="AJ173" t="e">
            <v>#N/A</v>
          </cell>
          <cell r="AK173" t="e">
            <v>#N/A</v>
          </cell>
          <cell r="AL173" t="e">
            <v>#N/A</v>
          </cell>
          <cell r="AM173" t="e">
            <v>#N/A</v>
          </cell>
          <cell r="AN173" t="e">
            <v>#N/A</v>
          </cell>
          <cell r="AO173" t="e">
            <v>#N/A</v>
          </cell>
          <cell r="AP173" t="e">
            <v>#N/A</v>
          </cell>
          <cell r="AQ173" t="e">
            <v>#N/A</v>
          </cell>
          <cell r="AT173" t="e">
            <v>#N/A</v>
          </cell>
          <cell r="AU173" t="e">
            <v>#N/A</v>
          </cell>
          <cell r="AV173" t="e">
            <v>#N/A</v>
          </cell>
          <cell r="AW173" t="e">
            <v>#N/A</v>
          </cell>
          <cell r="AX173" t="e">
            <v>#N/A</v>
          </cell>
          <cell r="AY173" t="e">
            <v>#N/A</v>
          </cell>
          <cell r="AZ173" t="e">
            <v>#N/A</v>
          </cell>
          <cell r="BA173" t="e">
            <v>#N/A</v>
          </cell>
        </row>
        <row r="174">
          <cell r="E174" t="e">
            <v>#N/A</v>
          </cell>
          <cell r="F174" t="e">
            <v>#N/A</v>
          </cell>
          <cell r="S174" t="e">
            <v>#N/A</v>
          </cell>
          <cell r="T174" t="e">
            <v>#N/A</v>
          </cell>
          <cell r="U174" t="e">
            <v>#N/A</v>
          </cell>
          <cell r="V174" t="e">
            <v>#N/A</v>
          </cell>
          <cell r="W174" t="e">
            <v>#N/A</v>
          </cell>
          <cell r="X174" t="e">
            <v>#N/A</v>
          </cell>
          <cell r="AE174" t="e">
            <v>#N/A</v>
          </cell>
          <cell r="AF174" t="e">
            <v>#N/A</v>
          </cell>
          <cell r="AG174" t="e">
            <v>#N/A</v>
          </cell>
          <cell r="AH174" t="e">
            <v>#N/A</v>
          </cell>
          <cell r="AJ174" t="e">
            <v>#N/A</v>
          </cell>
          <cell r="AK174" t="e">
            <v>#N/A</v>
          </cell>
          <cell r="AL174" t="e">
            <v>#N/A</v>
          </cell>
          <cell r="AM174" t="e">
            <v>#N/A</v>
          </cell>
          <cell r="AN174" t="e">
            <v>#N/A</v>
          </cell>
          <cell r="AO174" t="e">
            <v>#N/A</v>
          </cell>
          <cell r="AP174" t="e">
            <v>#N/A</v>
          </cell>
          <cell r="AQ174" t="e">
            <v>#N/A</v>
          </cell>
          <cell r="AT174" t="e">
            <v>#N/A</v>
          </cell>
          <cell r="AU174" t="e">
            <v>#N/A</v>
          </cell>
          <cell r="AV174" t="e">
            <v>#N/A</v>
          </cell>
          <cell r="AW174" t="e">
            <v>#N/A</v>
          </cell>
          <cell r="AX174" t="e">
            <v>#N/A</v>
          </cell>
          <cell r="AY174" t="e">
            <v>#N/A</v>
          </cell>
          <cell r="AZ174" t="e">
            <v>#N/A</v>
          </cell>
          <cell r="BA174" t="e">
            <v>#N/A</v>
          </cell>
        </row>
        <row r="175">
          <cell r="E175" t="e">
            <v>#N/A</v>
          </cell>
          <cell r="F175" t="e">
            <v>#N/A</v>
          </cell>
          <cell r="S175" t="e">
            <v>#N/A</v>
          </cell>
          <cell r="T175" t="e">
            <v>#N/A</v>
          </cell>
          <cell r="U175" t="e">
            <v>#N/A</v>
          </cell>
          <cell r="V175" t="e">
            <v>#N/A</v>
          </cell>
          <cell r="W175" t="e">
            <v>#N/A</v>
          </cell>
          <cell r="X175" t="e">
            <v>#N/A</v>
          </cell>
          <cell r="AE175" t="e">
            <v>#N/A</v>
          </cell>
          <cell r="AF175" t="e">
            <v>#N/A</v>
          </cell>
          <cell r="AG175" t="e">
            <v>#N/A</v>
          </cell>
          <cell r="AH175" t="e">
            <v>#N/A</v>
          </cell>
          <cell r="AJ175" t="e">
            <v>#N/A</v>
          </cell>
          <cell r="AK175" t="e">
            <v>#N/A</v>
          </cell>
          <cell r="AL175" t="e">
            <v>#N/A</v>
          </cell>
          <cell r="AM175" t="e">
            <v>#N/A</v>
          </cell>
          <cell r="AN175" t="e">
            <v>#N/A</v>
          </cell>
          <cell r="AO175" t="e">
            <v>#N/A</v>
          </cell>
          <cell r="AP175" t="e">
            <v>#N/A</v>
          </cell>
          <cell r="AQ175" t="e">
            <v>#N/A</v>
          </cell>
          <cell r="AT175" t="e">
            <v>#N/A</v>
          </cell>
          <cell r="AU175" t="e">
            <v>#N/A</v>
          </cell>
          <cell r="AV175" t="e">
            <v>#N/A</v>
          </cell>
          <cell r="AW175" t="e">
            <v>#N/A</v>
          </cell>
          <cell r="AX175" t="e">
            <v>#N/A</v>
          </cell>
          <cell r="AY175" t="e">
            <v>#N/A</v>
          </cell>
          <cell r="AZ175" t="e">
            <v>#N/A</v>
          </cell>
          <cell r="BA175" t="e">
            <v>#N/A</v>
          </cell>
        </row>
        <row r="176">
          <cell r="E176" t="e">
            <v>#N/A</v>
          </cell>
          <cell r="F176" t="e">
            <v>#N/A</v>
          </cell>
          <cell r="S176" t="e">
            <v>#N/A</v>
          </cell>
          <cell r="T176" t="e">
            <v>#N/A</v>
          </cell>
          <cell r="U176" t="e">
            <v>#N/A</v>
          </cell>
          <cell r="V176" t="e">
            <v>#N/A</v>
          </cell>
          <cell r="W176" t="e">
            <v>#N/A</v>
          </cell>
          <cell r="X176" t="e">
            <v>#N/A</v>
          </cell>
          <cell r="AE176" t="e">
            <v>#N/A</v>
          </cell>
          <cell r="AF176" t="e">
            <v>#N/A</v>
          </cell>
          <cell r="AG176" t="e">
            <v>#N/A</v>
          </cell>
          <cell r="AH176" t="e">
            <v>#N/A</v>
          </cell>
          <cell r="AJ176" t="e">
            <v>#N/A</v>
          </cell>
          <cell r="AK176" t="e">
            <v>#N/A</v>
          </cell>
          <cell r="AL176" t="e">
            <v>#N/A</v>
          </cell>
          <cell r="AM176" t="e">
            <v>#N/A</v>
          </cell>
          <cell r="AN176" t="e">
            <v>#N/A</v>
          </cell>
          <cell r="AO176" t="e">
            <v>#N/A</v>
          </cell>
          <cell r="AP176" t="e">
            <v>#N/A</v>
          </cell>
          <cell r="AQ176" t="e">
            <v>#N/A</v>
          </cell>
          <cell r="AT176" t="e">
            <v>#N/A</v>
          </cell>
          <cell r="AU176" t="e">
            <v>#N/A</v>
          </cell>
          <cell r="AV176" t="e">
            <v>#N/A</v>
          </cell>
          <cell r="AW176" t="e">
            <v>#N/A</v>
          </cell>
          <cell r="AX176" t="e">
            <v>#N/A</v>
          </cell>
          <cell r="AY176" t="e">
            <v>#N/A</v>
          </cell>
          <cell r="AZ176" t="e">
            <v>#N/A</v>
          </cell>
          <cell r="BA176" t="e">
            <v>#N/A</v>
          </cell>
        </row>
        <row r="177">
          <cell r="E177" t="e">
            <v>#N/A</v>
          </cell>
          <cell r="F177" t="e">
            <v>#N/A</v>
          </cell>
          <cell r="S177" t="e">
            <v>#N/A</v>
          </cell>
          <cell r="T177" t="e">
            <v>#N/A</v>
          </cell>
          <cell r="U177" t="e">
            <v>#N/A</v>
          </cell>
          <cell r="V177" t="e">
            <v>#N/A</v>
          </cell>
          <cell r="W177" t="e">
            <v>#N/A</v>
          </cell>
          <cell r="X177" t="e">
            <v>#N/A</v>
          </cell>
          <cell r="AE177" t="e">
            <v>#N/A</v>
          </cell>
          <cell r="AF177" t="e">
            <v>#N/A</v>
          </cell>
          <cell r="AG177" t="e">
            <v>#N/A</v>
          </cell>
          <cell r="AH177" t="e">
            <v>#N/A</v>
          </cell>
          <cell r="AJ177" t="e">
            <v>#N/A</v>
          </cell>
          <cell r="AK177" t="e">
            <v>#N/A</v>
          </cell>
          <cell r="AL177" t="e">
            <v>#N/A</v>
          </cell>
          <cell r="AM177" t="e">
            <v>#N/A</v>
          </cell>
          <cell r="AN177" t="e">
            <v>#N/A</v>
          </cell>
          <cell r="AO177" t="e">
            <v>#N/A</v>
          </cell>
          <cell r="AP177" t="e">
            <v>#N/A</v>
          </cell>
          <cell r="AQ177" t="e">
            <v>#N/A</v>
          </cell>
          <cell r="AT177" t="e">
            <v>#N/A</v>
          </cell>
          <cell r="AU177" t="e">
            <v>#N/A</v>
          </cell>
          <cell r="AV177" t="e">
            <v>#N/A</v>
          </cell>
          <cell r="AW177" t="e">
            <v>#N/A</v>
          </cell>
          <cell r="AX177" t="e">
            <v>#N/A</v>
          </cell>
          <cell r="AY177" t="e">
            <v>#N/A</v>
          </cell>
          <cell r="AZ177" t="e">
            <v>#N/A</v>
          </cell>
          <cell r="BA177" t="e">
            <v>#N/A</v>
          </cell>
        </row>
        <row r="178">
          <cell r="E178" t="e">
            <v>#N/A</v>
          </cell>
          <cell r="F178" t="e">
            <v>#N/A</v>
          </cell>
          <cell r="S178" t="e">
            <v>#N/A</v>
          </cell>
          <cell r="T178" t="e">
            <v>#N/A</v>
          </cell>
          <cell r="U178" t="e">
            <v>#N/A</v>
          </cell>
          <cell r="V178" t="e">
            <v>#N/A</v>
          </cell>
          <cell r="W178" t="e">
            <v>#N/A</v>
          </cell>
          <cell r="X178" t="e">
            <v>#N/A</v>
          </cell>
          <cell r="AE178" t="e">
            <v>#N/A</v>
          </cell>
          <cell r="AF178" t="e">
            <v>#N/A</v>
          </cell>
          <cell r="AG178" t="e">
            <v>#N/A</v>
          </cell>
          <cell r="AH178" t="e">
            <v>#N/A</v>
          </cell>
          <cell r="AJ178" t="e">
            <v>#N/A</v>
          </cell>
          <cell r="AK178" t="e">
            <v>#N/A</v>
          </cell>
          <cell r="AL178" t="e">
            <v>#N/A</v>
          </cell>
          <cell r="AM178" t="e">
            <v>#N/A</v>
          </cell>
          <cell r="AN178" t="e">
            <v>#N/A</v>
          </cell>
          <cell r="AO178" t="e">
            <v>#N/A</v>
          </cell>
          <cell r="AP178" t="e">
            <v>#N/A</v>
          </cell>
          <cell r="AQ178" t="e">
            <v>#N/A</v>
          </cell>
          <cell r="AT178" t="e">
            <v>#N/A</v>
          </cell>
          <cell r="AU178" t="e">
            <v>#N/A</v>
          </cell>
          <cell r="AV178" t="e">
            <v>#N/A</v>
          </cell>
          <cell r="AW178" t="e">
            <v>#N/A</v>
          </cell>
          <cell r="AX178" t="e">
            <v>#N/A</v>
          </cell>
          <cell r="AY178" t="e">
            <v>#N/A</v>
          </cell>
          <cell r="AZ178" t="e">
            <v>#N/A</v>
          </cell>
          <cell r="BA178" t="e">
            <v>#N/A</v>
          </cell>
        </row>
        <row r="179">
          <cell r="E179" t="e">
            <v>#N/A</v>
          </cell>
          <cell r="F179" t="e">
            <v>#N/A</v>
          </cell>
          <cell r="S179" t="e">
            <v>#N/A</v>
          </cell>
          <cell r="T179" t="e">
            <v>#N/A</v>
          </cell>
          <cell r="U179" t="e">
            <v>#N/A</v>
          </cell>
          <cell r="V179" t="e">
            <v>#N/A</v>
          </cell>
          <cell r="W179" t="e">
            <v>#N/A</v>
          </cell>
          <cell r="X179" t="e">
            <v>#N/A</v>
          </cell>
          <cell r="AE179" t="e">
            <v>#N/A</v>
          </cell>
          <cell r="AF179" t="e">
            <v>#N/A</v>
          </cell>
          <cell r="AG179" t="e">
            <v>#N/A</v>
          </cell>
          <cell r="AH179" t="e">
            <v>#N/A</v>
          </cell>
          <cell r="AJ179" t="e">
            <v>#N/A</v>
          </cell>
          <cell r="AK179" t="e">
            <v>#N/A</v>
          </cell>
          <cell r="AL179" t="e">
            <v>#N/A</v>
          </cell>
          <cell r="AM179" t="e">
            <v>#N/A</v>
          </cell>
          <cell r="AN179" t="e">
            <v>#N/A</v>
          </cell>
          <cell r="AO179" t="e">
            <v>#N/A</v>
          </cell>
          <cell r="AP179" t="e">
            <v>#N/A</v>
          </cell>
          <cell r="AQ179" t="e">
            <v>#N/A</v>
          </cell>
          <cell r="AT179" t="e">
            <v>#N/A</v>
          </cell>
          <cell r="AU179" t="e">
            <v>#N/A</v>
          </cell>
          <cell r="AV179" t="e">
            <v>#N/A</v>
          </cell>
          <cell r="AW179" t="e">
            <v>#N/A</v>
          </cell>
          <cell r="AX179" t="e">
            <v>#N/A</v>
          </cell>
          <cell r="AY179" t="e">
            <v>#N/A</v>
          </cell>
          <cell r="AZ179" t="e">
            <v>#N/A</v>
          </cell>
          <cell r="BA179" t="e">
            <v>#N/A</v>
          </cell>
        </row>
        <row r="180">
          <cell r="E180" t="e">
            <v>#N/A</v>
          </cell>
          <cell r="F180" t="e">
            <v>#N/A</v>
          </cell>
          <cell r="S180" t="e">
            <v>#N/A</v>
          </cell>
          <cell r="T180" t="e">
            <v>#N/A</v>
          </cell>
          <cell r="U180" t="e">
            <v>#N/A</v>
          </cell>
          <cell r="V180" t="e">
            <v>#N/A</v>
          </cell>
          <cell r="W180" t="e">
            <v>#N/A</v>
          </cell>
          <cell r="X180" t="e">
            <v>#N/A</v>
          </cell>
          <cell r="AE180" t="e">
            <v>#N/A</v>
          </cell>
          <cell r="AF180" t="e">
            <v>#N/A</v>
          </cell>
          <cell r="AG180" t="e">
            <v>#N/A</v>
          </cell>
          <cell r="AH180" t="e">
            <v>#N/A</v>
          </cell>
          <cell r="AJ180" t="e">
            <v>#N/A</v>
          </cell>
          <cell r="AK180" t="e">
            <v>#N/A</v>
          </cell>
          <cell r="AL180" t="e">
            <v>#N/A</v>
          </cell>
          <cell r="AM180" t="e">
            <v>#N/A</v>
          </cell>
          <cell r="AN180" t="e">
            <v>#N/A</v>
          </cell>
          <cell r="AO180" t="e">
            <v>#N/A</v>
          </cell>
          <cell r="AP180" t="e">
            <v>#N/A</v>
          </cell>
          <cell r="AQ180" t="e">
            <v>#N/A</v>
          </cell>
          <cell r="AT180" t="e">
            <v>#N/A</v>
          </cell>
          <cell r="AU180" t="e">
            <v>#N/A</v>
          </cell>
          <cell r="AV180" t="e">
            <v>#N/A</v>
          </cell>
          <cell r="AW180" t="e">
            <v>#N/A</v>
          </cell>
          <cell r="AX180" t="e">
            <v>#N/A</v>
          </cell>
          <cell r="AY180" t="e">
            <v>#N/A</v>
          </cell>
          <cell r="AZ180" t="e">
            <v>#N/A</v>
          </cell>
          <cell r="BA180" t="e">
            <v>#N/A</v>
          </cell>
        </row>
        <row r="181">
          <cell r="E181" t="e">
            <v>#N/A</v>
          </cell>
          <cell r="F181" t="e">
            <v>#N/A</v>
          </cell>
          <cell r="S181" t="e">
            <v>#N/A</v>
          </cell>
          <cell r="T181" t="e">
            <v>#N/A</v>
          </cell>
          <cell r="U181" t="e">
            <v>#N/A</v>
          </cell>
          <cell r="V181" t="e">
            <v>#N/A</v>
          </cell>
          <cell r="W181" t="e">
            <v>#N/A</v>
          </cell>
          <cell r="X181" t="e">
            <v>#N/A</v>
          </cell>
          <cell r="AE181" t="e">
            <v>#N/A</v>
          </cell>
          <cell r="AF181" t="e">
            <v>#N/A</v>
          </cell>
          <cell r="AG181" t="e">
            <v>#N/A</v>
          </cell>
          <cell r="AH181" t="e">
            <v>#N/A</v>
          </cell>
          <cell r="AJ181" t="e">
            <v>#N/A</v>
          </cell>
          <cell r="AK181" t="e">
            <v>#N/A</v>
          </cell>
          <cell r="AL181" t="e">
            <v>#N/A</v>
          </cell>
          <cell r="AM181" t="e">
            <v>#N/A</v>
          </cell>
          <cell r="AN181" t="e">
            <v>#N/A</v>
          </cell>
          <cell r="AO181" t="e">
            <v>#N/A</v>
          </cell>
          <cell r="AP181" t="e">
            <v>#N/A</v>
          </cell>
          <cell r="AQ181" t="e">
            <v>#N/A</v>
          </cell>
          <cell r="AT181" t="e">
            <v>#N/A</v>
          </cell>
          <cell r="AU181" t="e">
            <v>#N/A</v>
          </cell>
          <cell r="AV181" t="e">
            <v>#N/A</v>
          </cell>
          <cell r="AW181" t="e">
            <v>#N/A</v>
          </cell>
          <cell r="AX181" t="e">
            <v>#N/A</v>
          </cell>
          <cell r="AY181" t="e">
            <v>#N/A</v>
          </cell>
          <cell r="AZ181" t="e">
            <v>#N/A</v>
          </cell>
          <cell r="BA181" t="e">
            <v>#N/A</v>
          </cell>
        </row>
        <row r="182">
          <cell r="E182" t="e">
            <v>#N/A</v>
          </cell>
          <cell r="F182" t="e">
            <v>#N/A</v>
          </cell>
          <cell r="S182" t="e">
            <v>#N/A</v>
          </cell>
          <cell r="T182" t="e">
            <v>#N/A</v>
          </cell>
          <cell r="U182" t="e">
            <v>#N/A</v>
          </cell>
          <cell r="V182" t="e">
            <v>#N/A</v>
          </cell>
          <cell r="W182" t="e">
            <v>#N/A</v>
          </cell>
          <cell r="X182" t="e">
            <v>#N/A</v>
          </cell>
          <cell r="AE182" t="e">
            <v>#N/A</v>
          </cell>
          <cell r="AF182" t="e">
            <v>#N/A</v>
          </cell>
          <cell r="AG182" t="e">
            <v>#N/A</v>
          </cell>
          <cell r="AH182" t="e">
            <v>#N/A</v>
          </cell>
          <cell r="AJ182" t="e">
            <v>#N/A</v>
          </cell>
          <cell r="AK182" t="e">
            <v>#N/A</v>
          </cell>
          <cell r="AL182" t="e">
            <v>#N/A</v>
          </cell>
          <cell r="AM182" t="e">
            <v>#N/A</v>
          </cell>
          <cell r="AN182" t="e">
            <v>#N/A</v>
          </cell>
          <cell r="AO182" t="e">
            <v>#N/A</v>
          </cell>
          <cell r="AP182" t="e">
            <v>#N/A</v>
          </cell>
          <cell r="AQ182" t="e">
            <v>#N/A</v>
          </cell>
          <cell r="AT182" t="e">
            <v>#N/A</v>
          </cell>
          <cell r="AU182" t="e">
            <v>#N/A</v>
          </cell>
          <cell r="AV182" t="e">
            <v>#N/A</v>
          </cell>
          <cell r="AW182" t="e">
            <v>#N/A</v>
          </cell>
          <cell r="AX182" t="e">
            <v>#N/A</v>
          </cell>
          <cell r="AY182" t="e">
            <v>#N/A</v>
          </cell>
          <cell r="AZ182" t="e">
            <v>#N/A</v>
          </cell>
          <cell r="BA182" t="e">
            <v>#N/A</v>
          </cell>
        </row>
        <row r="183">
          <cell r="E183" t="e">
            <v>#N/A</v>
          </cell>
          <cell r="F183" t="e">
            <v>#N/A</v>
          </cell>
          <cell r="S183" t="e">
            <v>#N/A</v>
          </cell>
          <cell r="T183" t="e">
            <v>#N/A</v>
          </cell>
          <cell r="U183" t="e">
            <v>#N/A</v>
          </cell>
          <cell r="V183" t="e">
            <v>#N/A</v>
          </cell>
          <cell r="W183" t="e">
            <v>#N/A</v>
          </cell>
          <cell r="X183" t="e">
            <v>#N/A</v>
          </cell>
          <cell r="AE183" t="e">
            <v>#N/A</v>
          </cell>
          <cell r="AF183" t="e">
            <v>#N/A</v>
          </cell>
          <cell r="AG183" t="e">
            <v>#N/A</v>
          </cell>
          <cell r="AH183" t="e">
            <v>#N/A</v>
          </cell>
          <cell r="AJ183" t="e">
            <v>#N/A</v>
          </cell>
          <cell r="AK183" t="e">
            <v>#N/A</v>
          </cell>
          <cell r="AL183" t="e">
            <v>#N/A</v>
          </cell>
          <cell r="AM183" t="e">
            <v>#N/A</v>
          </cell>
          <cell r="AN183" t="e">
            <v>#N/A</v>
          </cell>
          <cell r="AO183" t="e">
            <v>#N/A</v>
          </cell>
          <cell r="AP183" t="e">
            <v>#N/A</v>
          </cell>
          <cell r="AQ183" t="e">
            <v>#N/A</v>
          </cell>
          <cell r="AT183" t="e">
            <v>#N/A</v>
          </cell>
          <cell r="AU183" t="e">
            <v>#N/A</v>
          </cell>
          <cell r="AV183" t="e">
            <v>#N/A</v>
          </cell>
          <cell r="AW183" t="e">
            <v>#N/A</v>
          </cell>
          <cell r="AX183" t="e">
            <v>#N/A</v>
          </cell>
          <cell r="AY183" t="e">
            <v>#N/A</v>
          </cell>
          <cell r="AZ183" t="e">
            <v>#N/A</v>
          </cell>
          <cell r="BA183" t="e">
            <v>#N/A</v>
          </cell>
        </row>
        <row r="184">
          <cell r="E184" t="e">
            <v>#N/A</v>
          </cell>
          <cell r="F184" t="e">
            <v>#N/A</v>
          </cell>
          <cell r="S184" t="e">
            <v>#N/A</v>
          </cell>
          <cell r="T184" t="e">
            <v>#N/A</v>
          </cell>
          <cell r="U184" t="e">
            <v>#N/A</v>
          </cell>
          <cell r="V184" t="e">
            <v>#N/A</v>
          </cell>
          <cell r="W184" t="e">
            <v>#N/A</v>
          </cell>
          <cell r="X184" t="e">
            <v>#N/A</v>
          </cell>
          <cell r="AE184" t="e">
            <v>#N/A</v>
          </cell>
          <cell r="AF184" t="e">
            <v>#N/A</v>
          </cell>
          <cell r="AG184" t="e">
            <v>#N/A</v>
          </cell>
          <cell r="AH184" t="e">
            <v>#N/A</v>
          </cell>
          <cell r="AJ184" t="e">
            <v>#N/A</v>
          </cell>
          <cell r="AK184" t="e">
            <v>#N/A</v>
          </cell>
          <cell r="AL184" t="e">
            <v>#N/A</v>
          </cell>
          <cell r="AM184" t="e">
            <v>#N/A</v>
          </cell>
          <cell r="AN184" t="e">
            <v>#N/A</v>
          </cell>
          <cell r="AO184" t="e">
            <v>#N/A</v>
          </cell>
          <cell r="AP184" t="e">
            <v>#N/A</v>
          </cell>
          <cell r="AQ184" t="e">
            <v>#N/A</v>
          </cell>
          <cell r="AT184" t="e">
            <v>#N/A</v>
          </cell>
          <cell r="AU184" t="e">
            <v>#N/A</v>
          </cell>
          <cell r="AV184" t="e">
            <v>#N/A</v>
          </cell>
          <cell r="AW184" t="e">
            <v>#N/A</v>
          </cell>
          <cell r="AX184" t="e">
            <v>#N/A</v>
          </cell>
          <cell r="AY184" t="e">
            <v>#N/A</v>
          </cell>
          <cell r="AZ184" t="e">
            <v>#N/A</v>
          </cell>
          <cell r="BA184" t="e">
            <v>#N/A</v>
          </cell>
        </row>
        <row r="185">
          <cell r="E185" t="e">
            <v>#N/A</v>
          </cell>
          <cell r="F185" t="e">
            <v>#N/A</v>
          </cell>
          <cell r="S185" t="e">
            <v>#N/A</v>
          </cell>
          <cell r="T185" t="e">
            <v>#N/A</v>
          </cell>
          <cell r="U185" t="e">
            <v>#N/A</v>
          </cell>
          <cell r="V185" t="e">
            <v>#N/A</v>
          </cell>
          <cell r="W185" t="e">
            <v>#N/A</v>
          </cell>
          <cell r="X185" t="e">
            <v>#N/A</v>
          </cell>
          <cell r="AE185" t="e">
            <v>#N/A</v>
          </cell>
          <cell r="AF185" t="e">
            <v>#N/A</v>
          </cell>
          <cell r="AG185" t="e">
            <v>#N/A</v>
          </cell>
          <cell r="AH185" t="e">
            <v>#N/A</v>
          </cell>
          <cell r="AJ185" t="e">
            <v>#N/A</v>
          </cell>
          <cell r="AK185" t="e">
            <v>#N/A</v>
          </cell>
          <cell r="AL185" t="e">
            <v>#N/A</v>
          </cell>
          <cell r="AM185" t="e">
            <v>#N/A</v>
          </cell>
          <cell r="AN185" t="e">
            <v>#N/A</v>
          </cell>
          <cell r="AO185" t="e">
            <v>#N/A</v>
          </cell>
          <cell r="AP185" t="e">
            <v>#N/A</v>
          </cell>
          <cell r="AQ185" t="e">
            <v>#N/A</v>
          </cell>
          <cell r="AT185" t="e">
            <v>#N/A</v>
          </cell>
          <cell r="AU185" t="e">
            <v>#N/A</v>
          </cell>
          <cell r="AV185" t="e">
            <v>#N/A</v>
          </cell>
          <cell r="AW185" t="e">
            <v>#N/A</v>
          </cell>
          <cell r="AX185" t="e">
            <v>#N/A</v>
          </cell>
          <cell r="AY185" t="e">
            <v>#N/A</v>
          </cell>
          <cell r="AZ185" t="e">
            <v>#N/A</v>
          </cell>
          <cell r="BA185" t="e">
            <v>#N/A</v>
          </cell>
        </row>
        <row r="186">
          <cell r="E186" t="e">
            <v>#N/A</v>
          </cell>
          <cell r="F186" t="e">
            <v>#N/A</v>
          </cell>
          <cell r="S186" t="e">
            <v>#N/A</v>
          </cell>
          <cell r="T186" t="e">
            <v>#N/A</v>
          </cell>
          <cell r="U186" t="e">
            <v>#N/A</v>
          </cell>
          <cell r="V186" t="e">
            <v>#N/A</v>
          </cell>
          <cell r="W186" t="e">
            <v>#N/A</v>
          </cell>
          <cell r="X186" t="e">
            <v>#N/A</v>
          </cell>
          <cell r="AE186" t="e">
            <v>#N/A</v>
          </cell>
          <cell r="AF186" t="e">
            <v>#N/A</v>
          </cell>
          <cell r="AG186" t="e">
            <v>#N/A</v>
          </cell>
          <cell r="AH186" t="e">
            <v>#N/A</v>
          </cell>
          <cell r="AJ186" t="e">
            <v>#N/A</v>
          </cell>
          <cell r="AK186" t="e">
            <v>#N/A</v>
          </cell>
          <cell r="AL186" t="e">
            <v>#N/A</v>
          </cell>
          <cell r="AM186" t="e">
            <v>#N/A</v>
          </cell>
          <cell r="AN186" t="e">
            <v>#N/A</v>
          </cell>
          <cell r="AO186" t="e">
            <v>#N/A</v>
          </cell>
          <cell r="AP186" t="e">
            <v>#N/A</v>
          </cell>
          <cell r="AQ186" t="e">
            <v>#N/A</v>
          </cell>
          <cell r="AT186" t="e">
            <v>#N/A</v>
          </cell>
          <cell r="AU186" t="e">
            <v>#N/A</v>
          </cell>
          <cell r="AV186" t="e">
            <v>#N/A</v>
          </cell>
          <cell r="AW186" t="e">
            <v>#N/A</v>
          </cell>
          <cell r="AX186" t="e">
            <v>#N/A</v>
          </cell>
          <cell r="AY186" t="e">
            <v>#N/A</v>
          </cell>
          <cell r="AZ186" t="e">
            <v>#N/A</v>
          </cell>
          <cell r="BA186" t="e">
            <v>#N/A</v>
          </cell>
        </row>
        <row r="187">
          <cell r="E187" t="e">
            <v>#N/A</v>
          </cell>
          <cell r="F187" t="e">
            <v>#N/A</v>
          </cell>
          <cell r="S187" t="e">
            <v>#N/A</v>
          </cell>
          <cell r="T187" t="e">
            <v>#N/A</v>
          </cell>
          <cell r="U187" t="e">
            <v>#N/A</v>
          </cell>
          <cell r="V187" t="e">
            <v>#N/A</v>
          </cell>
          <cell r="W187" t="e">
            <v>#N/A</v>
          </cell>
          <cell r="X187" t="e">
            <v>#N/A</v>
          </cell>
          <cell r="AE187" t="e">
            <v>#N/A</v>
          </cell>
          <cell r="AF187" t="e">
            <v>#N/A</v>
          </cell>
          <cell r="AG187" t="e">
            <v>#N/A</v>
          </cell>
          <cell r="AH187" t="e">
            <v>#N/A</v>
          </cell>
          <cell r="AJ187" t="e">
            <v>#N/A</v>
          </cell>
          <cell r="AK187" t="e">
            <v>#N/A</v>
          </cell>
          <cell r="AL187" t="e">
            <v>#N/A</v>
          </cell>
          <cell r="AM187" t="e">
            <v>#N/A</v>
          </cell>
          <cell r="AN187" t="e">
            <v>#N/A</v>
          </cell>
          <cell r="AO187" t="e">
            <v>#N/A</v>
          </cell>
          <cell r="AP187" t="e">
            <v>#N/A</v>
          </cell>
          <cell r="AQ187" t="e">
            <v>#N/A</v>
          </cell>
          <cell r="AT187" t="e">
            <v>#N/A</v>
          </cell>
          <cell r="AU187" t="e">
            <v>#N/A</v>
          </cell>
          <cell r="AV187" t="e">
            <v>#N/A</v>
          </cell>
          <cell r="AW187" t="e">
            <v>#N/A</v>
          </cell>
          <cell r="AX187" t="e">
            <v>#N/A</v>
          </cell>
          <cell r="AY187" t="e">
            <v>#N/A</v>
          </cell>
          <cell r="AZ187" t="e">
            <v>#N/A</v>
          </cell>
          <cell r="BA187" t="e">
            <v>#N/A</v>
          </cell>
        </row>
        <row r="188">
          <cell r="E188" t="e">
            <v>#N/A</v>
          </cell>
          <cell r="F188" t="e">
            <v>#N/A</v>
          </cell>
          <cell r="S188" t="e">
            <v>#N/A</v>
          </cell>
          <cell r="T188" t="e">
            <v>#N/A</v>
          </cell>
          <cell r="U188" t="e">
            <v>#N/A</v>
          </cell>
          <cell r="V188" t="e">
            <v>#N/A</v>
          </cell>
          <cell r="W188" t="e">
            <v>#N/A</v>
          </cell>
          <cell r="X188" t="e">
            <v>#N/A</v>
          </cell>
          <cell r="AE188" t="e">
            <v>#N/A</v>
          </cell>
          <cell r="AF188" t="e">
            <v>#N/A</v>
          </cell>
          <cell r="AG188" t="e">
            <v>#N/A</v>
          </cell>
          <cell r="AH188" t="e">
            <v>#N/A</v>
          </cell>
          <cell r="AJ188" t="e">
            <v>#N/A</v>
          </cell>
          <cell r="AK188" t="e">
            <v>#N/A</v>
          </cell>
          <cell r="AL188" t="e">
            <v>#N/A</v>
          </cell>
          <cell r="AM188" t="e">
            <v>#N/A</v>
          </cell>
          <cell r="AN188" t="e">
            <v>#N/A</v>
          </cell>
          <cell r="AO188" t="e">
            <v>#N/A</v>
          </cell>
          <cell r="AP188" t="e">
            <v>#N/A</v>
          </cell>
          <cell r="AQ188" t="e">
            <v>#N/A</v>
          </cell>
          <cell r="AT188" t="e">
            <v>#N/A</v>
          </cell>
          <cell r="AU188" t="e">
            <v>#N/A</v>
          </cell>
          <cell r="AV188" t="e">
            <v>#N/A</v>
          </cell>
          <cell r="AW188" t="e">
            <v>#N/A</v>
          </cell>
          <cell r="AX188" t="e">
            <v>#N/A</v>
          </cell>
          <cell r="AY188" t="e">
            <v>#N/A</v>
          </cell>
          <cell r="AZ188" t="e">
            <v>#N/A</v>
          </cell>
          <cell r="BA188" t="e">
            <v>#N/A</v>
          </cell>
        </row>
        <row r="189">
          <cell r="E189" t="e">
            <v>#N/A</v>
          </cell>
          <cell r="F189" t="e">
            <v>#N/A</v>
          </cell>
          <cell r="S189" t="e">
            <v>#N/A</v>
          </cell>
          <cell r="T189" t="e">
            <v>#N/A</v>
          </cell>
          <cell r="U189" t="e">
            <v>#N/A</v>
          </cell>
          <cell r="V189" t="e">
            <v>#N/A</v>
          </cell>
          <cell r="W189" t="e">
            <v>#N/A</v>
          </cell>
          <cell r="X189" t="e">
            <v>#N/A</v>
          </cell>
          <cell r="AE189" t="e">
            <v>#N/A</v>
          </cell>
          <cell r="AF189" t="e">
            <v>#N/A</v>
          </cell>
          <cell r="AG189" t="e">
            <v>#N/A</v>
          </cell>
          <cell r="AH189" t="e">
            <v>#N/A</v>
          </cell>
          <cell r="AJ189" t="e">
            <v>#N/A</v>
          </cell>
          <cell r="AK189" t="e">
            <v>#N/A</v>
          </cell>
          <cell r="AL189" t="e">
            <v>#N/A</v>
          </cell>
          <cell r="AM189" t="e">
            <v>#N/A</v>
          </cell>
          <cell r="AN189" t="e">
            <v>#N/A</v>
          </cell>
          <cell r="AO189" t="e">
            <v>#N/A</v>
          </cell>
          <cell r="AP189" t="e">
            <v>#N/A</v>
          </cell>
          <cell r="AQ189" t="e">
            <v>#N/A</v>
          </cell>
          <cell r="AT189" t="e">
            <v>#N/A</v>
          </cell>
          <cell r="AU189" t="e">
            <v>#N/A</v>
          </cell>
          <cell r="AV189" t="e">
            <v>#N/A</v>
          </cell>
          <cell r="AW189" t="e">
            <v>#N/A</v>
          </cell>
          <cell r="AX189" t="e">
            <v>#N/A</v>
          </cell>
          <cell r="AY189" t="e">
            <v>#N/A</v>
          </cell>
          <cell r="AZ189" t="e">
            <v>#N/A</v>
          </cell>
          <cell r="BA189" t="e">
            <v>#N/A</v>
          </cell>
        </row>
        <row r="190">
          <cell r="E190" t="e">
            <v>#N/A</v>
          </cell>
          <cell r="F190" t="e">
            <v>#N/A</v>
          </cell>
          <cell r="S190" t="e">
            <v>#N/A</v>
          </cell>
          <cell r="T190" t="e">
            <v>#N/A</v>
          </cell>
          <cell r="U190" t="e">
            <v>#N/A</v>
          </cell>
          <cell r="V190" t="e">
            <v>#N/A</v>
          </cell>
          <cell r="W190" t="e">
            <v>#N/A</v>
          </cell>
          <cell r="X190" t="e">
            <v>#N/A</v>
          </cell>
          <cell r="AE190" t="e">
            <v>#N/A</v>
          </cell>
          <cell r="AF190" t="e">
            <v>#N/A</v>
          </cell>
          <cell r="AG190" t="e">
            <v>#N/A</v>
          </cell>
          <cell r="AH190" t="e">
            <v>#N/A</v>
          </cell>
          <cell r="AJ190" t="e">
            <v>#N/A</v>
          </cell>
          <cell r="AK190" t="e">
            <v>#N/A</v>
          </cell>
          <cell r="AL190" t="e">
            <v>#N/A</v>
          </cell>
          <cell r="AM190" t="e">
            <v>#N/A</v>
          </cell>
          <cell r="AN190" t="e">
            <v>#N/A</v>
          </cell>
          <cell r="AO190" t="e">
            <v>#N/A</v>
          </cell>
          <cell r="AP190" t="e">
            <v>#N/A</v>
          </cell>
          <cell r="AQ190" t="e">
            <v>#N/A</v>
          </cell>
          <cell r="AT190" t="e">
            <v>#N/A</v>
          </cell>
          <cell r="AU190" t="e">
            <v>#N/A</v>
          </cell>
          <cell r="AV190" t="e">
            <v>#N/A</v>
          </cell>
          <cell r="AW190" t="e">
            <v>#N/A</v>
          </cell>
          <cell r="AX190" t="e">
            <v>#N/A</v>
          </cell>
          <cell r="AY190" t="e">
            <v>#N/A</v>
          </cell>
          <cell r="AZ190" t="e">
            <v>#N/A</v>
          </cell>
          <cell r="BA190" t="e">
            <v>#N/A</v>
          </cell>
        </row>
        <row r="191">
          <cell r="E191" t="e">
            <v>#N/A</v>
          </cell>
          <cell r="F191" t="e">
            <v>#N/A</v>
          </cell>
          <cell r="S191" t="e">
            <v>#N/A</v>
          </cell>
          <cell r="T191" t="e">
            <v>#N/A</v>
          </cell>
          <cell r="U191" t="e">
            <v>#N/A</v>
          </cell>
          <cell r="V191" t="e">
            <v>#N/A</v>
          </cell>
          <cell r="W191" t="e">
            <v>#N/A</v>
          </cell>
          <cell r="X191" t="e">
            <v>#N/A</v>
          </cell>
          <cell r="AE191" t="e">
            <v>#N/A</v>
          </cell>
          <cell r="AF191" t="e">
            <v>#N/A</v>
          </cell>
          <cell r="AG191" t="e">
            <v>#N/A</v>
          </cell>
          <cell r="AH191" t="e">
            <v>#N/A</v>
          </cell>
          <cell r="AJ191" t="e">
            <v>#N/A</v>
          </cell>
          <cell r="AK191" t="e">
            <v>#N/A</v>
          </cell>
          <cell r="AL191" t="e">
            <v>#N/A</v>
          </cell>
          <cell r="AM191" t="e">
            <v>#N/A</v>
          </cell>
          <cell r="AN191" t="e">
            <v>#N/A</v>
          </cell>
          <cell r="AO191" t="e">
            <v>#N/A</v>
          </cell>
          <cell r="AP191" t="e">
            <v>#N/A</v>
          </cell>
          <cell r="AQ191" t="e">
            <v>#N/A</v>
          </cell>
          <cell r="AT191" t="e">
            <v>#N/A</v>
          </cell>
          <cell r="AU191" t="e">
            <v>#N/A</v>
          </cell>
          <cell r="AV191" t="e">
            <v>#N/A</v>
          </cell>
          <cell r="AW191" t="e">
            <v>#N/A</v>
          </cell>
          <cell r="AX191" t="e">
            <v>#N/A</v>
          </cell>
          <cell r="AY191" t="e">
            <v>#N/A</v>
          </cell>
          <cell r="AZ191" t="e">
            <v>#N/A</v>
          </cell>
          <cell r="BA191" t="e">
            <v>#N/A</v>
          </cell>
        </row>
        <row r="192">
          <cell r="E192" t="e">
            <v>#N/A</v>
          </cell>
          <cell r="F192" t="e">
            <v>#N/A</v>
          </cell>
          <cell r="S192" t="e">
            <v>#N/A</v>
          </cell>
          <cell r="T192" t="e">
            <v>#N/A</v>
          </cell>
          <cell r="U192" t="e">
            <v>#N/A</v>
          </cell>
          <cell r="V192" t="e">
            <v>#N/A</v>
          </cell>
          <cell r="W192" t="e">
            <v>#N/A</v>
          </cell>
          <cell r="X192" t="e">
            <v>#N/A</v>
          </cell>
          <cell r="AE192" t="e">
            <v>#N/A</v>
          </cell>
          <cell r="AF192" t="e">
            <v>#N/A</v>
          </cell>
          <cell r="AG192" t="e">
            <v>#N/A</v>
          </cell>
          <cell r="AH192" t="e">
            <v>#N/A</v>
          </cell>
          <cell r="AJ192" t="e">
            <v>#N/A</v>
          </cell>
          <cell r="AK192" t="e">
            <v>#N/A</v>
          </cell>
          <cell r="AL192" t="e">
            <v>#N/A</v>
          </cell>
          <cell r="AM192" t="e">
            <v>#N/A</v>
          </cell>
          <cell r="AN192" t="e">
            <v>#N/A</v>
          </cell>
          <cell r="AO192" t="e">
            <v>#N/A</v>
          </cell>
          <cell r="AP192" t="e">
            <v>#N/A</v>
          </cell>
          <cell r="AQ192" t="e">
            <v>#N/A</v>
          </cell>
          <cell r="AT192" t="e">
            <v>#N/A</v>
          </cell>
          <cell r="AU192" t="e">
            <v>#N/A</v>
          </cell>
          <cell r="AV192" t="e">
            <v>#N/A</v>
          </cell>
          <cell r="AW192" t="e">
            <v>#N/A</v>
          </cell>
          <cell r="AX192" t="e">
            <v>#N/A</v>
          </cell>
          <cell r="AY192" t="e">
            <v>#N/A</v>
          </cell>
          <cell r="AZ192" t="e">
            <v>#N/A</v>
          </cell>
          <cell r="BA192" t="e">
            <v>#N/A</v>
          </cell>
        </row>
        <row r="193">
          <cell r="E193" t="e">
            <v>#N/A</v>
          </cell>
          <cell r="F193" t="e">
            <v>#N/A</v>
          </cell>
          <cell r="S193" t="e">
            <v>#N/A</v>
          </cell>
          <cell r="T193" t="e">
            <v>#N/A</v>
          </cell>
          <cell r="U193" t="e">
            <v>#N/A</v>
          </cell>
          <cell r="V193" t="e">
            <v>#N/A</v>
          </cell>
          <cell r="W193" t="e">
            <v>#N/A</v>
          </cell>
          <cell r="X193" t="e">
            <v>#N/A</v>
          </cell>
          <cell r="AE193" t="e">
            <v>#N/A</v>
          </cell>
          <cell r="AF193" t="e">
            <v>#N/A</v>
          </cell>
          <cell r="AG193" t="e">
            <v>#N/A</v>
          </cell>
          <cell r="AH193" t="e">
            <v>#N/A</v>
          </cell>
          <cell r="AJ193" t="e">
            <v>#N/A</v>
          </cell>
          <cell r="AK193" t="e">
            <v>#N/A</v>
          </cell>
          <cell r="AL193" t="e">
            <v>#N/A</v>
          </cell>
          <cell r="AM193" t="e">
            <v>#N/A</v>
          </cell>
          <cell r="AN193" t="e">
            <v>#N/A</v>
          </cell>
          <cell r="AO193" t="e">
            <v>#N/A</v>
          </cell>
          <cell r="AP193" t="e">
            <v>#N/A</v>
          </cell>
          <cell r="AQ193" t="e">
            <v>#N/A</v>
          </cell>
          <cell r="AT193" t="e">
            <v>#N/A</v>
          </cell>
          <cell r="AU193" t="e">
            <v>#N/A</v>
          </cell>
          <cell r="AV193" t="e">
            <v>#N/A</v>
          </cell>
          <cell r="AW193" t="e">
            <v>#N/A</v>
          </cell>
          <cell r="AX193" t="e">
            <v>#N/A</v>
          </cell>
          <cell r="AY193" t="e">
            <v>#N/A</v>
          </cell>
          <cell r="AZ193" t="e">
            <v>#N/A</v>
          </cell>
          <cell r="BA193" t="e">
            <v>#N/A</v>
          </cell>
        </row>
        <row r="194">
          <cell r="E194" t="e">
            <v>#N/A</v>
          </cell>
          <cell r="F194" t="e">
            <v>#N/A</v>
          </cell>
          <cell r="S194" t="e">
            <v>#N/A</v>
          </cell>
          <cell r="T194" t="e">
            <v>#N/A</v>
          </cell>
          <cell r="U194" t="e">
            <v>#N/A</v>
          </cell>
          <cell r="V194" t="e">
            <v>#N/A</v>
          </cell>
          <cell r="W194" t="e">
            <v>#N/A</v>
          </cell>
          <cell r="X194" t="e">
            <v>#N/A</v>
          </cell>
          <cell r="AE194" t="e">
            <v>#N/A</v>
          </cell>
          <cell r="AF194" t="e">
            <v>#N/A</v>
          </cell>
          <cell r="AG194" t="e">
            <v>#N/A</v>
          </cell>
          <cell r="AH194" t="e">
            <v>#N/A</v>
          </cell>
          <cell r="AJ194" t="e">
            <v>#N/A</v>
          </cell>
          <cell r="AK194" t="e">
            <v>#N/A</v>
          </cell>
          <cell r="AL194" t="e">
            <v>#N/A</v>
          </cell>
          <cell r="AM194" t="e">
            <v>#N/A</v>
          </cell>
          <cell r="AN194" t="e">
            <v>#N/A</v>
          </cell>
          <cell r="AO194" t="e">
            <v>#N/A</v>
          </cell>
          <cell r="AP194" t="e">
            <v>#N/A</v>
          </cell>
          <cell r="AQ194" t="e">
            <v>#N/A</v>
          </cell>
          <cell r="AT194" t="e">
            <v>#N/A</v>
          </cell>
          <cell r="AU194" t="e">
            <v>#N/A</v>
          </cell>
          <cell r="AV194" t="e">
            <v>#N/A</v>
          </cell>
          <cell r="AW194" t="e">
            <v>#N/A</v>
          </cell>
          <cell r="AX194" t="e">
            <v>#N/A</v>
          </cell>
          <cell r="AY194" t="e">
            <v>#N/A</v>
          </cell>
          <cell r="AZ194" t="e">
            <v>#N/A</v>
          </cell>
          <cell r="BA194" t="e">
            <v>#N/A</v>
          </cell>
        </row>
        <row r="195">
          <cell r="E195" t="e">
            <v>#N/A</v>
          </cell>
          <cell r="F195" t="e">
            <v>#N/A</v>
          </cell>
          <cell r="S195" t="e">
            <v>#N/A</v>
          </cell>
          <cell r="T195" t="e">
            <v>#N/A</v>
          </cell>
          <cell r="U195" t="e">
            <v>#N/A</v>
          </cell>
          <cell r="V195" t="e">
            <v>#N/A</v>
          </cell>
          <cell r="W195" t="e">
            <v>#N/A</v>
          </cell>
          <cell r="X195" t="e">
            <v>#N/A</v>
          </cell>
          <cell r="AE195" t="e">
            <v>#N/A</v>
          </cell>
          <cell r="AF195" t="e">
            <v>#N/A</v>
          </cell>
          <cell r="AG195" t="e">
            <v>#N/A</v>
          </cell>
          <cell r="AH195" t="e">
            <v>#N/A</v>
          </cell>
          <cell r="AJ195" t="e">
            <v>#N/A</v>
          </cell>
          <cell r="AK195" t="e">
            <v>#N/A</v>
          </cell>
          <cell r="AL195" t="e">
            <v>#N/A</v>
          </cell>
          <cell r="AM195" t="e">
            <v>#N/A</v>
          </cell>
          <cell r="AN195" t="e">
            <v>#N/A</v>
          </cell>
          <cell r="AO195" t="e">
            <v>#N/A</v>
          </cell>
          <cell r="AP195" t="e">
            <v>#N/A</v>
          </cell>
          <cell r="AQ195" t="e">
            <v>#N/A</v>
          </cell>
          <cell r="AT195" t="e">
            <v>#N/A</v>
          </cell>
          <cell r="AU195" t="e">
            <v>#N/A</v>
          </cell>
          <cell r="AV195" t="e">
            <v>#N/A</v>
          </cell>
          <cell r="AW195" t="e">
            <v>#N/A</v>
          </cell>
          <cell r="AX195" t="e">
            <v>#N/A</v>
          </cell>
          <cell r="AY195" t="e">
            <v>#N/A</v>
          </cell>
          <cell r="AZ195" t="e">
            <v>#N/A</v>
          </cell>
          <cell r="BA195" t="e">
            <v>#N/A</v>
          </cell>
        </row>
        <row r="196">
          <cell r="E196" t="e">
            <v>#N/A</v>
          </cell>
          <cell r="F196" t="e">
            <v>#N/A</v>
          </cell>
          <cell r="S196" t="e">
            <v>#N/A</v>
          </cell>
          <cell r="T196" t="e">
            <v>#N/A</v>
          </cell>
          <cell r="U196" t="e">
            <v>#N/A</v>
          </cell>
          <cell r="V196" t="e">
            <v>#N/A</v>
          </cell>
          <cell r="W196" t="e">
            <v>#N/A</v>
          </cell>
          <cell r="X196" t="e">
            <v>#N/A</v>
          </cell>
          <cell r="AE196" t="e">
            <v>#N/A</v>
          </cell>
          <cell r="AF196" t="e">
            <v>#N/A</v>
          </cell>
          <cell r="AG196" t="e">
            <v>#N/A</v>
          </cell>
          <cell r="AH196" t="e">
            <v>#N/A</v>
          </cell>
          <cell r="AJ196" t="e">
            <v>#N/A</v>
          </cell>
          <cell r="AK196" t="e">
            <v>#N/A</v>
          </cell>
          <cell r="AL196" t="e">
            <v>#N/A</v>
          </cell>
          <cell r="AM196" t="e">
            <v>#N/A</v>
          </cell>
          <cell r="AN196" t="e">
            <v>#N/A</v>
          </cell>
          <cell r="AO196" t="e">
            <v>#N/A</v>
          </cell>
          <cell r="AP196" t="e">
            <v>#N/A</v>
          </cell>
          <cell r="AQ196" t="e">
            <v>#N/A</v>
          </cell>
          <cell r="AT196" t="e">
            <v>#N/A</v>
          </cell>
          <cell r="AU196" t="e">
            <v>#N/A</v>
          </cell>
          <cell r="AV196" t="e">
            <v>#N/A</v>
          </cell>
          <cell r="AW196" t="e">
            <v>#N/A</v>
          </cell>
          <cell r="AX196" t="e">
            <v>#N/A</v>
          </cell>
          <cell r="AY196" t="e">
            <v>#N/A</v>
          </cell>
          <cell r="AZ196" t="e">
            <v>#N/A</v>
          </cell>
          <cell r="BA196" t="e">
            <v>#N/A</v>
          </cell>
        </row>
        <row r="197">
          <cell r="E197" t="e">
            <v>#N/A</v>
          </cell>
          <cell r="F197" t="e">
            <v>#N/A</v>
          </cell>
          <cell r="S197" t="e">
            <v>#N/A</v>
          </cell>
          <cell r="T197" t="e">
            <v>#N/A</v>
          </cell>
          <cell r="U197" t="e">
            <v>#N/A</v>
          </cell>
          <cell r="V197" t="e">
            <v>#N/A</v>
          </cell>
          <cell r="W197" t="e">
            <v>#N/A</v>
          </cell>
          <cell r="X197" t="e">
            <v>#N/A</v>
          </cell>
          <cell r="AE197" t="e">
            <v>#N/A</v>
          </cell>
          <cell r="AF197" t="e">
            <v>#N/A</v>
          </cell>
          <cell r="AG197" t="e">
            <v>#N/A</v>
          </cell>
          <cell r="AH197" t="e">
            <v>#N/A</v>
          </cell>
          <cell r="AJ197" t="e">
            <v>#N/A</v>
          </cell>
          <cell r="AK197" t="e">
            <v>#N/A</v>
          </cell>
          <cell r="AL197" t="e">
            <v>#N/A</v>
          </cell>
          <cell r="AM197" t="e">
            <v>#N/A</v>
          </cell>
          <cell r="AN197" t="e">
            <v>#N/A</v>
          </cell>
          <cell r="AO197" t="e">
            <v>#N/A</v>
          </cell>
          <cell r="AP197" t="e">
            <v>#N/A</v>
          </cell>
          <cell r="AQ197" t="e">
            <v>#N/A</v>
          </cell>
          <cell r="AT197" t="e">
            <v>#N/A</v>
          </cell>
          <cell r="AU197" t="e">
            <v>#N/A</v>
          </cell>
          <cell r="AV197" t="e">
            <v>#N/A</v>
          </cell>
          <cell r="AW197" t="e">
            <v>#N/A</v>
          </cell>
          <cell r="AX197" t="e">
            <v>#N/A</v>
          </cell>
          <cell r="AY197" t="e">
            <v>#N/A</v>
          </cell>
          <cell r="AZ197" t="e">
            <v>#N/A</v>
          </cell>
          <cell r="BA197" t="e">
            <v>#N/A</v>
          </cell>
        </row>
        <row r="198">
          <cell r="E198" t="e">
            <v>#N/A</v>
          </cell>
          <cell r="F198" t="e">
            <v>#N/A</v>
          </cell>
          <cell r="S198" t="e">
            <v>#N/A</v>
          </cell>
          <cell r="T198" t="e">
            <v>#N/A</v>
          </cell>
          <cell r="U198" t="e">
            <v>#N/A</v>
          </cell>
          <cell r="V198" t="e">
            <v>#N/A</v>
          </cell>
          <cell r="W198" t="e">
            <v>#N/A</v>
          </cell>
          <cell r="X198" t="e">
            <v>#N/A</v>
          </cell>
          <cell r="AE198" t="e">
            <v>#N/A</v>
          </cell>
          <cell r="AF198" t="e">
            <v>#N/A</v>
          </cell>
          <cell r="AG198" t="e">
            <v>#N/A</v>
          </cell>
          <cell r="AH198" t="e">
            <v>#N/A</v>
          </cell>
          <cell r="AJ198" t="e">
            <v>#N/A</v>
          </cell>
          <cell r="AK198" t="e">
            <v>#N/A</v>
          </cell>
          <cell r="AL198" t="e">
            <v>#N/A</v>
          </cell>
          <cell r="AM198" t="e">
            <v>#N/A</v>
          </cell>
          <cell r="AN198" t="e">
            <v>#N/A</v>
          </cell>
          <cell r="AO198" t="e">
            <v>#N/A</v>
          </cell>
          <cell r="AP198" t="e">
            <v>#N/A</v>
          </cell>
          <cell r="AQ198" t="e">
            <v>#N/A</v>
          </cell>
          <cell r="AT198" t="e">
            <v>#N/A</v>
          </cell>
          <cell r="AU198" t="e">
            <v>#N/A</v>
          </cell>
          <cell r="AV198" t="e">
            <v>#N/A</v>
          </cell>
          <cell r="AW198" t="e">
            <v>#N/A</v>
          </cell>
          <cell r="AX198" t="e">
            <v>#N/A</v>
          </cell>
          <cell r="AY198" t="e">
            <v>#N/A</v>
          </cell>
          <cell r="AZ198" t="e">
            <v>#N/A</v>
          </cell>
          <cell r="BA198" t="e">
            <v>#N/A</v>
          </cell>
        </row>
        <row r="199">
          <cell r="E199" t="e">
            <v>#N/A</v>
          </cell>
          <cell r="F199" t="e">
            <v>#N/A</v>
          </cell>
          <cell r="S199" t="e">
            <v>#N/A</v>
          </cell>
          <cell r="T199" t="e">
            <v>#N/A</v>
          </cell>
          <cell r="U199" t="e">
            <v>#N/A</v>
          </cell>
          <cell r="V199" t="e">
            <v>#N/A</v>
          </cell>
          <cell r="W199" t="e">
            <v>#N/A</v>
          </cell>
          <cell r="X199" t="e">
            <v>#N/A</v>
          </cell>
          <cell r="AE199" t="e">
            <v>#N/A</v>
          </cell>
          <cell r="AF199" t="e">
            <v>#N/A</v>
          </cell>
          <cell r="AG199" t="e">
            <v>#N/A</v>
          </cell>
          <cell r="AH199" t="e">
            <v>#N/A</v>
          </cell>
          <cell r="AJ199" t="e">
            <v>#N/A</v>
          </cell>
          <cell r="AK199" t="e">
            <v>#N/A</v>
          </cell>
          <cell r="AL199" t="e">
            <v>#N/A</v>
          </cell>
          <cell r="AM199" t="e">
            <v>#N/A</v>
          </cell>
          <cell r="AN199" t="e">
            <v>#N/A</v>
          </cell>
          <cell r="AO199" t="e">
            <v>#N/A</v>
          </cell>
          <cell r="AP199" t="e">
            <v>#N/A</v>
          </cell>
          <cell r="AQ199" t="e">
            <v>#N/A</v>
          </cell>
          <cell r="AT199" t="e">
            <v>#N/A</v>
          </cell>
          <cell r="AU199" t="e">
            <v>#N/A</v>
          </cell>
          <cell r="AV199" t="e">
            <v>#N/A</v>
          </cell>
          <cell r="AW199" t="e">
            <v>#N/A</v>
          </cell>
          <cell r="AX199" t="e">
            <v>#N/A</v>
          </cell>
          <cell r="AY199" t="e">
            <v>#N/A</v>
          </cell>
          <cell r="AZ199" t="e">
            <v>#N/A</v>
          </cell>
          <cell r="BA199" t="e">
            <v>#N/A</v>
          </cell>
        </row>
        <row r="200">
          <cell r="E200" t="e">
            <v>#N/A</v>
          </cell>
          <cell r="F200" t="e">
            <v>#N/A</v>
          </cell>
          <cell r="S200" t="e">
            <v>#N/A</v>
          </cell>
          <cell r="T200" t="e">
            <v>#N/A</v>
          </cell>
          <cell r="U200" t="e">
            <v>#N/A</v>
          </cell>
          <cell r="V200" t="e">
            <v>#N/A</v>
          </cell>
          <cell r="W200" t="e">
            <v>#N/A</v>
          </cell>
          <cell r="X200" t="e">
            <v>#N/A</v>
          </cell>
          <cell r="AE200" t="e">
            <v>#N/A</v>
          </cell>
          <cell r="AF200" t="e">
            <v>#N/A</v>
          </cell>
          <cell r="AG200" t="e">
            <v>#N/A</v>
          </cell>
          <cell r="AH200" t="e">
            <v>#N/A</v>
          </cell>
          <cell r="AJ200" t="e">
            <v>#N/A</v>
          </cell>
          <cell r="AK200" t="e">
            <v>#N/A</v>
          </cell>
          <cell r="AL200" t="e">
            <v>#N/A</v>
          </cell>
          <cell r="AM200" t="e">
            <v>#N/A</v>
          </cell>
          <cell r="AN200" t="e">
            <v>#N/A</v>
          </cell>
          <cell r="AO200" t="e">
            <v>#N/A</v>
          </cell>
          <cell r="AP200" t="e">
            <v>#N/A</v>
          </cell>
          <cell r="AQ200" t="e">
            <v>#N/A</v>
          </cell>
          <cell r="AT200" t="e">
            <v>#N/A</v>
          </cell>
          <cell r="AU200" t="e">
            <v>#N/A</v>
          </cell>
          <cell r="AV200" t="e">
            <v>#N/A</v>
          </cell>
          <cell r="AW200" t="e">
            <v>#N/A</v>
          </cell>
          <cell r="AX200" t="e">
            <v>#N/A</v>
          </cell>
          <cell r="AY200" t="e">
            <v>#N/A</v>
          </cell>
          <cell r="AZ200" t="e">
            <v>#N/A</v>
          </cell>
          <cell r="BA200" t="e">
            <v>#N/A</v>
          </cell>
        </row>
        <row r="201">
          <cell r="E201" t="e">
            <v>#N/A</v>
          </cell>
          <cell r="F201" t="e">
            <v>#N/A</v>
          </cell>
          <cell r="S201" t="e">
            <v>#N/A</v>
          </cell>
          <cell r="T201" t="e">
            <v>#N/A</v>
          </cell>
          <cell r="U201" t="e">
            <v>#N/A</v>
          </cell>
          <cell r="V201" t="e">
            <v>#N/A</v>
          </cell>
          <cell r="W201" t="e">
            <v>#N/A</v>
          </cell>
          <cell r="X201" t="e">
            <v>#N/A</v>
          </cell>
          <cell r="AE201" t="e">
            <v>#N/A</v>
          </cell>
          <cell r="AF201" t="e">
            <v>#N/A</v>
          </cell>
          <cell r="AG201" t="e">
            <v>#N/A</v>
          </cell>
          <cell r="AH201" t="e">
            <v>#N/A</v>
          </cell>
          <cell r="AJ201" t="e">
            <v>#N/A</v>
          </cell>
          <cell r="AK201" t="e">
            <v>#N/A</v>
          </cell>
          <cell r="AL201" t="e">
            <v>#N/A</v>
          </cell>
          <cell r="AM201" t="e">
            <v>#N/A</v>
          </cell>
          <cell r="AN201" t="e">
            <v>#N/A</v>
          </cell>
          <cell r="AO201" t="e">
            <v>#N/A</v>
          </cell>
          <cell r="AP201" t="e">
            <v>#N/A</v>
          </cell>
          <cell r="AQ201" t="e">
            <v>#N/A</v>
          </cell>
          <cell r="AT201" t="e">
            <v>#N/A</v>
          </cell>
          <cell r="AU201" t="e">
            <v>#N/A</v>
          </cell>
          <cell r="AV201" t="e">
            <v>#N/A</v>
          </cell>
          <cell r="AW201" t="e">
            <v>#N/A</v>
          </cell>
          <cell r="AX201" t="e">
            <v>#N/A</v>
          </cell>
          <cell r="AY201" t="e">
            <v>#N/A</v>
          </cell>
          <cell r="AZ201" t="e">
            <v>#N/A</v>
          </cell>
          <cell r="BA201" t="e">
            <v>#N/A</v>
          </cell>
        </row>
        <row r="202">
          <cell r="E202" t="e">
            <v>#N/A</v>
          </cell>
          <cell r="F202" t="e">
            <v>#N/A</v>
          </cell>
          <cell r="S202" t="e">
            <v>#N/A</v>
          </cell>
          <cell r="T202" t="e">
            <v>#N/A</v>
          </cell>
          <cell r="U202" t="e">
            <v>#N/A</v>
          </cell>
          <cell r="V202" t="e">
            <v>#N/A</v>
          </cell>
          <cell r="W202" t="e">
            <v>#N/A</v>
          </cell>
          <cell r="X202" t="e">
            <v>#N/A</v>
          </cell>
          <cell r="AE202" t="e">
            <v>#N/A</v>
          </cell>
          <cell r="AF202" t="e">
            <v>#N/A</v>
          </cell>
          <cell r="AG202" t="e">
            <v>#N/A</v>
          </cell>
          <cell r="AH202" t="e">
            <v>#N/A</v>
          </cell>
          <cell r="AJ202" t="e">
            <v>#N/A</v>
          </cell>
          <cell r="AK202" t="e">
            <v>#N/A</v>
          </cell>
          <cell r="AL202" t="e">
            <v>#N/A</v>
          </cell>
          <cell r="AM202" t="e">
            <v>#N/A</v>
          </cell>
          <cell r="AN202" t="e">
            <v>#N/A</v>
          </cell>
          <cell r="AO202" t="e">
            <v>#N/A</v>
          </cell>
          <cell r="AP202" t="e">
            <v>#N/A</v>
          </cell>
          <cell r="AQ202" t="e">
            <v>#N/A</v>
          </cell>
          <cell r="AT202" t="e">
            <v>#N/A</v>
          </cell>
          <cell r="AU202" t="e">
            <v>#N/A</v>
          </cell>
          <cell r="AV202" t="e">
            <v>#N/A</v>
          </cell>
          <cell r="AW202" t="e">
            <v>#N/A</v>
          </cell>
          <cell r="AX202" t="e">
            <v>#N/A</v>
          </cell>
          <cell r="AY202" t="e">
            <v>#N/A</v>
          </cell>
          <cell r="AZ202" t="e">
            <v>#N/A</v>
          </cell>
          <cell r="BA202" t="e">
            <v>#N/A</v>
          </cell>
        </row>
        <row r="203">
          <cell r="E203" t="e">
            <v>#N/A</v>
          </cell>
          <cell r="F203" t="e">
            <v>#N/A</v>
          </cell>
          <cell r="S203" t="e">
            <v>#N/A</v>
          </cell>
          <cell r="T203" t="e">
            <v>#N/A</v>
          </cell>
          <cell r="U203" t="e">
            <v>#N/A</v>
          </cell>
          <cell r="V203" t="e">
            <v>#N/A</v>
          </cell>
          <cell r="W203" t="e">
            <v>#N/A</v>
          </cell>
          <cell r="X203" t="e">
            <v>#N/A</v>
          </cell>
          <cell r="AE203" t="e">
            <v>#N/A</v>
          </cell>
          <cell r="AF203" t="e">
            <v>#N/A</v>
          </cell>
          <cell r="AG203" t="e">
            <v>#N/A</v>
          </cell>
          <cell r="AH203" t="e">
            <v>#N/A</v>
          </cell>
          <cell r="AJ203" t="e">
            <v>#N/A</v>
          </cell>
          <cell r="AK203" t="e">
            <v>#N/A</v>
          </cell>
          <cell r="AL203" t="e">
            <v>#N/A</v>
          </cell>
          <cell r="AM203" t="e">
            <v>#N/A</v>
          </cell>
          <cell r="AN203" t="e">
            <v>#N/A</v>
          </cell>
          <cell r="AO203" t="e">
            <v>#N/A</v>
          </cell>
          <cell r="AP203" t="e">
            <v>#N/A</v>
          </cell>
          <cell r="AQ203" t="e">
            <v>#N/A</v>
          </cell>
          <cell r="AT203" t="e">
            <v>#N/A</v>
          </cell>
          <cell r="AU203" t="e">
            <v>#N/A</v>
          </cell>
          <cell r="AV203" t="e">
            <v>#N/A</v>
          </cell>
          <cell r="AW203" t="e">
            <v>#N/A</v>
          </cell>
          <cell r="AX203" t="e">
            <v>#N/A</v>
          </cell>
          <cell r="AY203" t="e">
            <v>#N/A</v>
          </cell>
          <cell r="AZ203" t="e">
            <v>#N/A</v>
          </cell>
          <cell r="BA203" t="e">
            <v>#N/A</v>
          </cell>
        </row>
        <row r="204">
          <cell r="E204" t="e">
            <v>#N/A</v>
          </cell>
          <cell r="F204" t="e">
            <v>#N/A</v>
          </cell>
          <cell r="S204" t="e">
            <v>#N/A</v>
          </cell>
          <cell r="T204" t="e">
            <v>#N/A</v>
          </cell>
          <cell r="U204" t="e">
            <v>#N/A</v>
          </cell>
          <cell r="V204" t="e">
            <v>#N/A</v>
          </cell>
          <cell r="W204" t="e">
            <v>#N/A</v>
          </cell>
          <cell r="X204" t="e">
            <v>#N/A</v>
          </cell>
          <cell r="AE204" t="e">
            <v>#N/A</v>
          </cell>
          <cell r="AF204" t="e">
            <v>#N/A</v>
          </cell>
          <cell r="AG204" t="e">
            <v>#N/A</v>
          </cell>
          <cell r="AH204" t="e">
            <v>#N/A</v>
          </cell>
          <cell r="AJ204" t="e">
            <v>#N/A</v>
          </cell>
          <cell r="AK204" t="e">
            <v>#N/A</v>
          </cell>
          <cell r="AL204" t="e">
            <v>#N/A</v>
          </cell>
          <cell r="AM204" t="e">
            <v>#N/A</v>
          </cell>
          <cell r="AN204" t="e">
            <v>#N/A</v>
          </cell>
          <cell r="AO204" t="e">
            <v>#N/A</v>
          </cell>
          <cell r="AP204" t="e">
            <v>#N/A</v>
          </cell>
          <cell r="AQ204" t="e">
            <v>#N/A</v>
          </cell>
          <cell r="AT204" t="e">
            <v>#N/A</v>
          </cell>
          <cell r="AU204" t="e">
            <v>#N/A</v>
          </cell>
          <cell r="AV204" t="e">
            <v>#N/A</v>
          </cell>
          <cell r="AW204" t="e">
            <v>#N/A</v>
          </cell>
          <cell r="AX204" t="e">
            <v>#N/A</v>
          </cell>
          <cell r="AY204" t="e">
            <v>#N/A</v>
          </cell>
          <cell r="AZ204" t="e">
            <v>#N/A</v>
          </cell>
          <cell r="BA204" t="e">
            <v>#N/A</v>
          </cell>
        </row>
        <row r="205">
          <cell r="E205" t="e">
            <v>#N/A</v>
          </cell>
          <cell r="F205" t="e">
            <v>#N/A</v>
          </cell>
          <cell r="S205" t="e">
            <v>#N/A</v>
          </cell>
          <cell r="T205" t="e">
            <v>#N/A</v>
          </cell>
          <cell r="U205" t="e">
            <v>#N/A</v>
          </cell>
          <cell r="V205" t="e">
            <v>#N/A</v>
          </cell>
          <cell r="W205" t="e">
            <v>#N/A</v>
          </cell>
          <cell r="X205" t="e">
            <v>#N/A</v>
          </cell>
          <cell r="AE205" t="e">
            <v>#N/A</v>
          </cell>
          <cell r="AF205" t="e">
            <v>#N/A</v>
          </cell>
          <cell r="AG205" t="e">
            <v>#N/A</v>
          </cell>
          <cell r="AH205" t="e">
            <v>#N/A</v>
          </cell>
          <cell r="AJ205" t="e">
            <v>#N/A</v>
          </cell>
          <cell r="AK205" t="e">
            <v>#N/A</v>
          </cell>
          <cell r="AL205" t="e">
            <v>#N/A</v>
          </cell>
          <cell r="AM205" t="e">
            <v>#N/A</v>
          </cell>
          <cell r="AN205" t="e">
            <v>#N/A</v>
          </cell>
          <cell r="AO205" t="e">
            <v>#N/A</v>
          </cell>
          <cell r="AP205" t="e">
            <v>#N/A</v>
          </cell>
          <cell r="AQ205" t="e">
            <v>#N/A</v>
          </cell>
          <cell r="AT205" t="e">
            <v>#N/A</v>
          </cell>
          <cell r="AU205" t="e">
            <v>#N/A</v>
          </cell>
          <cell r="AV205" t="e">
            <v>#N/A</v>
          </cell>
          <cell r="AW205" t="e">
            <v>#N/A</v>
          </cell>
          <cell r="AX205" t="e">
            <v>#N/A</v>
          </cell>
          <cell r="AY205" t="e">
            <v>#N/A</v>
          </cell>
          <cell r="AZ205" t="e">
            <v>#N/A</v>
          </cell>
          <cell r="BA205" t="e">
            <v>#N/A</v>
          </cell>
        </row>
        <row r="206">
          <cell r="E206" t="e">
            <v>#N/A</v>
          </cell>
          <cell r="F206" t="e">
            <v>#N/A</v>
          </cell>
          <cell r="S206" t="e">
            <v>#N/A</v>
          </cell>
          <cell r="T206" t="e">
            <v>#N/A</v>
          </cell>
          <cell r="U206" t="e">
            <v>#N/A</v>
          </cell>
          <cell r="V206" t="e">
            <v>#N/A</v>
          </cell>
          <cell r="W206" t="e">
            <v>#N/A</v>
          </cell>
          <cell r="X206" t="e">
            <v>#N/A</v>
          </cell>
          <cell r="AE206" t="e">
            <v>#N/A</v>
          </cell>
          <cell r="AF206" t="e">
            <v>#N/A</v>
          </cell>
          <cell r="AG206" t="e">
            <v>#N/A</v>
          </cell>
          <cell r="AH206" t="e">
            <v>#N/A</v>
          </cell>
          <cell r="AJ206" t="e">
            <v>#N/A</v>
          </cell>
          <cell r="AK206" t="e">
            <v>#N/A</v>
          </cell>
          <cell r="AL206" t="e">
            <v>#N/A</v>
          </cell>
          <cell r="AM206" t="e">
            <v>#N/A</v>
          </cell>
          <cell r="AN206" t="e">
            <v>#N/A</v>
          </cell>
          <cell r="AO206" t="e">
            <v>#N/A</v>
          </cell>
          <cell r="AP206" t="e">
            <v>#N/A</v>
          </cell>
          <cell r="AQ206" t="e">
            <v>#N/A</v>
          </cell>
          <cell r="AT206" t="e">
            <v>#N/A</v>
          </cell>
          <cell r="AU206" t="e">
            <v>#N/A</v>
          </cell>
          <cell r="AV206" t="e">
            <v>#N/A</v>
          </cell>
          <cell r="AW206" t="e">
            <v>#N/A</v>
          </cell>
          <cell r="AX206" t="e">
            <v>#N/A</v>
          </cell>
          <cell r="AY206" t="e">
            <v>#N/A</v>
          </cell>
          <cell r="AZ206" t="e">
            <v>#N/A</v>
          </cell>
          <cell r="BA206" t="e">
            <v>#N/A</v>
          </cell>
        </row>
        <row r="207">
          <cell r="E207" t="e">
            <v>#N/A</v>
          </cell>
          <cell r="F207" t="e">
            <v>#N/A</v>
          </cell>
          <cell r="S207" t="e">
            <v>#N/A</v>
          </cell>
          <cell r="T207" t="e">
            <v>#N/A</v>
          </cell>
          <cell r="U207" t="e">
            <v>#N/A</v>
          </cell>
          <cell r="V207" t="e">
            <v>#N/A</v>
          </cell>
          <cell r="W207" t="e">
            <v>#N/A</v>
          </cell>
          <cell r="X207" t="e">
            <v>#N/A</v>
          </cell>
          <cell r="AE207" t="e">
            <v>#N/A</v>
          </cell>
          <cell r="AF207" t="e">
            <v>#N/A</v>
          </cell>
          <cell r="AG207" t="e">
            <v>#N/A</v>
          </cell>
          <cell r="AH207" t="e">
            <v>#N/A</v>
          </cell>
          <cell r="AJ207" t="e">
            <v>#N/A</v>
          </cell>
          <cell r="AK207" t="e">
            <v>#N/A</v>
          </cell>
          <cell r="AL207" t="e">
            <v>#N/A</v>
          </cell>
          <cell r="AM207" t="e">
            <v>#N/A</v>
          </cell>
          <cell r="AN207" t="e">
            <v>#N/A</v>
          </cell>
          <cell r="AO207" t="e">
            <v>#N/A</v>
          </cell>
          <cell r="AP207" t="e">
            <v>#N/A</v>
          </cell>
          <cell r="AQ207" t="e">
            <v>#N/A</v>
          </cell>
          <cell r="AT207" t="e">
            <v>#N/A</v>
          </cell>
          <cell r="AU207" t="e">
            <v>#N/A</v>
          </cell>
          <cell r="AV207" t="e">
            <v>#N/A</v>
          </cell>
          <cell r="AW207" t="e">
            <v>#N/A</v>
          </cell>
          <cell r="AX207" t="e">
            <v>#N/A</v>
          </cell>
          <cell r="AY207" t="e">
            <v>#N/A</v>
          </cell>
          <cell r="AZ207" t="e">
            <v>#N/A</v>
          </cell>
          <cell r="BA207" t="e">
            <v>#N/A</v>
          </cell>
        </row>
        <row r="208">
          <cell r="E208" t="e">
            <v>#N/A</v>
          </cell>
          <cell r="F208" t="e">
            <v>#N/A</v>
          </cell>
          <cell r="S208" t="e">
            <v>#N/A</v>
          </cell>
          <cell r="T208" t="e">
            <v>#N/A</v>
          </cell>
          <cell r="U208" t="e">
            <v>#N/A</v>
          </cell>
          <cell r="V208" t="e">
            <v>#N/A</v>
          </cell>
          <cell r="W208" t="e">
            <v>#N/A</v>
          </cell>
          <cell r="X208" t="e">
            <v>#N/A</v>
          </cell>
          <cell r="AE208" t="e">
            <v>#N/A</v>
          </cell>
          <cell r="AF208" t="e">
            <v>#N/A</v>
          </cell>
          <cell r="AG208" t="e">
            <v>#N/A</v>
          </cell>
          <cell r="AH208" t="e">
            <v>#N/A</v>
          </cell>
          <cell r="AJ208" t="e">
            <v>#N/A</v>
          </cell>
          <cell r="AK208" t="e">
            <v>#N/A</v>
          </cell>
          <cell r="AL208" t="e">
            <v>#N/A</v>
          </cell>
          <cell r="AM208" t="e">
            <v>#N/A</v>
          </cell>
          <cell r="AN208" t="e">
            <v>#N/A</v>
          </cell>
          <cell r="AO208" t="e">
            <v>#N/A</v>
          </cell>
          <cell r="AP208" t="e">
            <v>#N/A</v>
          </cell>
          <cell r="AQ208" t="e">
            <v>#N/A</v>
          </cell>
          <cell r="AT208" t="e">
            <v>#N/A</v>
          </cell>
          <cell r="AU208" t="e">
            <v>#N/A</v>
          </cell>
          <cell r="AV208" t="e">
            <v>#N/A</v>
          </cell>
          <cell r="AW208" t="e">
            <v>#N/A</v>
          </cell>
          <cell r="AX208" t="e">
            <v>#N/A</v>
          </cell>
          <cell r="AY208" t="e">
            <v>#N/A</v>
          </cell>
          <cell r="AZ208" t="e">
            <v>#N/A</v>
          </cell>
          <cell r="BA208" t="e">
            <v>#N/A</v>
          </cell>
        </row>
        <row r="209">
          <cell r="E209" t="e">
            <v>#N/A</v>
          </cell>
          <cell r="F209" t="e">
            <v>#N/A</v>
          </cell>
          <cell r="S209" t="e">
            <v>#N/A</v>
          </cell>
          <cell r="T209" t="e">
            <v>#N/A</v>
          </cell>
          <cell r="U209" t="e">
            <v>#N/A</v>
          </cell>
          <cell r="V209" t="e">
            <v>#N/A</v>
          </cell>
          <cell r="W209" t="e">
            <v>#N/A</v>
          </cell>
          <cell r="X209" t="e">
            <v>#N/A</v>
          </cell>
          <cell r="AE209" t="e">
            <v>#N/A</v>
          </cell>
          <cell r="AF209" t="e">
            <v>#N/A</v>
          </cell>
          <cell r="AG209" t="e">
            <v>#N/A</v>
          </cell>
          <cell r="AH209" t="e">
            <v>#N/A</v>
          </cell>
          <cell r="AJ209" t="e">
            <v>#N/A</v>
          </cell>
          <cell r="AK209" t="e">
            <v>#N/A</v>
          </cell>
          <cell r="AL209" t="e">
            <v>#N/A</v>
          </cell>
          <cell r="AM209" t="e">
            <v>#N/A</v>
          </cell>
          <cell r="AN209" t="e">
            <v>#N/A</v>
          </cell>
          <cell r="AO209" t="e">
            <v>#N/A</v>
          </cell>
          <cell r="AP209" t="e">
            <v>#N/A</v>
          </cell>
          <cell r="AQ209" t="e">
            <v>#N/A</v>
          </cell>
          <cell r="AT209" t="e">
            <v>#N/A</v>
          </cell>
          <cell r="AU209" t="e">
            <v>#N/A</v>
          </cell>
          <cell r="AV209" t="e">
            <v>#N/A</v>
          </cell>
          <cell r="AW209" t="e">
            <v>#N/A</v>
          </cell>
          <cell r="AX209" t="e">
            <v>#N/A</v>
          </cell>
          <cell r="AY209" t="e">
            <v>#N/A</v>
          </cell>
          <cell r="AZ209" t="e">
            <v>#N/A</v>
          </cell>
          <cell r="BA209" t="e">
            <v>#N/A</v>
          </cell>
        </row>
        <row r="210">
          <cell r="E210" t="e">
            <v>#N/A</v>
          </cell>
          <cell r="F210" t="e">
            <v>#N/A</v>
          </cell>
          <cell r="S210" t="e">
            <v>#N/A</v>
          </cell>
          <cell r="T210" t="e">
            <v>#N/A</v>
          </cell>
          <cell r="U210" t="e">
            <v>#N/A</v>
          </cell>
          <cell r="V210" t="e">
            <v>#N/A</v>
          </cell>
          <cell r="W210" t="e">
            <v>#N/A</v>
          </cell>
          <cell r="X210" t="e">
            <v>#N/A</v>
          </cell>
          <cell r="AE210" t="e">
            <v>#N/A</v>
          </cell>
          <cell r="AF210" t="e">
            <v>#N/A</v>
          </cell>
          <cell r="AG210" t="e">
            <v>#N/A</v>
          </cell>
          <cell r="AH210" t="e">
            <v>#N/A</v>
          </cell>
          <cell r="AJ210" t="e">
            <v>#N/A</v>
          </cell>
          <cell r="AK210" t="e">
            <v>#N/A</v>
          </cell>
          <cell r="AL210" t="e">
            <v>#N/A</v>
          </cell>
          <cell r="AM210" t="e">
            <v>#N/A</v>
          </cell>
          <cell r="AN210" t="e">
            <v>#N/A</v>
          </cell>
          <cell r="AO210" t="e">
            <v>#N/A</v>
          </cell>
          <cell r="AP210" t="e">
            <v>#N/A</v>
          </cell>
          <cell r="AQ210" t="e">
            <v>#N/A</v>
          </cell>
          <cell r="AT210" t="e">
            <v>#N/A</v>
          </cell>
          <cell r="AU210" t="e">
            <v>#N/A</v>
          </cell>
          <cell r="AV210" t="e">
            <v>#N/A</v>
          </cell>
          <cell r="AW210" t="e">
            <v>#N/A</v>
          </cell>
          <cell r="AX210" t="e">
            <v>#N/A</v>
          </cell>
          <cell r="AY210" t="e">
            <v>#N/A</v>
          </cell>
          <cell r="AZ210" t="e">
            <v>#N/A</v>
          </cell>
          <cell r="BA210" t="e">
            <v>#N/A</v>
          </cell>
        </row>
        <row r="211">
          <cell r="E211" t="e">
            <v>#N/A</v>
          </cell>
          <cell r="F211" t="e">
            <v>#N/A</v>
          </cell>
          <cell r="S211" t="e">
            <v>#N/A</v>
          </cell>
          <cell r="T211" t="e">
            <v>#N/A</v>
          </cell>
          <cell r="U211" t="e">
            <v>#N/A</v>
          </cell>
          <cell r="V211" t="e">
            <v>#N/A</v>
          </cell>
          <cell r="W211" t="e">
            <v>#N/A</v>
          </cell>
          <cell r="X211" t="e">
            <v>#N/A</v>
          </cell>
          <cell r="AE211" t="e">
            <v>#N/A</v>
          </cell>
          <cell r="AF211" t="e">
            <v>#N/A</v>
          </cell>
          <cell r="AG211" t="e">
            <v>#N/A</v>
          </cell>
          <cell r="AH211" t="e">
            <v>#N/A</v>
          </cell>
          <cell r="AJ211" t="e">
            <v>#N/A</v>
          </cell>
          <cell r="AK211" t="e">
            <v>#N/A</v>
          </cell>
          <cell r="AL211" t="e">
            <v>#N/A</v>
          </cell>
          <cell r="AM211" t="e">
            <v>#N/A</v>
          </cell>
          <cell r="AN211" t="e">
            <v>#N/A</v>
          </cell>
          <cell r="AO211" t="e">
            <v>#N/A</v>
          </cell>
          <cell r="AP211" t="e">
            <v>#N/A</v>
          </cell>
          <cell r="AQ211" t="e">
            <v>#N/A</v>
          </cell>
          <cell r="AT211" t="e">
            <v>#N/A</v>
          </cell>
          <cell r="AU211" t="e">
            <v>#N/A</v>
          </cell>
          <cell r="AV211" t="e">
            <v>#N/A</v>
          </cell>
          <cell r="AW211" t="e">
            <v>#N/A</v>
          </cell>
          <cell r="AX211" t="e">
            <v>#N/A</v>
          </cell>
          <cell r="AY211" t="e">
            <v>#N/A</v>
          </cell>
          <cell r="AZ211" t="e">
            <v>#N/A</v>
          </cell>
          <cell r="BA211" t="e">
            <v>#N/A</v>
          </cell>
        </row>
        <row r="212">
          <cell r="E212" t="e">
            <v>#N/A</v>
          </cell>
          <cell r="F212" t="e">
            <v>#N/A</v>
          </cell>
          <cell r="S212" t="e">
            <v>#N/A</v>
          </cell>
          <cell r="T212" t="e">
            <v>#N/A</v>
          </cell>
          <cell r="U212" t="e">
            <v>#N/A</v>
          </cell>
          <cell r="V212" t="e">
            <v>#N/A</v>
          </cell>
          <cell r="W212" t="e">
            <v>#N/A</v>
          </cell>
          <cell r="X212" t="e">
            <v>#N/A</v>
          </cell>
          <cell r="AE212" t="e">
            <v>#N/A</v>
          </cell>
          <cell r="AF212" t="e">
            <v>#N/A</v>
          </cell>
          <cell r="AG212" t="e">
            <v>#N/A</v>
          </cell>
          <cell r="AH212" t="e">
            <v>#N/A</v>
          </cell>
          <cell r="AJ212" t="e">
            <v>#N/A</v>
          </cell>
          <cell r="AK212" t="e">
            <v>#N/A</v>
          </cell>
          <cell r="AL212" t="e">
            <v>#N/A</v>
          </cell>
          <cell r="AM212" t="e">
            <v>#N/A</v>
          </cell>
          <cell r="AN212" t="e">
            <v>#N/A</v>
          </cell>
          <cell r="AO212" t="e">
            <v>#N/A</v>
          </cell>
          <cell r="AP212" t="e">
            <v>#N/A</v>
          </cell>
          <cell r="AQ212" t="e">
            <v>#N/A</v>
          </cell>
          <cell r="AT212" t="e">
            <v>#N/A</v>
          </cell>
          <cell r="AU212" t="e">
            <v>#N/A</v>
          </cell>
          <cell r="AV212" t="e">
            <v>#N/A</v>
          </cell>
          <cell r="AW212" t="e">
            <v>#N/A</v>
          </cell>
          <cell r="AX212" t="e">
            <v>#N/A</v>
          </cell>
          <cell r="AY212" t="e">
            <v>#N/A</v>
          </cell>
          <cell r="AZ212" t="e">
            <v>#N/A</v>
          </cell>
          <cell r="BA212" t="e">
            <v>#N/A</v>
          </cell>
        </row>
        <row r="213">
          <cell r="E213" t="e">
            <v>#N/A</v>
          </cell>
          <cell r="F213" t="e">
            <v>#N/A</v>
          </cell>
          <cell r="S213" t="e">
            <v>#N/A</v>
          </cell>
          <cell r="T213" t="e">
            <v>#N/A</v>
          </cell>
          <cell r="U213" t="e">
            <v>#N/A</v>
          </cell>
          <cell r="V213" t="e">
            <v>#N/A</v>
          </cell>
          <cell r="W213" t="e">
            <v>#N/A</v>
          </cell>
          <cell r="X213" t="e">
            <v>#N/A</v>
          </cell>
          <cell r="AE213" t="e">
            <v>#N/A</v>
          </cell>
          <cell r="AF213" t="e">
            <v>#N/A</v>
          </cell>
          <cell r="AG213" t="e">
            <v>#N/A</v>
          </cell>
          <cell r="AH213" t="e">
            <v>#N/A</v>
          </cell>
          <cell r="AJ213" t="e">
            <v>#N/A</v>
          </cell>
          <cell r="AK213" t="e">
            <v>#N/A</v>
          </cell>
          <cell r="AL213" t="e">
            <v>#N/A</v>
          </cell>
          <cell r="AM213" t="e">
            <v>#N/A</v>
          </cell>
          <cell r="AN213" t="e">
            <v>#N/A</v>
          </cell>
          <cell r="AO213" t="e">
            <v>#N/A</v>
          </cell>
          <cell r="AP213" t="e">
            <v>#N/A</v>
          </cell>
          <cell r="AQ213" t="e">
            <v>#N/A</v>
          </cell>
          <cell r="AT213" t="e">
            <v>#N/A</v>
          </cell>
          <cell r="AU213" t="e">
            <v>#N/A</v>
          </cell>
          <cell r="AV213" t="e">
            <v>#N/A</v>
          </cell>
          <cell r="AW213" t="e">
            <v>#N/A</v>
          </cell>
          <cell r="AX213" t="e">
            <v>#N/A</v>
          </cell>
          <cell r="AY213" t="e">
            <v>#N/A</v>
          </cell>
          <cell r="AZ213" t="e">
            <v>#N/A</v>
          </cell>
          <cell r="BA213" t="e">
            <v>#N/A</v>
          </cell>
        </row>
        <row r="214">
          <cell r="E214" t="e">
            <v>#N/A</v>
          </cell>
          <cell r="F214" t="e">
            <v>#N/A</v>
          </cell>
          <cell r="S214" t="e">
            <v>#N/A</v>
          </cell>
          <cell r="T214" t="e">
            <v>#N/A</v>
          </cell>
          <cell r="U214" t="e">
            <v>#N/A</v>
          </cell>
          <cell r="V214" t="e">
            <v>#N/A</v>
          </cell>
          <cell r="W214" t="e">
            <v>#N/A</v>
          </cell>
          <cell r="X214" t="e">
            <v>#N/A</v>
          </cell>
          <cell r="AE214" t="e">
            <v>#N/A</v>
          </cell>
          <cell r="AF214" t="e">
            <v>#N/A</v>
          </cell>
          <cell r="AG214" t="e">
            <v>#N/A</v>
          </cell>
          <cell r="AH214" t="e">
            <v>#N/A</v>
          </cell>
          <cell r="AJ214" t="e">
            <v>#N/A</v>
          </cell>
          <cell r="AK214" t="e">
            <v>#N/A</v>
          </cell>
          <cell r="AL214" t="e">
            <v>#N/A</v>
          </cell>
          <cell r="AM214" t="e">
            <v>#N/A</v>
          </cell>
          <cell r="AN214" t="e">
            <v>#N/A</v>
          </cell>
          <cell r="AO214" t="e">
            <v>#N/A</v>
          </cell>
          <cell r="AP214" t="e">
            <v>#N/A</v>
          </cell>
          <cell r="AQ214" t="e">
            <v>#N/A</v>
          </cell>
          <cell r="AT214" t="e">
            <v>#N/A</v>
          </cell>
          <cell r="AU214" t="e">
            <v>#N/A</v>
          </cell>
          <cell r="AV214" t="e">
            <v>#N/A</v>
          </cell>
          <cell r="AW214" t="e">
            <v>#N/A</v>
          </cell>
          <cell r="AX214" t="e">
            <v>#N/A</v>
          </cell>
          <cell r="AY214" t="e">
            <v>#N/A</v>
          </cell>
          <cell r="AZ214" t="e">
            <v>#N/A</v>
          </cell>
          <cell r="BA214" t="e">
            <v>#N/A</v>
          </cell>
        </row>
        <row r="215">
          <cell r="E215" t="e">
            <v>#N/A</v>
          </cell>
          <cell r="F215" t="e">
            <v>#N/A</v>
          </cell>
          <cell r="S215" t="e">
            <v>#N/A</v>
          </cell>
          <cell r="T215" t="e">
            <v>#N/A</v>
          </cell>
          <cell r="U215" t="e">
            <v>#N/A</v>
          </cell>
          <cell r="V215" t="e">
            <v>#N/A</v>
          </cell>
          <cell r="W215" t="e">
            <v>#N/A</v>
          </cell>
          <cell r="X215" t="e">
            <v>#N/A</v>
          </cell>
          <cell r="AE215" t="e">
            <v>#N/A</v>
          </cell>
          <cell r="AF215" t="e">
            <v>#N/A</v>
          </cell>
          <cell r="AG215" t="e">
            <v>#N/A</v>
          </cell>
          <cell r="AH215" t="e">
            <v>#N/A</v>
          </cell>
          <cell r="AJ215" t="e">
            <v>#N/A</v>
          </cell>
          <cell r="AK215" t="e">
            <v>#N/A</v>
          </cell>
          <cell r="AL215" t="e">
            <v>#N/A</v>
          </cell>
          <cell r="AM215" t="e">
            <v>#N/A</v>
          </cell>
          <cell r="AN215" t="e">
            <v>#N/A</v>
          </cell>
          <cell r="AO215" t="e">
            <v>#N/A</v>
          </cell>
          <cell r="AP215" t="e">
            <v>#N/A</v>
          </cell>
          <cell r="AQ215" t="e">
            <v>#N/A</v>
          </cell>
          <cell r="AT215" t="e">
            <v>#N/A</v>
          </cell>
          <cell r="AU215" t="e">
            <v>#N/A</v>
          </cell>
          <cell r="AV215" t="e">
            <v>#N/A</v>
          </cell>
          <cell r="AW215" t="e">
            <v>#N/A</v>
          </cell>
          <cell r="AX215" t="e">
            <v>#N/A</v>
          </cell>
          <cell r="AY215" t="e">
            <v>#N/A</v>
          </cell>
          <cell r="AZ215" t="e">
            <v>#N/A</v>
          </cell>
          <cell r="BA215" t="e">
            <v>#N/A</v>
          </cell>
        </row>
        <row r="216">
          <cell r="E216" t="e">
            <v>#N/A</v>
          </cell>
          <cell r="F216" t="e">
            <v>#N/A</v>
          </cell>
          <cell r="S216" t="e">
            <v>#N/A</v>
          </cell>
          <cell r="T216" t="e">
            <v>#N/A</v>
          </cell>
          <cell r="U216" t="e">
            <v>#N/A</v>
          </cell>
          <cell r="V216" t="e">
            <v>#N/A</v>
          </cell>
          <cell r="W216" t="e">
            <v>#N/A</v>
          </cell>
          <cell r="X216" t="e">
            <v>#N/A</v>
          </cell>
          <cell r="AE216" t="e">
            <v>#N/A</v>
          </cell>
          <cell r="AF216" t="e">
            <v>#N/A</v>
          </cell>
          <cell r="AG216" t="e">
            <v>#N/A</v>
          </cell>
          <cell r="AH216" t="e">
            <v>#N/A</v>
          </cell>
          <cell r="AJ216" t="e">
            <v>#N/A</v>
          </cell>
          <cell r="AK216" t="e">
            <v>#N/A</v>
          </cell>
          <cell r="AL216" t="e">
            <v>#N/A</v>
          </cell>
          <cell r="AM216" t="e">
            <v>#N/A</v>
          </cell>
          <cell r="AN216" t="e">
            <v>#N/A</v>
          </cell>
          <cell r="AO216" t="e">
            <v>#N/A</v>
          </cell>
          <cell r="AP216" t="e">
            <v>#N/A</v>
          </cell>
          <cell r="AQ216" t="e">
            <v>#N/A</v>
          </cell>
          <cell r="AT216" t="e">
            <v>#N/A</v>
          </cell>
          <cell r="AU216" t="e">
            <v>#N/A</v>
          </cell>
          <cell r="AV216" t="e">
            <v>#N/A</v>
          </cell>
          <cell r="AW216" t="e">
            <v>#N/A</v>
          </cell>
          <cell r="AX216" t="e">
            <v>#N/A</v>
          </cell>
          <cell r="AY216" t="e">
            <v>#N/A</v>
          </cell>
          <cell r="AZ216" t="e">
            <v>#N/A</v>
          </cell>
          <cell r="BA216" t="e">
            <v>#N/A</v>
          </cell>
        </row>
        <row r="217">
          <cell r="E217" t="e">
            <v>#N/A</v>
          </cell>
          <cell r="F217" t="e">
            <v>#N/A</v>
          </cell>
          <cell r="S217" t="e">
            <v>#N/A</v>
          </cell>
          <cell r="T217" t="e">
            <v>#N/A</v>
          </cell>
          <cell r="U217" t="e">
            <v>#N/A</v>
          </cell>
          <cell r="V217" t="e">
            <v>#N/A</v>
          </cell>
          <cell r="W217" t="e">
            <v>#N/A</v>
          </cell>
          <cell r="X217" t="e">
            <v>#N/A</v>
          </cell>
          <cell r="AE217" t="e">
            <v>#N/A</v>
          </cell>
          <cell r="AF217" t="e">
            <v>#N/A</v>
          </cell>
          <cell r="AG217" t="e">
            <v>#N/A</v>
          </cell>
          <cell r="AH217" t="e">
            <v>#N/A</v>
          </cell>
          <cell r="AJ217" t="e">
            <v>#N/A</v>
          </cell>
          <cell r="AK217" t="e">
            <v>#N/A</v>
          </cell>
          <cell r="AL217" t="e">
            <v>#N/A</v>
          </cell>
          <cell r="AM217" t="e">
            <v>#N/A</v>
          </cell>
          <cell r="AN217" t="e">
            <v>#N/A</v>
          </cell>
          <cell r="AO217" t="e">
            <v>#N/A</v>
          </cell>
          <cell r="AP217" t="e">
            <v>#N/A</v>
          </cell>
          <cell r="AQ217" t="e">
            <v>#N/A</v>
          </cell>
          <cell r="AT217" t="e">
            <v>#N/A</v>
          </cell>
          <cell r="AU217" t="e">
            <v>#N/A</v>
          </cell>
          <cell r="AV217" t="e">
            <v>#N/A</v>
          </cell>
          <cell r="AW217" t="e">
            <v>#N/A</v>
          </cell>
          <cell r="AX217" t="e">
            <v>#N/A</v>
          </cell>
          <cell r="AY217" t="e">
            <v>#N/A</v>
          </cell>
          <cell r="AZ217" t="e">
            <v>#N/A</v>
          </cell>
          <cell r="BA217" t="e">
            <v>#N/A</v>
          </cell>
        </row>
        <row r="218">
          <cell r="E218" t="e">
            <v>#N/A</v>
          </cell>
          <cell r="F218" t="e">
            <v>#N/A</v>
          </cell>
          <cell r="S218" t="e">
            <v>#N/A</v>
          </cell>
          <cell r="T218" t="e">
            <v>#N/A</v>
          </cell>
          <cell r="U218" t="e">
            <v>#N/A</v>
          </cell>
          <cell r="V218" t="e">
            <v>#N/A</v>
          </cell>
          <cell r="W218" t="e">
            <v>#N/A</v>
          </cell>
          <cell r="X218" t="e">
            <v>#N/A</v>
          </cell>
          <cell r="AE218" t="e">
            <v>#N/A</v>
          </cell>
          <cell r="AF218" t="e">
            <v>#N/A</v>
          </cell>
          <cell r="AG218" t="e">
            <v>#N/A</v>
          </cell>
          <cell r="AH218" t="e">
            <v>#N/A</v>
          </cell>
          <cell r="AJ218" t="e">
            <v>#N/A</v>
          </cell>
          <cell r="AK218" t="e">
            <v>#N/A</v>
          </cell>
          <cell r="AL218" t="e">
            <v>#N/A</v>
          </cell>
          <cell r="AM218" t="e">
            <v>#N/A</v>
          </cell>
          <cell r="AN218" t="e">
            <v>#N/A</v>
          </cell>
          <cell r="AO218" t="e">
            <v>#N/A</v>
          </cell>
          <cell r="AP218" t="e">
            <v>#N/A</v>
          </cell>
          <cell r="AQ218" t="e">
            <v>#N/A</v>
          </cell>
          <cell r="AT218" t="e">
            <v>#N/A</v>
          </cell>
          <cell r="AU218" t="e">
            <v>#N/A</v>
          </cell>
          <cell r="AV218" t="e">
            <v>#N/A</v>
          </cell>
          <cell r="AW218" t="e">
            <v>#N/A</v>
          </cell>
          <cell r="AX218" t="e">
            <v>#N/A</v>
          </cell>
          <cell r="AY218" t="e">
            <v>#N/A</v>
          </cell>
          <cell r="AZ218" t="e">
            <v>#N/A</v>
          </cell>
          <cell r="BA218" t="e">
            <v>#N/A</v>
          </cell>
        </row>
        <row r="219">
          <cell r="E219" t="e">
            <v>#N/A</v>
          </cell>
          <cell r="F219" t="e">
            <v>#N/A</v>
          </cell>
          <cell r="S219" t="e">
            <v>#N/A</v>
          </cell>
          <cell r="T219" t="e">
            <v>#N/A</v>
          </cell>
          <cell r="U219" t="e">
            <v>#N/A</v>
          </cell>
          <cell r="V219" t="e">
            <v>#N/A</v>
          </cell>
          <cell r="W219" t="e">
            <v>#N/A</v>
          </cell>
          <cell r="X219" t="e">
            <v>#N/A</v>
          </cell>
          <cell r="AE219" t="e">
            <v>#N/A</v>
          </cell>
          <cell r="AF219" t="e">
            <v>#N/A</v>
          </cell>
          <cell r="AG219" t="e">
            <v>#N/A</v>
          </cell>
          <cell r="AH219" t="e">
            <v>#N/A</v>
          </cell>
          <cell r="AJ219" t="e">
            <v>#N/A</v>
          </cell>
          <cell r="AK219" t="e">
            <v>#N/A</v>
          </cell>
          <cell r="AL219" t="e">
            <v>#N/A</v>
          </cell>
          <cell r="AM219" t="e">
            <v>#N/A</v>
          </cell>
          <cell r="AN219" t="e">
            <v>#N/A</v>
          </cell>
          <cell r="AO219" t="e">
            <v>#N/A</v>
          </cell>
          <cell r="AP219" t="e">
            <v>#N/A</v>
          </cell>
          <cell r="AQ219" t="e">
            <v>#N/A</v>
          </cell>
          <cell r="AT219" t="e">
            <v>#N/A</v>
          </cell>
          <cell r="AU219" t="e">
            <v>#N/A</v>
          </cell>
          <cell r="AV219" t="e">
            <v>#N/A</v>
          </cell>
          <cell r="AW219" t="e">
            <v>#N/A</v>
          </cell>
          <cell r="AX219" t="e">
            <v>#N/A</v>
          </cell>
          <cell r="AY219" t="e">
            <v>#N/A</v>
          </cell>
          <cell r="AZ219" t="e">
            <v>#N/A</v>
          </cell>
          <cell r="BA219" t="e">
            <v>#N/A</v>
          </cell>
        </row>
        <row r="220">
          <cell r="E220" t="e">
            <v>#N/A</v>
          </cell>
          <cell r="F220" t="e">
            <v>#N/A</v>
          </cell>
          <cell r="S220" t="e">
            <v>#N/A</v>
          </cell>
          <cell r="T220" t="e">
            <v>#N/A</v>
          </cell>
          <cell r="U220" t="e">
            <v>#N/A</v>
          </cell>
          <cell r="V220" t="e">
            <v>#N/A</v>
          </cell>
          <cell r="W220" t="e">
            <v>#N/A</v>
          </cell>
          <cell r="X220" t="e">
            <v>#N/A</v>
          </cell>
          <cell r="AE220" t="e">
            <v>#N/A</v>
          </cell>
          <cell r="AF220" t="e">
            <v>#N/A</v>
          </cell>
          <cell r="AG220" t="e">
            <v>#N/A</v>
          </cell>
          <cell r="AH220" t="e">
            <v>#N/A</v>
          </cell>
          <cell r="AJ220" t="e">
            <v>#N/A</v>
          </cell>
          <cell r="AK220" t="e">
            <v>#N/A</v>
          </cell>
          <cell r="AL220" t="e">
            <v>#N/A</v>
          </cell>
          <cell r="AM220" t="e">
            <v>#N/A</v>
          </cell>
          <cell r="AN220" t="e">
            <v>#N/A</v>
          </cell>
          <cell r="AO220" t="e">
            <v>#N/A</v>
          </cell>
          <cell r="AP220" t="e">
            <v>#N/A</v>
          </cell>
          <cell r="AQ220" t="e">
            <v>#N/A</v>
          </cell>
          <cell r="AT220" t="e">
            <v>#N/A</v>
          </cell>
          <cell r="AU220" t="e">
            <v>#N/A</v>
          </cell>
          <cell r="AV220" t="e">
            <v>#N/A</v>
          </cell>
          <cell r="AW220" t="e">
            <v>#N/A</v>
          </cell>
          <cell r="AX220" t="e">
            <v>#N/A</v>
          </cell>
          <cell r="AY220" t="e">
            <v>#N/A</v>
          </cell>
          <cell r="AZ220" t="e">
            <v>#N/A</v>
          </cell>
          <cell r="BA220" t="e">
            <v>#N/A</v>
          </cell>
        </row>
        <row r="221">
          <cell r="E221" t="e">
            <v>#N/A</v>
          </cell>
          <cell r="F221" t="e">
            <v>#N/A</v>
          </cell>
          <cell r="S221" t="e">
            <v>#N/A</v>
          </cell>
          <cell r="T221" t="e">
            <v>#N/A</v>
          </cell>
          <cell r="U221" t="e">
            <v>#N/A</v>
          </cell>
          <cell r="V221" t="e">
            <v>#N/A</v>
          </cell>
          <cell r="W221" t="e">
            <v>#N/A</v>
          </cell>
          <cell r="X221" t="e">
            <v>#N/A</v>
          </cell>
          <cell r="AE221" t="e">
            <v>#N/A</v>
          </cell>
          <cell r="AF221" t="e">
            <v>#N/A</v>
          </cell>
          <cell r="AG221" t="e">
            <v>#N/A</v>
          </cell>
          <cell r="AH221" t="e">
            <v>#N/A</v>
          </cell>
          <cell r="AJ221" t="e">
            <v>#N/A</v>
          </cell>
          <cell r="AK221" t="e">
            <v>#N/A</v>
          </cell>
          <cell r="AL221" t="e">
            <v>#N/A</v>
          </cell>
          <cell r="AM221" t="e">
            <v>#N/A</v>
          </cell>
          <cell r="AN221" t="e">
            <v>#N/A</v>
          </cell>
          <cell r="AO221" t="e">
            <v>#N/A</v>
          </cell>
          <cell r="AP221" t="e">
            <v>#N/A</v>
          </cell>
          <cell r="AQ221" t="e">
            <v>#N/A</v>
          </cell>
          <cell r="AT221" t="e">
            <v>#N/A</v>
          </cell>
          <cell r="AU221" t="e">
            <v>#N/A</v>
          </cell>
          <cell r="AV221" t="e">
            <v>#N/A</v>
          </cell>
          <cell r="AW221" t="e">
            <v>#N/A</v>
          </cell>
          <cell r="AX221" t="e">
            <v>#N/A</v>
          </cell>
          <cell r="AY221" t="e">
            <v>#N/A</v>
          </cell>
          <cell r="AZ221" t="e">
            <v>#N/A</v>
          </cell>
          <cell r="BA221" t="e">
            <v>#N/A</v>
          </cell>
        </row>
        <row r="222">
          <cell r="E222" t="e">
            <v>#N/A</v>
          </cell>
          <cell r="F222" t="e">
            <v>#N/A</v>
          </cell>
          <cell r="S222" t="e">
            <v>#N/A</v>
          </cell>
          <cell r="T222" t="e">
            <v>#N/A</v>
          </cell>
          <cell r="U222" t="e">
            <v>#N/A</v>
          </cell>
          <cell r="V222" t="e">
            <v>#N/A</v>
          </cell>
          <cell r="W222" t="e">
            <v>#N/A</v>
          </cell>
          <cell r="X222" t="e">
            <v>#N/A</v>
          </cell>
          <cell r="AE222" t="e">
            <v>#N/A</v>
          </cell>
          <cell r="AF222" t="e">
            <v>#N/A</v>
          </cell>
          <cell r="AG222" t="e">
            <v>#N/A</v>
          </cell>
          <cell r="AH222" t="e">
            <v>#N/A</v>
          </cell>
          <cell r="AJ222" t="e">
            <v>#N/A</v>
          </cell>
          <cell r="AK222" t="e">
            <v>#N/A</v>
          </cell>
          <cell r="AL222" t="e">
            <v>#N/A</v>
          </cell>
          <cell r="AM222" t="e">
            <v>#N/A</v>
          </cell>
          <cell r="AN222" t="e">
            <v>#N/A</v>
          </cell>
          <cell r="AO222" t="e">
            <v>#N/A</v>
          </cell>
          <cell r="AP222" t="e">
            <v>#N/A</v>
          </cell>
          <cell r="AQ222" t="e">
            <v>#N/A</v>
          </cell>
          <cell r="AT222" t="e">
            <v>#N/A</v>
          </cell>
          <cell r="AU222" t="e">
            <v>#N/A</v>
          </cell>
          <cell r="AV222" t="e">
            <v>#N/A</v>
          </cell>
          <cell r="AW222" t="e">
            <v>#N/A</v>
          </cell>
          <cell r="AX222" t="e">
            <v>#N/A</v>
          </cell>
          <cell r="AY222" t="e">
            <v>#N/A</v>
          </cell>
          <cell r="AZ222" t="e">
            <v>#N/A</v>
          </cell>
          <cell r="BA222" t="e">
            <v>#N/A</v>
          </cell>
        </row>
        <row r="223">
          <cell r="E223" t="e">
            <v>#N/A</v>
          </cell>
          <cell r="F223" t="e">
            <v>#N/A</v>
          </cell>
          <cell r="S223" t="e">
            <v>#N/A</v>
          </cell>
          <cell r="T223" t="e">
            <v>#N/A</v>
          </cell>
          <cell r="U223" t="e">
            <v>#N/A</v>
          </cell>
          <cell r="V223" t="e">
            <v>#N/A</v>
          </cell>
          <cell r="W223" t="e">
            <v>#N/A</v>
          </cell>
          <cell r="X223" t="e">
            <v>#N/A</v>
          </cell>
          <cell r="AE223" t="e">
            <v>#N/A</v>
          </cell>
          <cell r="AF223" t="e">
            <v>#N/A</v>
          </cell>
          <cell r="AG223" t="e">
            <v>#N/A</v>
          </cell>
          <cell r="AH223" t="e">
            <v>#N/A</v>
          </cell>
          <cell r="AJ223" t="e">
            <v>#N/A</v>
          </cell>
          <cell r="AK223" t="e">
            <v>#N/A</v>
          </cell>
          <cell r="AL223" t="e">
            <v>#N/A</v>
          </cell>
          <cell r="AM223" t="e">
            <v>#N/A</v>
          </cell>
          <cell r="AN223" t="e">
            <v>#N/A</v>
          </cell>
          <cell r="AO223" t="e">
            <v>#N/A</v>
          </cell>
          <cell r="AP223" t="e">
            <v>#N/A</v>
          </cell>
          <cell r="AQ223" t="e">
            <v>#N/A</v>
          </cell>
          <cell r="AT223" t="e">
            <v>#N/A</v>
          </cell>
          <cell r="AU223" t="e">
            <v>#N/A</v>
          </cell>
          <cell r="AV223" t="e">
            <v>#N/A</v>
          </cell>
          <cell r="AW223" t="e">
            <v>#N/A</v>
          </cell>
          <cell r="AX223" t="e">
            <v>#N/A</v>
          </cell>
          <cell r="AY223" t="e">
            <v>#N/A</v>
          </cell>
          <cell r="AZ223" t="e">
            <v>#N/A</v>
          </cell>
          <cell r="BA223" t="e">
            <v>#N/A</v>
          </cell>
        </row>
        <row r="224">
          <cell r="E224" t="e">
            <v>#N/A</v>
          </cell>
          <cell r="F224" t="e">
            <v>#N/A</v>
          </cell>
          <cell r="S224" t="e">
            <v>#N/A</v>
          </cell>
          <cell r="T224" t="e">
            <v>#N/A</v>
          </cell>
          <cell r="U224" t="e">
            <v>#N/A</v>
          </cell>
          <cell r="V224" t="e">
            <v>#N/A</v>
          </cell>
          <cell r="W224" t="e">
            <v>#N/A</v>
          </cell>
          <cell r="X224" t="e">
            <v>#N/A</v>
          </cell>
          <cell r="AE224" t="e">
            <v>#N/A</v>
          </cell>
          <cell r="AF224" t="e">
            <v>#N/A</v>
          </cell>
          <cell r="AG224" t="e">
            <v>#N/A</v>
          </cell>
          <cell r="AH224" t="e">
            <v>#N/A</v>
          </cell>
          <cell r="AJ224" t="e">
            <v>#N/A</v>
          </cell>
          <cell r="AK224" t="e">
            <v>#N/A</v>
          </cell>
          <cell r="AL224" t="e">
            <v>#N/A</v>
          </cell>
          <cell r="AM224" t="e">
            <v>#N/A</v>
          </cell>
          <cell r="AN224" t="e">
            <v>#N/A</v>
          </cell>
          <cell r="AO224" t="e">
            <v>#N/A</v>
          </cell>
          <cell r="AP224" t="e">
            <v>#N/A</v>
          </cell>
          <cell r="AQ224" t="e">
            <v>#N/A</v>
          </cell>
          <cell r="AT224" t="e">
            <v>#N/A</v>
          </cell>
          <cell r="AU224" t="e">
            <v>#N/A</v>
          </cell>
          <cell r="AV224" t="e">
            <v>#N/A</v>
          </cell>
          <cell r="AW224" t="e">
            <v>#N/A</v>
          </cell>
          <cell r="AX224" t="e">
            <v>#N/A</v>
          </cell>
          <cell r="AY224" t="e">
            <v>#N/A</v>
          </cell>
          <cell r="AZ224" t="e">
            <v>#N/A</v>
          </cell>
          <cell r="BA224" t="e">
            <v>#N/A</v>
          </cell>
        </row>
        <row r="225">
          <cell r="E225" t="e">
            <v>#N/A</v>
          </cell>
          <cell r="F225" t="e">
            <v>#N/A</v>
          </cell>
          <cell r="S225" t="e">
            <v>#N/A</v>
          </cell>
          <cell r="T225" t="e">
            <v>#N/A</v>
          </cell>
          <cell r="U225" t="e">
            <v>#N/A</v>
          </cell>
          <cell r="V225" t="e">
            <v>#N/A</v>
          </cell>
          <cell r="W225" t="e">
            <v>#N/A</v>
          </cell>
          <cell r="X225" t="e">
            <v>#N/A</v>
          </cell>
          <cell r="AE225" t="e">
            <v>#N/A</v>
          </cell>
          <cell r="AF225" t="e">
            <v>#N/A</v>
          </cell>
          <cell r="AG225" t="e">
            <v>#N/A</v>
          </cell>
          <cell r="AH225" t="e">
            <v>#N/A</v>
          </cell>
          <cell r="AJ225" t="e">
            <v>#N/A</v>
          </cell>
          <cell r="AK225" t="e">
            <v>#N/A</v>
          </cell>
          <cell r="AL225" t="e">
            <v>#N/A</v>
          </cell>
          <cell r="AM225" t="e">
            <v>#N/A</v>
          </cell>
          <cell r="AN225" t="e">
            <v>#N/A</v>
          </cell>
          <cell r="AO225" t="e">
            <v>#N/A</v>
          </cell>
          <cell r="AP225" t="e">
            <v>#N/A</v>
          </cell>
          <cell r="AQ225" t="e">
            <v>#N/A</v>
          </cell>
          <cell r="AT225" t="e">
            <v>#N/A</v>
          </cell>
          <cell r="AU225" t="e">
            <v>#N/A</v>
          </cell>
          <cell r="AV225" t="e">
            <v>#N/A</v>
          </cell>
          <cell r="AW225" t="e">
            <v>#N/A</v>
          </cell>
          <cell r="AX225" t="e">
            <v>#N/A</v>
          </cell>
          <cell r="AY225" t="e">
            <v>#N/A</v>
          </cell>
          <cell r="AZ225" t="e">
            <v>#N/A</v>
          </cell>
          <cell r="BA225" t="e">
            <v>#N/A</v>
          </cell>
        </row>
        <row r="226">
          <cell r="E226" t="e">
            <v>#N/A</v>
          </cell>
          <cell r="F226" t="e">
            <v>#N/A</v>
          </cell>
          <cell r="S226" t="e">
            <v>#N/A</v>
          </cell>
          <cell r="T226" t="e">
            <v>#N/A</v>
          </cell>
          <cell r="U226" t="e">
            <v>#N/A</v>
          </cell>
          <cell r="V226" t="e">
            <v>#N/A</v>
          </cell>
          <cell r="W226" t="e">
            <v>#N/A</v>
          </cell>
          <cell r="X226" t="e">
            <v>#N/A</v>
          </cell>
          <cell r="AE226" t="e">
            <v>#N/A</v>
          </cell>
          <cell r="AF226" t="e">
            <v>#N/A</v>
          </cell>
          <cell r="AG226" t="e">
            <v>#N/A</v>
          </cell>
          <cell r="AH226" t="e">
            <v>#N/A</v>
          </cell>
          <cell r="AJ226" t="e">
            <v>#N/A</v>
          </cell>
          <cell r="AK226" t="e">
            <v>#N/A</v>
          </cell>
          <cell r="AL226" t="e">
            <v>#N/A</v>
          </cell>
          <cell r="AM226" t="e">
            <v>#N/A</v>
          </cell>
          <cell r="AN226" t="e">
            <v>#N/A</v>
          </cell>
          <cell r="AO226" t="e">
            <v>#N/A</v>
          </cell>
          <cell r="AP226" t="e">
            <v>#N/A</v>
          </cell>
          <cell r="AQ226" t="e">
            <v>#N/A</v>
          </cell>
          <cell r="AT226" t="e">
            <v>#N/A</v>
          </cell>
          <cell r="AU226" t="e">
            <v>#N/A</v>
          </cell>
          <cell r="AV226" t="e">
            <v>#N/A</v>
          </cell>
          <cell r="AW226" t="e">
            <v>#N/A</v>
          </cell>
          <cell r="AX226" t="e">
            <v>#N/A</v>
          </cell>
          <cell r="AY226" t="e">
            <v>#N/A</v>
          </cell>
          <cell r="AZ226" t="e">
            <v>#N/A</v>
          </cell>
          <cell r="BA226" t="e">
            <v>#N/A</v>
          </cell>
        </row>
        <row r="227">
          <cell r="E227" t="e">
            <v>#N/A</v>
          </cell>
          <cell r="F227" t="e">
            <v>#N/A</v>
          </cell>
          <cell r="S227" t="e">
            <v>#N/A</v>
          </cell>
          <cell r="T227" t="e">
            <v>#N/A</v>
          </cell>
          <cell r="U227" t="e">
            <v>#N/A</v>
          </cell>
          <cell r="V227" t="e">
            <v>#N/A</v>
          </cell>
          <cell r="W227" t="e">
            <v>#N/A</v>
          </cell>
          <cell r="X227" t="e">
            <v>#N/A</v>
          </cell>
          <cell r="AE227" t="e">
            <v>#N/A</v>
          </cell>
          <cell r="AF227" t="e">
            <v>#N/A</v>
          </cell>
          <cell r="AG227" t="e">
            <v>#N/A</v>
          </cell>
          <cell r="AH227" t="e">
            <v>#N/A</v>
          </cell>
          <cell r="AJ227" t="e">
            <v>#N/A</v>
          </cell>
          <cell r="AK227" t="e">
            <v>#N/A</v>
          </cell>
          <cell r="AL227" t="e">
            <v>#N/A</v>
          </cell>
          <cell r="AM227" t="e">
            <v>#N/A</v>
          </cell>
          <cell r="AN227" t="e">
            <v>#N/A</v>
          </cell>
          <cell r="AO227" t="e">
            <v>#N/A</v>
          </cell>
          <cell r="AP227" t="e">
            <v>#N/A</v>
          </cell>
          <cell r="AQ227" t="e">
            <v>#N/A</v>
          </cell>
          <cell r="AT227" t="e">
            <v>#N/A</v>
          </cell>
          <cell r="AU227" t="e">
            <v>#N/A</v>
          </cell>
          <cell r="AV227" t="e">
            <v>#N/A</v>
          </cell>
          <cell r="AW227" t="e">
            <v>#N/A</v>
          </cell>
          <cell r="AX227" t="e">
            <v>#N/A</v>
          </cell>
          <cell r="AY227" t="e">
            <v>#N/A</v>
          </cell>
          <cell r="AZ227" t="e">
            <v>#N/A</v>
          </cell>
          <cell r="BA227" t="e">
            <v>#N/A</v>
          </cell>
        </row>
        <row r="228">
          <cell r="E228" t="e">
            <v>#N/A</v>
          </cell>
          <cell r="F228" t="e">
            <v>#N/A</v>
          </cell>
          <cell r="S228" t="e">
            <v>#N/A</v>
          </cell>
          <cell r="T228" t="e">
            <v>#N/A</v>
          </cell>
          <cell r="U228" t="e">
            <v>#N/A</v>
          </cell>
          <cell r="V228" t="e">
            <v>#N/A</v>
          </cell>
          <cell r="W228" t="e">
            <v>#N/A</v>
          </cell>
          <cell r="X228" t="e">
            <v>#N/A</v>
          </cell>
          <cell r="AE228" t="e">
            <v>#N/A</v>
          </cell>
          <cell r="AF228" t="e">
            <v>#N/A</v>
          </cell>
          <cell r="AG228" t="e">
            <v>#N/A</v>
          </cell>
          <cell r="AH228" t="e">
            <v>#N/A</v>
          </cell>
          <cell r="AJ228" t="e">
            <v>#N/A</v>
          </cell>
          <cell r="AK228" t="e">
            <v>#N/A</v>
          </cell>
          <cell r="AL228" t="e">
            <v>#N/A</v>
          </cell>
          <cell r="AM228" t="e">
            <v>#N/A</v>
          </cell>
          <cell r="AN228" t="e">
            <v>#N/A</v>
          </cell>
          <cell r="AO228" t="e">
            <v>#N/A</v>
          </cell>
          <cell r="AP228" t="e">
            <v>#N/A</v>
          </cell>
          <cell r="AQ228" t="e">
            <v>#N/A</v>
          </cell>
          <cell r="AT228" t="e">
            <v>#N/A</v>
          </cell>
          <cell r="AU228" t="e">
            <v>#N/A</v>
          </cell>
          <cell r="AV228" t="e">
            <v>#N/A</v>
          </cell>
          <cell r="AW228" t="e">
            <v>#N/A</v>
          </cell>
          <cell r="AX228" t="e">
            <v>#N/A</v>
          </cell>
          <cell r="AY228" t="e">
            <v>#N/A</v>
          </cell>
          <cell r="AZ228" t="e">
            <v>#N/A</v>
          </cell>
          <cell r="BA228" t="e">
            <v>#N/A</v>
          </cell>
        </row>
        <row r="229">
          <cell r="E229" t="e">
            <v>#N/A</v>
          </cell>
          <cell r="F229" t="e">
            <v>#N/A</v>
          </cell>
          <cell r="S229" t="e">
            <v>#N/A</v>
          </cell>
          <cell r="T229" t="e">
            <v>#N/A</v>
          </cell>
          <cell r="U229" t="e">
            <v>#N/A</v>
          </cell>
          <cell r="V229" t="e">
            <v>#N/A</v>
          </cell>
          <cell r="W229" t="e">
            <v>#N/A</v>
          </cell>
          <cell r="X229" t="e">
            <v>#N/A</v>
          </cell>
          <cell r="AE229" t="e">
            <v>#N/A</v>
          </cell>
          <cell r="AF229" t="e">
            <v>#N/A</v>
          </cell>
          <cell r="AG229" t="e">
            <v>#N/A</v>
          </cell>
          <cell r="AH229" t="e">
            <v>#N/A</v>
          </cell>
          <cell r="AJ229" t="e">
            <v>#N/A</v>
          </cell>
          <cell r="AK229" t="e">
            <v>#N/A</v>
          </cell>
          <cell r="AL229" t="e">
            <v>#N/A</v>
          </cell>
          <cell r="AM229" t="e">
            <v>#N/A</v>
          </cell>
          <cell r="AN229" t="e">
            <v>#N/A</v>
          </cell>
          <cell r="AO229" t="e">
            <v>#N/A</v>
          </cell>
          <cell r="AP229" t="e">
            <v>#N/A</v>
          </cell>
          <cell r="AQ229" t="e">
            <v>#N/A</v>
          </cell>
          <cell r="AT229" t="e">
            <v>#N/A</v>
          </cell>
          <cell r="AU229" t="e">
            <v>#N/A</v>
          </cell>
          <cell r="AV229" t="e">
            <v>#N/A</v>
          </cell>
          <cell r="AW229" t="e">
            <v>#N/A</v>
          </cell>
          <cell r="AX229" t="e">
            <v>#N/A</v>
          </cell>
          <cell r="AY229" t="e">
            <v>#N/A</v>
          </cell>
          <cell r="AZ229" t="e">
            <v>#N/A</v>
          </cell>
          <cell r="BA229" t="e">
            <v>#N/A</v>
          </cell>
        </row>
        <row r="230">
          <cell r="E230" t="e">
            <v>#N/A</v>
          </cell>
          <cell r="F230" t="e">
            <v>#N/A</v>
          </cell>
          <cell r="S230" t="e">
            <v>#N/A</v>
          </cell>
          <cell r="T230" t="e">
            <v>#N/A</v>
          </cell>
          <cell r="U230" t="e">
            <v>#N/A</v>
          </cell>
          <cell r="V230" t="e">
            <v>#N/A</v>
          </cell>
          <cell r="W230" t="e">
            <v>#N/A</v>
          </cell>
          <cell r="X230" t="e">
            <v>#N/A</v>
          </cell>
          <cell r="AE230" t="e">
            <v>#N/A</v>
          </cell>
          <cell r="AF230" t="e">
            <v>#N/A</v>
          </cell>
          <cell r="AG230" t="e">
            <v>#N/A</v>
          </cell>
          <cell r="AH230" t="e">
            <v>#N/A</v>
          </cell>
          <cell r="AJ230" t="e">
            <v>#N/A</v>
          </cell>
          <cell r="AK230" t="e">
            <v>#N/A</v>
          </cell>
          <cell r="AL230" t="e">
            <v>#N/A</v>
          </cell>
          <cell r="AM230" t="e">
            <v>#N/A</v>
          </cell>
          <cell r="AN230" t="e">
            <v>#N/A</v>
          </cell>
          <cell r="AO230" t="e">
            <v>#N/A</v>
          </cell>
          <cell r="AP230" t="e">
            <v>#N/A</v>
          </cell>
          <cell r="AQ230" t="e">
            <v>#N/A</v>
          </cell>
          <cell r="AT230" t="e">
            <v>#N/A</v>
          </cell>
          <cell r="AU230" t="e">
            <v>#N/A</v>
          </cell>
          <cell r="AV230" t="e">
            <v>#N/A</v>
          </cell>
          <cell r="AW230" t="e">
            <v>#N/A</v>
          </cell>
          <cell r="AX230" t="e">
            <v>#N/A</v>
          </cell>
          <cell r="AY230" t="e">
            <v>#N/A</v>
          </cell>
          <cell r="AZ230" t="e">
            <v>#N/A</v>
          </cell>
          <cell r="BA230" t="e">
            <v>#N/A</v>
          </cell>
        </row>
        <row r="231">
          <cell r="E231" t="e">
            <v>#N/A</v>
          </cell>
          <cell r="F231" t="e">
            <v>#N/A</v>
          </cell>
          <cell r="S231" t="e">
            <v>#N/A</v>
          </cell>
          <cell r="T231" t="e">
            <v>#N/A</v>
          </cell>
          <cell r="U231" t="e">
            <v>#N/A</v>
          </cell>
          <cell r="V231" t="e">
            <v>#N/A</v>
          </cell>
          <cell r="W231" t="e">
            <v>#N/A</v>
          </cell>
          <cell r="X231" t="e">
            <v>#N/A</v>
          </cell>
          <cell r="AE231" t="e">
            <v>#N/A</v>
          </cell>
          <cell r="AF231" t="e">
            <v>#N/A</v>
          </cell>
          <cell r="AG231" t="e">
            <v>#N/A</v>
          </cell>
          <cell r="AH231" t="e">
            <v>#N/A</v>
          </cell>
          <cell r="AJ231" t="e">
            <v>#N/A</v>
          </cell>
          <cell r="AK231" t="e">
            <v>#N/A</v>
          </cell>
          <cell r="AL231" t="e">
            <v>#N/A</v>
          </cell>
          <cell r="AM231" t="e">
            <v>#N/A</v>
          </cell>
          <cell r="AN231" t="e">
            <v>#N/A</v>
          </cell>
          <cell r="AO231" t="e">
            <v>#N/A</v>
          </cell>
          <cell r="AP231" t="e">
            <v>#N/A</v>
          </cell>
          <cell r="AQ231" t="e">
            <v>#N/A</v>
          </cell>
          <cell r="AT231" t="e">
            <v>#N/A</v>
          </cell>
          <cell r="AU231" t="e">
            <v>#N/A</v>
          </cell>
          <cell r="AV231" t="e">
            <v>#N/A</v>
          </cell>
          <cell r="AW231" t="e">
            <v>#N/A</v>
          </cell>
          <cell r="AX231" t="e">
            <v>#N/A</v>
          </cell>
          <cell r="AY231" t="e">
            <v>#N/A</v>
          </cell>
          <cell r="AZ231" t="e">
            <v>#N/A</v>
          </cell>
          <cell r="BA231" t="e">
            <v>#N/A</v>
          </cell>
        </row>
        <row r="232">
          <cell r="E232" t="e">
            <v>#N/A</v>
          </cell>
          <cell r="F232" t="e">
            <v>#N/A</v>
          </cell>
          <cell r="S232" t="e">
            <v>#N/A</v>
          </cell>
          <cell r="T232" t="e">
            <v>#N/A</v>
          </cell>
          <cell r="U232" t="e">
            <v>#N/A</v>
          </cell>
          <cell r="V232" t="e">
            <v>#N/A</v>
          </cell>
          <cell r="W232" t="e">
            <v>#N/A</v>
          </cell>
          <cell r="X232" t="e">
            <v>#N/A</v>
          </cell>
          <cell r="AE232" t="e">
            <v>#N/A</v>
          </cell>
          <cell r="AF232" t="e">
            <v>#N/A</v>
          </cell>
          <cell r="AG232" t="e">
            <v>#N/A</v>
          </cell>
          <cell r="AH232" t="e">
            <v>#N/A</v>
          </cell>
          <cell r="AJ232" t="e">
            <v>#N/A</v>
          </cell>
          <cell r="AK232" t="e">
            <v>#N/A</v>
          </cell>
          <cell r="AL232" t="e">
            <v>#N/A</v>
          </cell>
          <cell r="AM232" t="e">
            <v>#N/A</v>
          </cell>
          <cell r="AN232" t="e">
            <v>#N/A</v>
          </cell>
          <cell r="AO232" t="e">
            <v>#N/A</v>
          </cell>
          <cell r="AP232" t="e">
            <v>#N/A</v>
          </cell>
          <cell r="AQ232" t="e">
            <v>#N/A</v>
          </cell>
          <cell r="AT232" t="e">
            <v>#N/A</v>
          </cell>
          <cell r="AU232" t="e">
            <v>#N/A</v>
          </cell>
          <cell r="AV232" t="e">
            <v>#N/A</v>
          </cell>
          <cell r="AW232" t="e">
            <v>#N/A</v>
          </cell>
          <cell r="AX232" t="e">
            <v>#N/A</v>
          </cell>
          <cell r="AY232" t="e">
            <v>#N/A</v>
          </cell>
          <cell r="AZ232" t="e">
            <v>#N/A</v>
          </cell>
          <cell r="BA232" t="e">
            <v>#N/A</v>
          </cell>
        </row>
        <row r="233">
          <cell r="E233" t="e">
            <v>#N/A</v>
          </cell>
          <cell r="F233" t="e">
            <v>#N/A</v>
          </cell>
          <cell r="S233" t="e">
            <v>#N/A</v>
          </cell>
          <cell r="T233" t="e">
            <v>#N/A</v>
          </cell>
          <cell r="U233" t="e">
            <v>#N/A</v>
          </cell>
          <cell r="V233" t="e">
            <v>#N/A</v>
          </cell>
          <cell r="W233" t="e">
            <v>#N/A</v>
          </cell>
          <cell r="X233" t="e">
            <v>#N/A</v>
          </cell>
          <cell r="AE233" t="e">
            <v>#N/A</v>
          </cell>
          <cell r="AF233" t="e">
            <v>#N/A</v>
          </cell>
          <cell r="AG233" t="e">
            <v>#N/A</v>
          </cell>
          <cell r="AH233" t="e">
            <v>#N/A</v>
          </cell>
          <cell r="AJ233" t="e">
            <v>#N/A</v>
          </cell>
          <cell r="AK233" t="e">
            <v>#N/A</v>
          </cell>
          <cell r="AL233" t="e">
            <v>#N/A</v>
          </cell>
          <cell r="AM233" t="e">
            <v>#N/A</v>
          </cell>
          <cell r="AN233" t="e">
            <v>#N/A</v>
          </cell>
          <cell r="AO233" t="e">
            <v>#N/A</v>
          </cell>
          <cell r="AP233" t="e">
            <v>#N/A</v>
          </cell>
          <cell r="AQ233" t="e">
            <v>#N/A</v>
          </cell>
          <cell r="AT233" t="e">
            <v>#N/A</v>
          </cell>
          <cell r="AU233" t="e">
            <v>#N/A</v>
          </cell>
          <cell r="AV233" t="e">
            <v>#N/A</v>
          </cell>
          <cell r="AW233" t="e">
            <v>#N/A</v>
          </cell>
          <cell r="AX233" t="e">
            <v>#N/A</v>
          </cell>
          <cell r="AY233" t="e">
            <v>#N/A</v>
          </cell>
          <cell r="AZ233" t="e">
            <v>#N/A</v>
          </cell>
          <cell r="BA233" t="e">
            <v>#N/A</v>
          </cell>
        </row>
        <row r="234">
          <cell r="E234" t="e">
            <v>#N/A</v>
          </cell>
          <cell r="F234" t="e">
            <v>#N/A</v>
          </cell>
          <cell r="S234" t="e">
            <v>#N/A</v>
          </cell>
          <cell r="T234" t="e">
            <v>#N/A</v>
          </cell>
          <cell r="U234" t="e">
            <v>#N/A</v>
          </cell>
          <cell r="V234" t="e">
            <v>#N/A</v>
          </cell>
          <cell r="W234" t="e">
            <v>#N/A</v>
          </cell>
          <cell r="X234" t="e">
            <v>#N/A</v>
          </cell>
          <cell r="AE234" t="e">
            <v>#N/A</v>
          </cell>
          <cell r="AF234" t="e">
            <v>#N/A</v>
          </cell>
          <cell r="AG234" t="e">
            <v>#N/A</v>
          </cell>
          <cell r="AH234" t="e">
            <v>#N/A</v>
          </cell>
          <cell r="AJ234" t="e">
            <v>#N/A</v>
          </cell>
          <cell r="AK234" t="e">
            <v>#N/A</v>
          </cell>
          <cell r="AL234" t="e">
            <v>#N/A</v>
          </cell>
          <cell r="AM234" t="e">
            <v>#N/A</v>
          </cell>
          <cell r="AN234" t="e">
            <v>#N/A</v>
          </cell>
          <cell r="AO234" t="e">
            <v>#N/A</v>
          </cell>
          <cell r="AP234" t="e">
            <v>#N/A</v>
          </cell>
          <cell r="AQ234" t="e">
            <v>#N/A</v>
          </cell>
          <cell r="AT234" t="e">
            <v>#N/A</v>
          </cell>
          <cell r="AU234" t="e">
            <v>#N/A</v>
          </cell>
          <cell r="AV234" t="e">
            <v>#N/A</v>
          </cell>
          <cell r="AW234" t="e">
            <v>#N/A</v>
          </cell>
          <cell r="AX234" t="e">
            <v>#N/A</v>
          </cell>
          <cell r="AY234" t="e">
            <v>#N/A</v>
          </cell>
          <cell r="AZ234" t="e">
            <v>#N/A</v>
          </cell>
          <cell r="BA234" t="e">
            <v>#N/A</v>
          </cell>
        </row>
        <row r="235">
          <cell r="E235" t="e">
            <v>#N/A</v>
          </cell>
          <cell r="F235" t="e">
            <v>#N/A</v>
          </cell>
          <cell r="S235" t="e">
            <v>#N/A</v>
          </cell>
          <cell r="T235" t="e">
            <v>#N/A</v>
          </cell>
          <cell r="U235" t="e">
            <v>#N/A</v>
          </cell>
          <cell r="V235" t="e">
            <v>#N/A</v>
          </cell>
          <cell r="W235" t="e">
            <v>#N/A</v>
          </cell>
          <cell r="X235" t="e">
            <v>#N/A</v>
          </cell>
          <cell r="AE235" t="e">
            <v>#N/A</v>
          </cell>
          <cell r="AF235" t="e">
            <v>#N/A</v>
          </cell>
          <cell r="AG235" t="e">
            <v>#N/A</v>
          </cell>
          <cell r="AH235" t="e">
            <v>#N/A</v>
          </cell>
          <cell r="AJ235" t="e">
            <v>#N/A</v>
          </cell>
          <cell r="AK235" t="e">
            <v>#N/A</v>
          </cell>
          <cell r="AL235" t="e">
            <v>#N/A</v>
          </cell>
          <cell r="AM235" t="e">
            <v>#N/A</v>
          </cell>
          <cell r="AN235" t="e">
            <v>#N/A</v>
          </cell>
          <cell r="AO235" t="e">
            <v>#N/A</v>
          </cell>
          <cell r="AP235" t="e">
            <v>#N/A</v>
          </cell>
          <cell r="AQ235" t="e">
            <v>#N/A</v>
          </cell>
          <cell r="AT235" t="e">
            <v>#N/A</v>
          </cell>
          <cell r="AU235" t="e">
            <v>#N/A</v>
          </cell>
          <cell r="AV235" t="e">
            <v>#N/A</v>
          </cell>
          <cell r="AW235" t="e">
            <v>#N/A</v>
          </cell>
          <cell r="AX235" t="e">
            <v>#N/A</v>
          </cell>
          <cell r="AY235" t="e">
            <v>#N/A</v>
          </cell>
          <cell r="AZ235" t="e">
            <v>#N/A</v>
          </cell>
          <cell r="BA235" t="e">
            <v>#N/A</v>
          </cell>
        </row>
        <row r="236">
          <cell r="E236" t="e">
            <v>#N/A</v>
          </cell>
          <cell r="F236" t="e">
            <v>#N/A</v>
          </cell>
          <cell r="S236" t="e">
            <v>#N/A</v>
          </cell>
          <cell r="T236" t="e">
            <v>#N/A</v>
          </cell>
          <cell r="U236" t="e">
            <v>#N/A</v>
          </cell>
          <cell r="V236" t="e">
            <v>#N/A</v>
          </cell>
          <cell r="W236" t="e">
            <v>#N/A</v>
          </cell>
          <cell r="X236" t="e">
            <v>#N/A</v>
          </cell>
          <cell r="AE236" t="e">
            <v>#N/A</v>
          </cell>
          <cell r="AF236" t="e">
            <v>#N/A</v>
          </cell>
          <cell r="AG236" t="e">
            <v>#N/A</v>
          </cell>
          <cell r="AH236" t="e">
            <v>#N/A</v>
          </cell>
          <cell r="AJ236" t="e">
            <v>#N/A</v>
          </cell>
          <cell r="AK236" t="e">
            <v>#N/A</v>
          </cell>
          <cell r="AL236" t="e">
            <v>#N/A</v>
          </cell>
          <cell r="AM236" t="e">
            <v>#N/A</v>
          </cell>
          <cell r="AN236" t="e">
            <v>#N/A</v>
          </cell>
          <cell r="AO236" t="e">
            <v>#N/A</v>
          </cell>
          <cell r="AP236" t="e">
            <v>#N/A</v>
          </cell>
          <cell r="AQ236" t="e">
            <v>#N/A</v>
          </cell>
          <cell r="AT236" t="e">
            <v>#N/A</v>
          </cell>
          <cell r="AU236" t="e">
            <v>#N/A</v>
          </cell>
          <cell r="AV236" t="e">
            <v>#N/A</v>
          </cell>
          <cell r="AW236" t="e">
            <v>#N/A</v>
          </cell>
          <cell r="AX236" t="e">
            <v>#N/A</v>
          </cell>
          <cell r="AY236" t="e">
            <v>#N/A</v>
          </cell>
          <cell r="AZ236" t="e">
            <v>#N/A</v>
          </cell>
          <cell r="BA236" t="e">
            <v>#N/A</v>
          </cell>
        </row>
        <row r="237">
          <cell r="E237" t="e">
            <v>#N/A</v>
          </cell>
          <cell r="F237" t="e">
            <v>#N/A</v>
          </cell>
          <cell r="S237" t="e">
            <v>#N/A</v>
          </cell>
          <cell r="T237" t="e">
            <v>#N/A</v>
          </cell>
          <cell r="U237" t="e">
            <v>#N/A</v>
          </cell>
          <cell r="V237" t="e">
            <v>#N/A</v>
          </cell>
          <cell r="W237" t="e">
            <v>#N/A</v>
          </cell>
          <cell r="X237" t="e">
            <v>#N/A</v>
          </cell>
          <cell r="AE237" t="e">
            <v>#N/A</v>
          </cell>
          <cell r="AF237" t="e">
            <v>#N/A</v>
          </cell>
          <cell r="AG237" t="e">
            <v>#N/A</v>
          </cell>
          <cell r="AH237" t="e">
            <v>#N/A</v>
          </cell>
          <cell r="AJ237" t="e">
            <v>#N/A</v>
          </cell>
          <cell r="AK237" t="e">
            <v>#N/A</v>
          </cell>
          <cell r="AL237" t="e">
            <v>#N/A</v>
          </cell>
          <cell r="AM237" t="e">
            <v>#N/A</v>
          </cell>
          <cell r="AN237" t="e">
            <v>#N/A</v>
          </cell>
          <cell r="AO237" t="e">
            <v>#N/A</v>
          </cell>
          <cell r="AP237" t="e">
            <v>#N/A</v>
          </cell>
          <cell r="AQ237" t="e">
            <v>#N/A</v>
          </cell>
          <cell r="AT237" t="e">
            <v>#N/A</v>
          </cell>
          <cell r="AU237" t="e">
            <v>#N/A</v>
          </cell>
          <cell r="AV237" t="e">
            <v>#N/A</v>
          </cell>
          <cell r="AW237" t="e">
            <v>#N/A</v>
          </cell>
          <cell r="AX237" t="e">
            <v>#N/A</v>
          </cell>
          <cell r="AY237" t="e">
            <v>#N/A</v>
          </cell>
          <cell r="AZ237" t="e">
            <v>#N/A</v>
          </cell>
          <cell r="BA237" t="e">
            <v>#N/A</v>
          </cell>
        </row>
        <row r="238">
          <cell r="E238" t="e">
            <v>#N/A</v>
          </cell>
          <cell r="F238" t="e">
            <v>#N/A</v>
          </cell>
          <cell r="S238" t="e">
            <v>#N/A</v>
          </cell>
          <cell r="T238" t="e">
            <v>#N/A</v>
          </cell>
          <cell r="U238" t="e">
            <v>#N/A</v>
          </cell>
          <cell r="V238" t="e">
            <v>#N/A</v>
          </cell>
          <cell r="W238" t="e">
            <v>#N/A</v>
          </cell>
          <cell r="X238" t="e">
            <v>#N/A</v>
          </cell>
          <cell r="AE238" t="e">
            <v>#N/A</v>
          </cell>
          <cell r="AF238" t="e">
            <v>#N/A</v>
          </cell>
          <cell r="AG238" t="e">
            <v>#N/A</v>
          </cell>
          <cell r="AH238" t="e">
            <v>#N/A</v>
          </cell>
          <cell r="AJ238" t="e">
            <v>#N/A</v>
          </cell>
          <cell r="AK238" t="e">
            <v>#N/A</v>
          </cell>
          <cell r="AL238" t="e">
            <v>#N/A</v>
          </cell>
          <cell r="AM238" t="e">
            <v>#N/A</v>
          </cell>
          <cell r="AN238" t="e">
            <v>#N/A</v>
          </cell>
          <cell r="AO238" t="e">
            <v>#N/A</v>
          </cell>
          <cell r="AP238" t="e">
            <v>#N/A</v>
          </cell>
          <cell r="AQ238" t="e">
            <v>#N/A</v>
          </cell>
          <cell r="AT238" t="e">
            <v>#N/A</v>
          </cell>
          <cell r="AU238" t="e">
            <v>#N/A</v>
          </cell>
          <cell r="AV238" t="e">
            <v>#N/A</v>
          </cell>
          <cell r="AW238" t="e">
            <v>#N/A</v>
          </cell>
          <cell r="AX238" t="e">
            <v>#N/A</v>
          </cell>
          <cell r="AY238" t="e">
            <v>#N/A</v>
          </cell>
          <cell r="AZ238" t="e">
            <v>#N/A</v>
          </cell>
          <cell r="BA238" t="e">
            <v>#N/A</v>
          </cell>
        </row>
        <row r="239">
          <cell r="E239" t="e">
            <v>#N/A</v>
          </cell>
          <cell r="F239" t="e">
            <v>#N/A</v>
          </cell>
          <cell r="S239" t="e">
            <v>#N/A</v>
          </cell>
          <cell r="T239" t="e">
            <v>#N/A</v>
          </cell>
          <cell r="U239" t="e">
            <v>#N/A</v>
          </cell>
          <cell r="V239" t="e">
            <v>#N/A</v>
          </cell>
          <cell r="W239" t="e">
            <v>#N/A</v>
          </cell>
          <cell r="X239" t="e">
            <v>#N/A</v>
          </cell>
          <cell r="AE239" t="e">
            <v>#N/A</v>
          </cell>
          <cell r="AF239" t="e">
            <v>#N/A</v>
          </cell>
          <cell r="AG239" t="e">
            <v>#N/A</v>
          </cell>
          <cell r="AH239" t="e">
            <v>#N/A</v>
          </cell>
          <cell r="AJ239" t="e">
            <v>#N/A</v>
          </cell>
          <cell r="AK239" t="e">
            <v>#N/A</v>
          </cell>
          <cell r="AL239" t="e">
            <v>#N/A</v>
          </cell>
          <cell r="AM239" t="e">
            <v>#N/A</v>
          </cell>
          <cell r="AN239" t="e">
            <v>#N/A</v>
          </cell>
          <cell r="AO239" t="e">
            <v>#N/A</v>
          </cell>
          <cell r="AP239" t="e">
            <v>#N/A</v>
          </cell>
          <cell r="AQ239" t="e">
            <v>#N/A</v>
          </cell>
          <cell r="AT239" t="e">
            <v>#N/A</v>
          </cell>
          <cell r="AU239" t="e">
            <v>#N/A</v>
          </cell>
          <cell r="AV239" t="e">
            <v>#N/A</v>
          </cell>
          <cell r="AW239" t="e">
            <v>#N/A</v>
          </cell>
          <cell r="AX239" t="e">
            <v>#N/A</v>
          </cell>
          <cell r="AY239" t="e">
            <v>#N/A</v>
          </cell>
          <cell r="AZ239" t="e">
            <v>#N/A</v>
          </cell>
          <cell r="BA239" t="e">
            <v>#N/A</v>
          </cell>
        </row>
        <row r="240">
          <cell r="E240" t="e">
            <v>#N/A</v>
          </cell>
          <cell r="F240" t="e">
            <v>#N/A</v>
          </cell>
          <cell r="S240" t="e">
            <v>#N/A</v>
          </cell>
          <cell r="T240" t="e">
            <v>#N/A</v>
          </cell>
          <cell r="U240" t="e">
            <v>#N/A</v>
          </cell>
          <cell r="V240" t="e">
            <v>#N/A</v>
          </cell>
          <cell r="W240" t="e">
            <v>#N/A</v>
          </cell>
          <cell r="X240" t="e">
            <v>#N/A</v>
          </cell>
          <cell r="AE240" t="e">
            <v>#N/A</v>
          </cell>
          <cell r="AF240" t="e">
            <v>#N/A</v>
          </cell>
          <cell r="AG240" t="e">
            <v>#N/A</v>
          </cell>
          <cell r="AH240" t="e">
            <v>#N/A</v>
          </cell>
          <cell r="AJ240" t="e">
            <v>#N/A</v>
          </cell>
          <cell r="AK240" t="e">
            <v>#N/A</v>
          </cell>
          <cell r="AL240" t="e">
            <v>#N/A</v>
          </cell>
          <cell r="AM240" t="e">
            <v>#N/A</v>
          </cell>
          <cell r="AN240" t="e">
            <v>#N/A</v>
          </cell>
          <cell r="AO240" t="e">
            <v>#N/A</v>
          </cell>
          <cell r="AP240" t="e">
            <v>#N/A</v>
          </cell>
          <cell r="AQ240" t="e">
            <v>#N/A</v>
          </cell>
          <cell r="AT240" t="e">
            <v>#N/A</v>
          </cell>
          <cell r="AU240" t="e">
            <v>#N/A</v>
          </cell>
          <cell r="AV240" t="e">
            <v>#N/A</v>
          </cell>
          <cell r="AW240" t="e">
            <v>#N/A</v>
          </cell>
          <cell r="AX240" t="e">
            <v>#N/A</v>
          </cell>
          <cell r="AY240" t="e">
            <v>#N/A</v>
          </cell>
          <cell r="AZ240" t="e">
            <v>#N/A</v>
          </cell>
          <cell r="BA240" t="e">
            <v>#N/A</v>
          </cell>
        </row>
        <row r="241">
          <cell r="E241" t="e">
            <v>#N/A</v>
          </cell>
          <cell r="F241" t="e">
            <v>#N/A</v>
          </cell>
          <cell r="S241" t="e">
            <v>#N/A</v>
          </cell>
          <cell r="T241" t="e">
            <v>#N/A</v>
          </cell>
          <cell r="U241" t="e">
            <v>#N/A</v>
          </cell>
          <cell r="V241" t="e">
            <v>#N/A</v>
          </cell>
          <cell r="W241" t="e">
            <v>#N/A</v>
          </cell>
          <cell r="X241" t="e">
            <v>#N/A</v>
          </cell>
          <cell r="AE241" t="e">
            <v>#N/A</v>
          </cell>
          <cell r="AF241" t="e">
            <v>#N/A</v>
          </cell>
          <cell r="AG241" t="e">
            <v>#N/A</v>
          </cell>
          <cell r="AH241" t="e">
            <v>#N/A</v>
          </cell>
          <cell r="AJ241" t="e">
            <v>#N/A</v>
          </cell>
          <cell r="AK241" t="e">
            <v>#N/A</v>
          </cell>
          <cell r="AL241" t="e">
            <v>#N/A</v>
          </cell>
          <cell r="AM241" t="e">
            <v>#N/A</v>
          </cell>
          <cell r="AN241" t="e">
            <v>#N/A</v>
          </cell>
          <cell r="AO241" t="e">
            <v>#N/A</v>
          </cell>
          <cell r="AP241" t="e">
            <v>#N/A</v>
          </cell>
          <cell r="AQ241" t="e">
            <v>#N/A</v>
          </cell>
          <cell r="AT241" t="e">
            <v>#N/A</v>
          </cell>
          <cell r="AU241" t="e">
            <v>#N/A</v>
          </cell>
          <cell r="AV241" t="e">
            <v>#N/A</v>
          </cell>
          <cell r="AW241" t="e">
            <v>#N/A</v>
          </cell>
          <cell r="AX241" t="e">
            <v>#N/A</v>
          </cell>
          <cell r="AY241" t="e">
            <v>#N/A</v>
          </cell>
          <cell r="AZ241" t="e">
            <v>#N/A</v>
          </cell>
          <cell r="BA241" t="e">
            <v>#N/A</v>
          </cell>
        </row>
        <row r="242">
          <cell r="E242" t="e">
            <v>#N/A</v>
          </cell>
          <cell r="F242" t="e">
            <v>#N/A</v>
          </cell>
          <cell r="S242" t="e">
            <v>#N/A</v>
          </cell>
          <cell r="T242" t="e">
            <v>#N/A</v>
          </cell>
          <cell r="U242" t="e">
            <v>#N/A</v>
          </cell>
          <cell r="V242" t="e">
            <v>#N/A</v>
          </cell>
          <cell r="W242" t="e">
            <v>#N/A</v>
          </cell>
          <cell r="X242" t="e">
            <v>#N/A</v>
          </cell>
          <cell r="AE242" t="e">
            <v>#N/A</v>
          </cell>
          <cell r="AF242" t="e">
            <v>#N/A</v>
          </cell>
          <cell r="AG242" t="e">
            <v>#N/A</v>
          </cell>
          <cell r="AH242" t="e">
            <v>#N/A</v>
          </cell>
          <cell r="AJ242" t="e">
            <v>#N/A</v>
          </cell>
          <cell r="AK242" t="e">
            <v>#N/A</v>
          </cell>
          <cell r="AL242" t="e">
            <v>#N/A</v>
          </cell>
          <cell r="AM242" t="e">
            <v>#N/A</v>
          </cell>
          <cell r="AN242" t="e">
            <v>#N/A</v>
          </cell>
          <cell r="AO242" t="e">
            <v>#N/A</v>
          </cell>
          <cell r="AP242" t="e">
            <v>#N/A</v>
          </cell>
          <cell r="AQ242" t="e">
            <v>#N/A</v>
          </cell>
          <cell r="AT242" t="e">
            <v>#N/A</v>
          </cell>
          <cell r="AU242" t="e">
            <v>#N/A</v>
          </cell>
          <cell r="AV242" t="e">
            <v>#N/A</v>
          </cell>
          <cell r="AW242" t="e">
            <v>#N/A</v>
          </cell>
          <cell r="AX242" t="e">
            <v>#N/A</v>
          </cell>
          <cell r="AY242" t="e">
            <v>#N/A</v>
          </cell>
          <cell r="AZ242" t="e">
            <v>#N/A</v>
          </cell>
          <cell r="BA242" t="e">
            <v>#N/A</v>
          </cell>
        </row>
        <row r="243">
          <cell r="E243" t="e">
            <v>#N/A</v>
          </cell>
          <cell r="F243" t="e">
            <v>#N/A</v>
          </cell>
          <cell r="S243" t="e">
            <v>#N/A</v>
          </cell>
          <cell r="T243" t="e">
            <v>#N/A</v>
          </cell>
          <cell r="U243" t="e">
            <v>#N/A</v>
          </cell>
          <cell r="V243" t="e">
            <v>#N/A</v>
          </cell>
          <cell r="W243" t="e">
            <v>#N/A</v>
          </cell>
          <cell r="X243" t="e">
            <v>#N/A</v>
          </cell>
          <cell r="AE243" t="e">
            <v>#N/A</v>
          </cell>
          <cell r="AF243" t="e">
            <v>#N/A</v>
          </cell>
          <cell r="AG243" t="e">
            <v>#N/A</v>
          </cell>
          <cell r="AH243" t="e">
            <v>#N/A</v>
          </cell>
          <cell r="AJ243" t="e">
            <v>#N/A</v>
          </cell>
          <cell r="AK243" t="e">
            <v>#N/A</v>
          </cell>
          <cell r="AL243" t="e">
            <v>#N/A</v>
          </cell>
          <cell r="AM243" t="e">
            <v>#N/A</v>
          </cell>
          <cell r="AN243" t="e">
            <v>#N/A</v>
          </cell>
          <cell r="AO243" t="e">
            <v>#N/A</v>
          </cell>
          <cell r="AP243" t="e">
            <v>#N/A</v>
          </cell>
          <cell r="AQ243" t="e">
            <v>#N/A</v>
          </cell>
          <cell r="AT243" t="e">
            <v>#N/A</v>
          </cell>
          <cell r="AU243" t="e">
            <v>#N/A</v>
          </cell>
          <cell r="AV243" t="e">
            <v>#N/A</v>
          </cell>
          <cell r="AW243" t="e">
            <v>#N/A</v>
          </cell>
          <cell r="AX243" t="e">
            <v>#N/A</v>
          </cell>
          <cell r="AY243" t="e">
            <v>#N/A</v>
          </cell>
          <cell r="AZ243" t="e">
            <v>#N/A</v>
          </cell>
          <cell r="BA243" t="e">
            <v>#N/A</v>
          </cell>
        </row>
        <row r="244">
          <cell r="E244" t="e">
            <v>#N/A</v>
          </cell>
          <cell r="F244" t="e">
            <v>#N/A</v>
          </cell>
          <cell r="S244" t="e">
            <v>#N/A</v>
          </cell>
          <cell r="T244" t="e">
            <v>#N/A</v>
          </cell>
          <cell r="U244" t="e">
            <v>#N/A</v>
          </cell>
          <cell r="V244" t="e">
            <v>#N/A</v>
          </cell>
          <cell r="W244" t="e">
            <v>#N/A</v>
          </cell>
          <cell r="X244" t="e">
            <v>#N/A</v>
          </cell>
          <cell r="AE244" t="e">
            <v>#N/A</v>
          </cell>
          <cell r="AF244" t="e">
            <v>#N/A</v>
          </cell>
          <cell r="AG244" t="e">
            <v>#N/A</v>
          </cell>
          <cell r="AH244" t="e">
            <v>#N/A</v>
          </cell>
          <cell r="AJ244" t="e">
            <v>#N/A</v>
          </cell>
          <cell r="AK244" t="e">
            <v>#N/A</v>
          </cell>
          <cell r="AL244" t="e">
            <v>#N/A</v>
          </cell>
          <cell r="AM244" t="e">
            <v>#N/A</v>
          </cell>
          <cell r="AN244" t="e">
            <v>#N/A</v>
          </cell>
          <cell r="AO244" t="e">
            <v>#N/A</v>
          </cell>
          <cell r="AP244" t="e">
            <v>#N/A</v>
          </cell>
          <cell r="AQ244" t="e">
            <v>#N/A</v>
          </cell>
          <cell r="AT244" t="e">
            <v>#N/A</v>
          </cell>
          <cell r="AU244" t="e">
            <v>#N/A</v>
          </cell>
          <cell r="AV244" t="e">
            <v>#N/A</v>
          </cell>
          <cell r="AW244" t="e">
            <v>#N/A</v>
          </cell>
          <cell r="AX244" t="e">
            <v>#N/A</v>
          </cell>
          <cell r="AY244" t="e">
            <v>#N/A</v>
          </cell>
          <cell r="AZ244" t="e">
            <v>#N/A</v>
          </cell>
          <cell r="BA244" t="e">
            <v>#N/A</v>
          </cell>
        </row>
        <row r="245">
          <cell r="E245" t="e">
            <v>#N/A</v>
          </cell>
          <cell r="F245" t="e">
            <v>#N/A</v>
          </cell>
          <cell r="S245" t="e">
            <v>#N/A</v>
          </cell>
          <cell r="T245" t="e">
            <v>#N/A</v>
          </cell>
          <cell r="U245" t="e">
            <v>#N/A</v>
          </cell>
          <cell r="V245" t="e">
            <v>#N/A</v>
          </cell>
          <cell r="W245" t="e">
            <v>#N/A</v>
          </cell>
          <cell r="X245" t="e">
            <v>#N/A</v>
          </cell>
          <cell r="AE245" t="e">
            <v>#N/A</v>
          </cell>
          <cell r="AF245" t="e">
            <v>#N/A</v>
          </cell>
          <cell r="AG245" t="e">
            <v>#N/A</v>
          </cell>
          <cell r="AH245" t="e">
            <v>#N/A</v>
          </cell>
          <cell r="AJ245" t="e">
            <v>#N/A</v>
          </cell>
          <cell r="AK245" t="e">
            <v>#N/A</v>
          </cell>
          <cell r="AL245" t="e">
            <v>#N/A</v>
          </cell>
          <cell r="AM245" t="e">
            <v>#N/A</v>
          </cell>
          <cell r="AN245" t="e">
            <v>#N/A</v>
          </cell>
          <cell r="AO245" t="e">
            <v>#N/A</v>
          </cell>
          <cell r="AP245" t="e">
            <v>#N/A</v>
          </cell>
          <cell r="AQ245" t="e">
            <v>#N/A</v>
          </cell>
          <cell r="AT245" t="e">
            <v>#N/A</v>
          </cell>
          <cell r="AU245" t="e">
            <v>#N/A</v>
          </cell>
          <cell r="AV245" t="e">
            <v>#N/A</v>
          </cell>
          <cell r="AW245" t="e">
            <v>#N/A</v>
          </cell>
          <cell r="AX245" t="e">
            <v>#N/A</v>
          </cell>
          <cell r="AY245" t="e">
            <v>#N/A</v>
          </cell>
          <cell r="AZ245" t="e">
            <v>#N/A</v>
          </cell>
          <cell r="BA245" t="e">
            <v>#N/A</v>
          </cell>
        </row>
        <row r="246">
          <cell r="E246" t="e">
            <v>#N/A</v>
          </cell>
          <cell r="F246" t="e">
            <v>#N/A</v>
          </cell>
          <cell r="S246" t="e">
            <v>#N/A</v>
          </cell>
          <cell r="T246" t="e">
            <v>#N/A</v>
          </cell>
          <cell r="U246" t="e">
            <v>#N/A</v>
          </cell>
          <cell r="V246" t="e">
            <v>#N/A</v>
          </cell>
          <cell r="W246" t="e">
            <v>#N/A</v>
          </cell>
          <cell r="X246" t="e">
            <v>#N/A</v>
          </cell>
          <cell r="AE246" t="e">
            <v>#N/A</v>
          </cell>
          <cell r="AF246" t="e">
            <v>#N/A</v>
          </cell>
          <cell r="AG246" t="e">
            <v>#N/A</v>
          </cell>
          <cell r="AH246" t="e">
            <v>#N/A</v>
          </cell>
          <cell r="AJ246" t="e">
            <v>#N/A</v>
          </cell>
          <cell r="AK246" t="e">
            <v>#N/A</v>
          </cell>
          <cell r="AL246" t="e">
            <v>#N/A</v>
          </cell>
          <cell r="AM246" t="e">
            <v>#N/A</v>
          </cell>
          <cell r="AN246" t="e">
            <v>#N/A</v>
          </cell>
          <cell r="AO246" t="e">
            <v>#N/A</v>
          </cell>
          <cell r="AP246" t="e">
            <v>#N/A</v>
          </cell>
          <cell r="AQ246" t="e">
            <v>#N/A</v>
          </cell>
          <cell r="AT246" t="e">
            <v>#N/A</v>
          </cell>
          <cell r="AU246" t="e">
            <v>#N/A</v>
          </cell>
          <cell r="AV246" t="e">
            <v>#N/A</v>
          </cell>
          <cell r="AW246" t="e">
            <v>#N/A</v>
          </cell>
          <cell r="AX246" t="e">
            <v>#N/A</v>
          </cell>
          <cell r="AY246" t="e">
            <v>#N/A</v>
          </cell>
          <cell r="AZ246" t="e">
            <v>#N/A</v>
          </cell>
          <cell r="BA246" t="e">
            <v>#N/A</v>
          </cell>
        </row>
        <row r="247">
          <cell r="E247" t="e">
            <v>#N/A</v>
          </cell>
          <cell r="F247" t="e">
            <v>#N/A</v>
          </cell>
          <cell r="S247" t="e">
            <v>#N/A</v>
          </cell>
          <cell r="T247" t="e">
            <v>#N/A</v>
          </cell>
          <cell r="U247" t="e">
            <v>#N/A</v>
          </cell>
          <cell r="V247" t="e">
            <v>#N/A</v>
          </cell>
          <cell r="W247" t="e">
            <v>#N/A</v>
          </cell>
          <cell r="X247" t="e">
            <v>#N/A</v>
          </cell>
          <cell r="AE247" t="e">
            <v>#N/A</v>
          </cell>
          <cell r="AF247" t="e">
            <v>#N/A</v>
          </cell>
          <cell r="AG247" t="e">
            <v>#N/A</v>
          </cell>
          <cell r="AH247" t="e">
            <v>#N/A</v>
          </cell>
          <cell r="AJ247" t="e">
            <v>#N/A</v>
          </cell>
          <cell r="AK247" t="e">
            <v>#N/A</v>
          </cell>
          <cell r="AL247" t="e">
            <v>#N/A</v>
          </cell>
          <cell r="AM247" t="e">
            <v>#N/A</v>
          </cell>
          <cell r="AN247" t="e">
            <v>#N/A</v>
          </cell>
          <cell r="AO247" t="e">
            <v>#N/A</v>
          </cell>
          <cell r="AP247" t="e">
            <v>#N/A</v>
          </cell>
          <cell r="AQ247" t="e">
            <v>#N/A</v>
          </cell>
          <cell r="AT247" t="e">
            <v>#N/A</v>
          </cell>
          <cell r="AU247" t="e">
            <v>#N/A</v>
          </cell>
          <cell r="AV247" t="e">
            <v>#N/A</v>
          </cell>
          <cell r="AW247" t="e">
            <v>#N/A</v>
          </cell>
          <cell r="AX247" t="e">
            <v>#N/A</v>
          </cell>
          <cell r="AY247" t="e">
            <v>#N/A</v>
          </cell>
          <cell r="AZ247" t="e">
            <v>#N/A</v>
          </cell>
          <cell r="BA247" t="e">
            <v>#N/A</v>
          </cell>
        </row>
        <row r="248">
          <cell r="E248" t="e">
            <v>#N/A</v>
          </cell>
          <cell r="F248" t="e">
            <v>#N/A</v>
          </cell>
          <cell r="S248" t="e">
            <v>#N/A</v>
          </cell>
          <cell r="T248" t="e">
            <v>#N/A</v>
          </cell>
          <cell r="U248" t="e">
            <v>#N/A</v>
          </cell>
          <cell r="V248" t="e">
            <v>#N/A</v>
          </cell>
          <cell r="W248" t="e">
            <v>#N/A</v>
          </cell>
          <cell r="X248" t="e">
            <v>#N/A</v>
          </cell>
          <cell r="AE248" t="e">
            <v>#N/A</v>
          </cell>
          <cell r="AF248" t="e">
            <v>#N/A</v>
          </cell>
          <cell r="AG248" t="e">
            <v>#N/A</v>
          </cell>
          <cell r="AH248" t="e">
            <v>#N/A</v>
          </cell>
          <cell r="AJ248" t="e">
            <v>#N/A</v>
          </cell>
          <cell r="AK248" t="e">
            <v>#N/A</v>
          </cell>
          <cell r="AL248" t="e">
            <v>#N/A</v>
          </cell>
          <cell r="AM248" t="e">
            <v>#N/A</v>
          </cell>
          <cell r="AN248" t="e">
            <v>#N/A</v>
          </cell>
          <cell r="AO248" t="e">
            <v>#N/A</v>
          </cell>
          <cell r="AP248" t="e">
            <v>#N/A</v>
          </cell>
          <cell r="AQ248" t="e">
            <v>#N/A</v>
          </cell>
          <cell r="AT248" t="e">
            <v>#N/A</v>
          </cell>
          <cell r="AU248" t="e">
            <v>#N/A</v>
          </cell>
          <cell r="AV248" t="e">
            <v>#N/A</v>
          </cell>
          <cell r="AW248" t="e">
            <v>#N/A</v>
          </cell>
          <cell r="AX248" t="e">
            <v>#N/A</v>
          </cell>
          <cell r="AY248" t="e">
            <v>#N/A</v>
          </cell>
          <cell r="AZ248" t="e">
            <v>#N/A</v>
          </cell>
          <cell r="BA248" t="e">
            <v>#N/A</v>
          </cell>
        </row>
        <row r="249">
          <cell r="E249" t="e">
            <v>#N/A</v>
          </cell>
          <cell r="F249" t="e">
            <v>#N/A</v>
          </cell>
          <cell r="S249" t="e">
            <v>#N/A</v>
          </cell>
          <cell r="T249" t="e">
            <v>#N/A</v>
          </cell>
          <cell r="U249" t="e">
            <v>#N/A</v>
          </cell>
          <cell r="V249" t="e">
            <v>#N/A</v>
          </cell>
          <cell r="W249" t="e">
            <v>#N/A</v>
          </cell>
          <cell r="X249" t="e">
            <v>#N/A</v>
          </cell>
          <cell r="AE249" t="e">
            <v>#N/A</v>
          </cell>
          <cell r="AF249" t="e">
            <v>#N/A</v>
          </cell>
          <cell r="AG249" t="e">
            <v>#N/A</v>
          </cell>
          <cell r="AH249" t="e">
            <v>#N/A</v>
          </cell>
          <cell r="AJ249" t="e">
            <v>#N/A</v>
          </cell>
          <cell r="AK249" t="e">
            <v>#N/A</v>
          </cell>
          <cell r="AL249" t="e">
            <v>#N/A</v>
          </cell>
          <cell r="AM249" t="e">
            <v>#N/A</v>
          </cell>
          <cell r="AN249" t="e">
            <v>#N/A</v>
          </cell>
          <cell r="AO249" t="e">
            <v>#N/A</v>
          </cell>
          <cell r="AP249" t="e">
            <v>#N/A</v>
          </cell>
          <cell r="AQ249" t="e">
            <v>#N/A</v>
          </cell>
          <cell r="AT249" t="e">
            <v>#N/A</v>
          </cell>
          <cell r="AU249" t="e">
            <v>#N/A</v>
          </cell>
          <cell r="AV249" t="e">
            <v>#N/A</v>
          </cell>
          <cell r="AW249" t="e">
            <v>#N/A</v>
          </cell>
          <cell r="AX249" t="e">
            <v>#N/A</v>
          </cell>
          <cell r="AY249" t="e">
            <v>#N/A</v>
          </cell>
          <cell r="AZ249" t="e">
            <v>#N/A</v>
          </cell>
          <cell r="BA249" t="e">
            <v>#N/A</v>
          </cell>
        </row>
        <row r="250">
          <cell r="E250" t="e">
            <v>#N/A</v>
          </cell>
          <cell r="F250" t="e">
            <v>#N/A</v>
          </cell>
          <cell r="S250" t="e">
            <v>#N/A</v>
          </cell>
          <cell r="T250" t="e">
            <v>#N/A</v>
          </cell>
          <cell r="U250" t="e">
            <v>#N/A</v>
          </cell>
          <cell r="V250" t="e">
            <v>#N/A</v>
          </cell>
          <cell r="W250" t="e">
            <v>#N/A</v>
          </cell>
          <cell r="X250" t="e">
            <v>#N/A</v>
          </cell>
          <cell r="AE250" t="e">
            <v>#N/A</v>
          </cell>
          <cell r="AF250" t="e">
            <v>#N/A</v>
          </cell>
          <cell r="AG250" t="e">
            <v>#N/A</v>
          </cell>
          <cell r="AH250" t="e">
            <v>#N/A</v>
          </cell>
          <cell r="AJ250" t="e">
            <v>#N/A</v>
          </cell>
          <cell r="AK250" t="e">
            <v>#N/A</v>
          </cell>
          <cell r="AL250" t="e">
            <v>#N/A</v>
          </cell>
          <cell r="AM250" t="e">
            <v>#N/A</v>
          </cell>
          <cell r="AN250" t="e">
            <v>#N/A</v>
          </cell>
          <cell r="AO250" t="e">
            <v>#N/A</v>
          </cell>
          <cell r="AP250" t="e">
            <v>#N/A</v>
          </cell>
          <cell r="AQ250" t="e">
            <v>#N/A</v>
          </cell>
          <cell r="AT250" t="e">
            <v>#N/A</v>
          </cell>
          <cell r="AU250" t="e">
            <v>#N/A</v>
          </cell>
          <cell r="AV250" t="e">
            <v>#N/A</v>
          </cell>
          <cell r="AW250" t="e">
            <v>#N/A</v>
          </cell>
          <cell r="AX250" t="e">
            <v>#N/A</v>
          </cell>
          <cell r="AY250" t="e">
            <v>#N/A</v>
          </cell>
          <cell r="AZ250" t="e">
            <v>#N/A</v>
          </cell>
          <cell r="BA250" t="e">
            <v>#N/A</v>
          </cell>
        </row>
        <row r="251">
          <cell r="E251" t="e">
            <v>#N/A</v>
          </cell>
          <cell r="F251" t="e">
            <v>#N/A</v>
          </cell>
          <cell r="S251" t="e">
            <v>#N/A</v>
          </cell>
          <cell r="T251" t="e">
            <v>#N/A</v>
          </cell>
          <cell r="U251" t="e">
            <v>#N/A</v>
          </cell>
          <cell r="V251" t="e">
            <v>#N/A</v>
          </cell>
          <cell r="W251" t="e">
            <v>#N/A</v>
          </cell>
          <cell r="X251" t="e">
            <v>#N/A</v>
          </cell>
          <cell r="AE251" t="e">
            <v>#N/A</v>
          </cell>
          <cell r="AF251" t="e">
            <v>#N/A</v>
          </cell>
          <cell r="AG251" t="e">
            <v>#N/A</v>
          </cell>
          <cell r="AH251" t="e">
            <v>#N/A</v>
          </cell>
          <cell r="AJ251" t="e">
            <v>#N/A</v>
          </cell>
          <cell r="AK251" t="e">
            <v>#N/A</v>
          </cell>
          <cell r="AL251" t="e">
            <v>#N/A</v>
          </cell>
          <cell r="AM251" t="e">
            <v>#N/A</v>
          </cell>
          <cell r="AN251" t="e">
            <v>#N/A</v>
          </cell>
          <cell r="AO251" t="e">
            <v>#N/A</v>
          </cell>
          <cell r="AP251" t="e">
            <v>#N/A</v>
          </cell>
          <cell r="AQ251" t="e">
            <v>#N/A</v>
          </cell>
          <cell r="AT251" t="e">
            <v>#N/A</v>
          </cell>
          <cell r="AU251" t="e">
            <v>#N/A</v>
          </cell>
          <cell r="AV251" t="e">
            <v>#N/A</v>
          </cell>
          <cell r="AW251" t="e">
            <v>#N/A</v>
          </cell>
          <cell r="AX251" t="e">
            <v>#N/A</v>
          </cell>
          <cell r="AY251" t="e">
            <v>#N/A</v>
          </cell>
          <cell r="AZ251" t="e">
            <v>#N/A</v>
          </cell>
          <cell r="BA251" t="e">
            <v>#N/A</v>
          </cell>
        </row>
        <row r="252">
          <cell r="E252" t="e">
            <v>#N/A</v>
          </cell>
          <cell r="F252" t="e">
            <v>#N/A</v>
          </cell>
          <cell r="S252" t="e">
            <v>#N/A</v>
          </cell>
          <cell r="T252" t="e">
            <v>#N/A</v>
          </cell>
          <cell r="U252" t="e">
            <v>#N/A</v>
          </cell>
          <cell r="V252" t="e">
            <v>#N/A</v>
          </cell>
          <cell r="W252" t="e">
            <v>#N/A</v>
          </cell>
          <cell r="X252" t="e">
            <v>#N/A</v>
          </cell>
          <cell r="AE252" t="e">
            <v>#N/A</v>
          </cell>
          <cell r="AF252" t="e">
            <v>#N/A</v>
          </cell>
          <cell r="AG252" t="e">
            <v>#N/A</v>
          </cell>
          <cell r="AH252" t="e">
            <v>#N/A</v>
          </cell>
          <cell r="AJ252" t="e">
            <v>#N/A</v>
          </cell>
          <cell r="AK252" t="e">
            <v>#N/A</v>
          </cell>
          <cell r="AL252" t="e">
            <v>#N/A</v>
          </cell>
          <cell r="AM252" t="e">
            <v>#N/A</v>
          </cell>
          <cell r="AN252" t="e">
            <v>#N/A</v>
          </cell>
          <cell r="AO252" t="e">
            <v>#N/A</v>
          </cell>
          <cell r="AP252" t="e">
            <v>#N/A</v>
          </cell>
          <cell r="AQ252" t="e">
            <v>#N/A</v>
          </cell>
          <cell r="AT252" t="e">
            <v>#N/A</v>
          </cell>
          <cell r="AU252" t="e">
            <v>#N/A</v>
          </cell>
          <cell r="AV252" t="e">
            <v>#N/A</v>
          </cell>
          <cell r="AW252" t="e">
            <v>#N/A</v>
          </cell>
          <cell r="AX252" t="e">
            <v>#N/A</v>
          </cell>
          <cell r="AY252" t="e">
            <v>#N/A</v>
          </cell>
          <cell r="AZ252" t="e">
            <v>#N/A</v>
          </cell>
          <cell r="BA252" t="e">
            <v>#N/A</v>
          </cell>
        </row>
        <row r="253">
          <cell r="E253" t="e">
            <v>#N/A</v>
          </cell>
          <cell r="F253" t="e">
            <v>#N/A</v>
          </cell>
          <cell r="S253" t="e">
            <v>#N/A</v>
          </cell>
          <cell r="T253" t="e">
            <v>#N/A</v>
          </cell>
          <cell r="U253" t="e">
            <v>#N/A</v>
          </cell>
          <cell r="V253" t="e">
            <v>#N/A</v>
          </cell>
          <cell r="W253" t="e">
            <v>#N/A</v>
          </cell>
          <cell r="X253" t="e">
            <v>#N/A</v>
          </cell>
          <cell r="AE253" t="e">
            <v>#N/A</v>
          </cell>
          <cell r="AF253" t="e">
            <v>#N/A</v>
          </cell>
          <cell r="AG253" t="e">
            <v>#N/A</v>
          </cell>
          <cell r="AH253" t="e">
            <v>#N/A</v>
          </cell>
          <cell r="AJ253" t="e">
            <v>#N/A</v>
          </cell>
          <cell r="AK253" t="e">
            <v>#N/A</v>
          </cell>
          <cell r="AL253" t="e">
            <v>#N/A</v>
          </cell>
          <cell r="AM253" t="e">
            <v>#N/A</v>
          </cell>
          <cell r="AN253" t="e">
            <v>#N/A</v>
          </cell>
          <cell r="AO253" t="e">
            <v>#N/A</v>
          </cell>
          <cell r="AP253" t="e">
            <v>#N/A</v>
          </cell>
          <cell r="AQ253" t="e">
            <v>#N/A</v>
          </cell>
          <cell r="AT253" t="e">
            <v>#N/A</v>
          </cell>
          <cell r="AU253" t="e">
            <v>#N/A</v>
          </cell>
          <cell r="AV253" t="e">
            <v>#N/A</v>
          </cell>
          <cell r="AW253" t="e">
            <v>#N/A</v>
          </cell>
          <cell r="AX253" t="e">
            <v>#N/A</v>
          </cell>
          <cell r="AY253" t="e">
            <v>#N/A</v>
          </cell>
          <cell r="AZ253" t="e">
            <v>#N/A</v>
          </cell>
          <cell r="BA253" t="e">
            <v>#N/A</v>
          </cell>
        </row>
        <row r="254">
          <cell r="E254" t="e">
            <v>#N/A</v>
          </cell>
          <cell r="F254" t="e">
            <v>#N/A</v>
          </cell>
          <cell r="S254" t="e">
            <v>#N/A</v>
          </cell>
          <cell r="T254" t="e">
            <v>#N/A</v>
          </cell>
          <cell r="U254" t="e">
            <v>#N/A</v>
          </cell>
          <cell r="V254" t="e">
            <v>#N/A</v>
          </cell>
          <cell r="W254" t="e">
            <v>#N/A</v>
          </cell>
          <cell r="X254" t="e">
            <v>#N/A</v>
          </cell>
          <cell r="AE254" t="e">
            <v>#N/A</v>
          </cell>
          <cell r="AF254" t="e">
            <v>#N/A</v>
          </cell>
          <cell r="AG254" t="e">
            <v>#N/A</v>
          </cell>
          <cell r="AH254" t="e">
            <v>#N/A</v>
          </cell>
          <cell r="AJ254" t="e">
            <v>#N/A</v>
          </cell>
          <cell r="AK254" t="e">
            <v>#N/A</v>
          </cell>
          <cell r="AL254" t="e">
            <v>#N/A</v>
          </cell>
          <cell r="AM254" t="e">
            <v>#N/A</v>
          </cell>
          <cell r="AN254" t="e">
            <v>#N/A</v>
          </cell>
          <cell r="AO254" t="e">
            <v>#N/A</v>
          </cell>
          <cell r="AP254" t="e">
            <v>#N/A</v>
          </cell>
          <cell r="AQ254" t="e">
            <v>#N/A</v>
          </cell>
          <cell r="AT254" t="e">
            <v>#N/A</v>
          </cell>
          <cell r="AU254" t="e">
            <v>#N/A</v>
          </cell>
          <cell r="AV254" t="e">
            <v>#N/A</v>
          </cell>
          <cell r="AW254" t="e">
            <v>#N/A</v>
          </cell>
          <cell r="AX254" t="e">
            <v>#N/A</v>
          </cell>
          <cell r="AY254" t="e">
            <v>#N/A</v>
          </cell>
          <cell r="AZ254" t="e">
            <v>#N/A</v>
          </cell>
          <cell r="BA254" t="e">
            <v>#N/A</v>
          </cell>
        </row>
        <row r="255">
          <cell r="E255" t="e">
            <v>#N/A</v>
          </cell>
          <cell r="F255" t="e">
            <v>#N/A</v>
          </cell>
          <cell r="S255" t="e">
            <v>#N/A</v>
          </cell>
          <cell r="T255" t="e">
            <v>#N/A</v>
          </cell>
          <cell r="U255" t="e">
            <v>#N/A</v>
          </cell>
          <cell r="V255" t="e">
            <v>#N/A</v>
          </cell>
          <cell r="W255" t="e">
            <v>#N/A</v>
          </cell>
          <cell r="X255" t="e">
            <v>#N/A</v>
          </cell>
          <cell r="AE255" t="e">
            <v>#N/A</v>
          </cell>
          <cell r="AF255" t="e">
            <v>#N/A</v>
          </cell>
          <cell r="AG255" t="e">
            <v>#N/A</v>
          </cell>
          <cell r="AH255" t="e">
            <v>#N/A</v>
          </cell>
          <cell r="AJ255" t="e">
            <v>#N/A</v>
          </cell>
          <cell r="AK255" t="e">
            <v>#N/A</v>
          </cell>
          <cell r="AL255" t="e">
            <v>#N/A</v>
          </cell>
          <cell r="AM255" t="e">
            <v>#N/A</v>
          </cell>
          <cell r="AN255" t="e">
            <v>#N/A</v>
          </cell>
          <cell r="AO255" t="e">
            <v>#N/A</v>
          </cell>
          <cell r="AP255" t="e">
            <v>#N/A</v>
          </cell>
          <cell r="AQ255" t="e">
            <v>#N/A</v>
          </cell>
          <cell r="AT255" t="e">
            <v>#N/A</v>
          </cell>
          <cell r="AU255" t="e">
            <v>#N/A</v>
          </cell>
          <cell r="AV255" t="e">
            <v>#N/A</v>
          </cell>
          <cell r="AW255" t="e">
            <v>#N/A</v>
          </cell>
          <cell r="AX255" t="e">
            <v>#N/A</v>
          </cell>
          <cell r="AY255" t="e">
            <v>#N/A</v>
          </cell>
          <cell r="AZ255" t="e">
            <v>#N/A</v>
          </cell>
          <cell r="BA255" t="e">
            <v>#N/A</v>
          </cell>
        </row>
        <row r="256">
          <cell r="E256" t="e">
            <v>#N/A</v>
          </cell>
          <cell r="F256" t="e">
            <v>#N/A</v>
          </cell>
          <cell r="S256" t="e">
            <v>#N/A</v>
          </cell>
          <cell r="T256" t="e">
            <v>#N/A</v>
          </cell>
          <cell r="U256" t="e">
            <v>#N/A</v>
          </cell>
          <cell r="V256" t="e">
            <v>#N/A</v>
          </cell>
          <cell r="W256" t="e">
            <v>#N/A</v>
          </cell>
          <cell r="X256" t="e">
            <v>#N/A</v>
          </cell>
          <cell r="AE256" t="e">
            <v>#N/A</v>
          </cell>
          <cell r="AF256" t="e">
            <v>#N/A</v>
          </cell>
          <cell r="AG256" t="e">
            <v>#N/A</v>
          </cell>
          <cell r="AH256" t="e">
            <v>#N/A</v>
          </cell>
          <cell r="AJ256" t="e">
            <v>#N/A</v>
          </cell>
          <cell r="AK256" t="e">
            <v>#N/A</v>
          </cell>
          <cell r="AL256" t="e">
            <v>#N/A</v>
          </cell>
          <cell r="AM256" t="e">
            <v>#N/A</v>
          </cell>
          <cell r="AN256" t="e">
            <v>#N/A</v>
          </cell>
          <cell r="AO256" t="e">
            <v>#N/A</v>
          </cell>
          <cell r="AP256" t="e">
            <v>#N/A</v>
          </cell>
          <cell r="AQ256" t="e">
            <v>#N/A</v>
          </cell>
          <cell r="AT256" t="e">
            <v>#N/A</v>
          </cell>
          <cell r="AU256" t="e">
            <v>#N/A</v>
          </cell>
          <cell r="AV256" t="e">
            <v>#N/A</v>
          </cell>
          <cell r="AW256" t="e">
            <v>#N/A</v>
          </cell>
          <cell r="AX256" t="e">
            <v>#N/A</v>
          </cell>
          <cell r="AY256" t="e">
            <v>#N/A</v>
          </cell>
          <cell r="AZ256" t="e">
            <v>#N/A</v>
          </cell>
          <cell r="BA256" t="e">
            <v>#N/A</v>
          </cell>
        </row>
        <row r="257">
          <cell r="E257" t="e">
            <v>#N/A</v>
          </cell>
          <cell r="F257" t="e">
            <v>#N/A</v>
          </cell>
          <cell r="S257" t="e">
            <v>#N/A</v>
          </cell>
          <cell r="T257" t="e">
            <v>#N/A</v>
          </cell>
          <cell r="U257" t="e">
            <v>#N/A</v>
          </cell>
          <cell r="V257" t="e">
            <v>#N/A</v>
          </cell>
          <cell r="W257" t="e">
            <v>#N/A</v>
          </cell>
          <cell r="X257" t="e">
            <v>#N/A</v>
          </cell>
          <cell r="AE257" t="e">
            <v>#N/A</v>
          </cell>
          <cell r="AF257" t="e">
            <v>#N/A</v>
          </cell>
          <cell r="AG257" t="e">
            <v>#N/A</v>
          </cell>
          <cell r="AH257" t="e">
            <v>#N/A</v>
          </cell>
          <cell r="AJ257" t="e">
            <v>#N/A</v>
          </cell>
          <cell r="AK257" t="e">
            <v>#N/A</v>
          </cell>
          <cell r="AL257" t="e">
            <v>#N/A</v>
          </cell>
          <cell r="AM257" t="e">
            <v>#N/A</v>
          </cell>
          <cell r="AN257" t="e">
            <v>#N/A</v>
          </cell>
          <cell r="AO257" t="e">
            <v>#N/A</v>
          </cell>
          <cell r="AP257" t="e">
            <v>#N/A</v>
          </cell>
          <cell r="AQ257" t="e">
            <v>#N/A</v>
          </cell>
          <cell r="AT257" t="e">
            <v>#N/A</v>
          </cell>
          <cell r="AU257" t="e">
            <v>#N/A</v>
          </cell>
          <cell r="AV257" t="e">
            <v>#N/A</v>
          </cell>
          <cell r="AW257" t="e">
            <v>#N/A</v>
          </cell>
          <cell r="AX257" t="e">
            <v>#N/A</v>
          </cell>
          <cell r="AY257" t="e">
            <v>#N/A</v>
          </cell>
          <cell r="AZ257" t="e">
            <v>#N/A</v>
          </cell>
          <cell r="BA257" t="e">
            <v>#N/A</v>
          </cell>
        </row>
        <row r="258">
          <cell r="E258" t="e">
            <v>#N/A</v>
          </cell>
          <cell r="F258" t="e">
            <v>#N/A</v>
          </cell>
          <cell r="S258" t="e">
            <v>#N/A</v>
          </cell>
          <cell r="T258" t="e">
            <v>#N/A</v>
          </cell>
          <cell r="U258" t="e">
            <v>#N/A</v>
          </cell>
          <cell r="V258" t="e">
            <v>#N/A</v>
          </cell>
          <cell r="W258" t="e">
            <v>#N/A</v>
          </cell>
          <cell r="X258" t="e">
            <v>#N/A</v>
          </cell>
          <cell r="AE258" t="e">
            <v>#N/A</v>
          </cell>
          <cell r="AF258" t="e">
            <v>#N/A</v>
          </cell>
          <cell r="AG258" t="e">
            <v>#N/A</v>
          </cell>
          <cell r="AH258" t="e">
            <v>#N/A</v>
          </cell>
          <cell r="AJ258" t="e">
            <v>#N/A</v>
          </cell>
          <cell r="AK258" t="e">
            <v>#N/A</v>
          </cell>
          <cell r="AL258" t="e">
            <v>#N/A</v>
          </cell>
          <cell r="AM258" t="e">
            <v>#N/A</v>
          </cell>
          <cell r="AN258" t="e">
            <v>#N/A</v>
          </cell>
          <cell r="AO258" t="e">
            <v>#N/A</v>
          </cell>
          <cell r="AP258" t="e">
            <v>#N/A</v>
          </cell>
          <cell r="AQ258" t="e">
            <v>#N/A</v>
          </cell>
          <cell r="AT258" t="e">
            <v>#N/A</v>
          </cell>
          <cell r="AU258" t="e">
            <v>#N/A</v>
          </cell>
          <cell r="AV258" t="e">
            <v>#N/A</v>
          </cell>
          <cell r="AW258" t="e">
            <v>#N/A</v>
          </cell>
          <cell r="AX258" t="e">
            <v>#N/A</v>
          </cell>
          <cell r="AY258" t="e">
            <v>#N/A</v>
          </cell>
          <cell r="AZ258" t="e">
            <v>#N/A</v>
          </cell>
          <cell r="BA258" t="e">
            <v>#N/A</v>
          </cell>
        </row>
        <row r="259">
          <cell r="E259" t="e">
            <v>#N/A</v>
          </cell>
          <cell r="F259" t="e">
            <v>#N/A</v>
          </cell>
          <cell r="S259" t="e">
            <v>#N/A</v>
          </cell>
          <cell r="T259" t="e">
            <v>#N/A</v>
          </cell>
          <cell r="U259" t="e">
            <v>#N/A</v>
          </cell>
          <cell r="V259" t="e">
            <v>#N/A</v>
          </cell>
          <cell r="W259" t="e">
            <v>#N/A</v>
          </cell>
          <cell r="X259" t="e">
            <v>#N/A</v>
          </cell>
          <cell r="AE259" t="e">
            <v>#N/A</v>
          </cell>
          <cell r="AF259" t="e">
            <v>#N/A</v>
          </cell>
          <cell r="AG259" t="e">
            <v>#N/A</v>
          </cell>
          <cell r="AH259" t="e">
            <v>#N/A</v>
          </cell>
          <cell r="AJ259" t="e">
            <v>#N/A</v>
          </cell>
          <cell r="AK259" t="e">
            <v>#N/A</v>
          </cell>
          <cell r="AL259" t="e">
            <v>#N/A</v>
          </cell>
          <cell r="AM259" t="e">
            <v>#N/A</v>
          </cell>
          <cell r="AN259" t="e">
            <v>#N/A</v>
          </cell>
          <cell r="AO259" t="e">
            <v>#N/A</v>
          </cell>
          <cell r="AP259" t="e">
            <v>#N/A</v>
          </cell>
          <cell r="AQ259" t="e">
            <v>#N/A</v>
          </cell>
          <cell r="AT259" t="e">
            <v>#N/A</v>
          </cell>
          <cell r="AU259" t="e">
            <v>#N/A</v>
          </cell>
          <cell r="AV259" t="e">
            <v>#N/A</v>
          </cell>
          <cell r="AW259" t="e">
            <v>#N/A</v>
          </cell>
          <cell r="AX259" t="e">
            <v>#N/A</v>
          </cell>
          <cell r="AY259" t="e">
            <v>#N/A</v>
          </cell>
          <cell r="AZ259" t="e">
            <v>#N/A</v>
          </cell>
          <cell r="BA259" t="e">
            <v>#N/A</v>
          </cell>
        </row>
        <row r="260">
          <cell r="E260" t="e">
            <v>#N/A</v>
          </cell>
          <cell r="F260" t="e">
            <v>#N/A</v>
          </cell>
          <cell r="S260" t="e">
            <v>#N/A</v>
          </cell>
          <cell r="T260" t="e">
            <v>#N/A</v>
          </cell>
          <cell r="U260" t="e">
            <v>#N/A</v>
          </cell>
          <cell r="V260" t="e">
            <v>#N/A</v>
          </cell>
          <cell r="W260" t="e">
            <v>#N/A</v>
          </cell>
          <cell r="X260" t="e">
            <v>#N/A</v>
          </cell>
          <cell r="AE260" t="e">
            <v>#N/A</v>
          </cell>
          <cell r="AF260" t="e">
            <v>#N/A</v>
          </cell>
          <cell r="AG260" t="e">
            <v>#N/A</v>
          </cell>
          <cell r="AH260" t="e">
            <v>#N/A</v>
          </cell>
          <cell r="AJ260" t="e">
            <v>#N/A</v>
          </cell>
          <cell r="AK260" t="e">
            <v>#N/A</v>
          </cell>
          <cell r="AL260" t="e">
            <v>#N/A</v>
          </cell>
          <cell r="AM260" t="e">
            <v>#N/A</v>
          </cell>
          <cell r="AN260" t="e">
            <v>#N/A</v>
          </cell>
          <cell r="AO260" t="e">
            <v>#N/A</v>
          </cell>
          <cell r="AP260" t="e">
            <v>#N/A</v>
          </cell>
          <cell r="AQ260" t="e">
            <v>#N/A</v>
          </cell>
          <cell r="AT260" t="e">
            <v>#N/A</v>
          </cell>
          <cell r="AU260" t="e">
            <v>#N/A</v>
          </cell>
          <cell r="AV260" t="e">
            <v>#N/A</v>
          </cell>
          <cell r="AW260" t="e">
            <v>#N/A</v>
          </cell>
          <cell r="AX260" t="e">
            <v>#N/A</v>
          </cell>
          <cell r="AY260" t="e">
            <v>#N/A</v>
          </cell>
          <cell r="AZ260" t="e">
            <v>#N/A</v>
          </cell>
          <cell r="BA260" t="e">
            <v>#N/A</v>
          </cell>
        </row>
        <row r="261">
          <cell r="E261" t="e">
            <v>#N/A</v>
          </cell>
          <cell r="F261" t="e">
            <v>#N/A</v>
          </cell>
          <cell r="S261" t="e">
            <v>#N/A</v>
          </cell>
          <cell r="T261" t="e">
            <v>#N/A</v>
          </cell>
          <cell r="U261" t="e">
            <v>#N/A</v>
          </cell>
          <cell r="V261" t="e">
            <v>#N/A</v>
          </cell>
          <cell r="W261" t="e">
            <v>#N/A</v>
          </cell>
          <cell r="X261" t="e">
            <v>#N/A</v>
          </cell>
          <cell r="AE261" t="e">
            <v>#N/A</v>
          </cell>
          <cell r="AF261" t="e">
            <v>#N/A</v>
          </cell>
          <cell r="AG261" t="e">
            <v>#N/A</v>
          </cell>
          <cell r="AH261" t="e">
            <v>#N/A</v>
          </cell>
          <cell r="AJ261" t="e">
            <v>#N/A</v>
          </cell>
          <cell r="AK261" t="e">
            <v>#N/A</v>
          </cell>
          <cell r="AL261" t="e">
            <v>#N/A</v>
          </cell>
          <cell r="AM261" t="e">
            <v>#N/A</v>
          </cell>
          <cell r="AN261" t="e">
            <v>#N/A</v>
          </cell>
          <cell r="AO261" t="e">
            <v>#N/A</v>
          </cell>
          <cell r="AP261" t="e">
            <v>#N/A</v>
          </cell>
          <cell r="AQ261" t="e">
            <v>#N/A</v>
          </cell>
          <cell r="AT261" t="e">
            <v>#N/A</v>
          </cell>
          <cell r="AU261" t="e">
            <v>#N/A</v>
          </cell>
          <cell r="AV261" t="e">
            <v>#N/A</v>
          </cell>
          <cell r="AW261" t="e">
            <v>#N/A</v>
          </cell>
          <cell r="AX261" t="e">
            <v>#N/A</v>
          </cell>
          <cell r="AY261" t="e">
            <v>#N/A</v>
          </cell>
          <cell r="AZ261" t="e">
            <v>#N/A</v>
          </cell>
          <cell r="BA261" t="e">
            <v>#N/A</v>
          </cell>
        </row>
        <row r="262">
          <cell r="E262" t="e">
            <v>#N/A</v>
          </cell>
          <cell r="F262" t="e">
            <v>#N/A</v>
          </cell>
          <cell r="S262" t="e">
            <v>#N/A</v>
          </cell>
          <cell r="T262" t="e">
            <v>#N/A</v>
          </cell>
          <cell r="U262" t="e">
            <v>#N/A</v>
          </cell>
          <cell r="V262" t="e">
            <v>#N/A</v>
          </cell>
          <cell r="W262" t="e">
            <v>#N/A</v>
          </cell>
          <cell r="X262" t="e">
            <v>#N/A</v>
          </cell>
          <cell r="AE262" t="e">
            <v>#N/A</v>
          </cell>
          <cell r="AF262" t="e">
            <v>#N/A</v>
          </cell>
          <cell r="AG262" t="e">
            <v>#N/A</v>
          </cell>
          <cell r="AH262" t="e">
            <v>#N/A</v>
          </cell>
          <cell r="AJ262" t="e">
            <v>#N/A</v>
          </cell>
          <cell r="AK262" t="e">
            <v>#N/A</v>
          </cell>
          <cell r="AL262" t="e">
            <v>#N/A</v>
          </cell>
          <cell r="AM262" t="e">
            <v>#N/A</v>
          </cell>
          <cell r="AN262" t="e">
            <v>#N/A</v>
          </cell>
          <cell r="AO262" t="e">
            <v>#N/A</v>
          </cell>
          <cell r="AP262" t="e">
            <v>#N/A</v>
          </cell>
          <cell r="AQ262" t="e">
            <v>#N/A</v>
          </cell>
          <cell r="AT262" t="e">
            <v>#N/A</v>
          </cell>
          <cell r="AU262" t="e">
            <v>#N/A</v>
          </cell>
          <cell r="AV262" t="e">
            <v>#N/A</v>
          </cell>
          <cell r="AW262" t="e">
            <v>#N/A</v>
          </cell>
          <cell r="AX262" t="e">
            <v>#N/A</v>
          </cell>
          <cell r="AY262" t="e">
            <v>#N/A</v>
          </cell>
          <cell r="AZ262" t="e">
            <v>#N/A</v>
          </cell>
          <cell r="BA262" t="e">
            <v>#N/A</v>
          </cell>
        </row>
        <row r="263">
          <cell r="E263" t="e">
            <v>#N/A</v>
          </cell>
          <cell r="F263" t="e">
            <v>#N/A</v>
          </cell>
          <cell r="S263" t="e">
            <v>#N/A</v>
          </cell>
          <cell r="T263" t="e">
            <v>#N/A</v>
          </cell>
          <cell r="U263" t="e">
            <v>#N/A</v>
          </cell>
          <cell r="V263" t="e">
            <v>#N/A</v>
          </cell>
          <cell r="W263" t="e">
            <v>#N/A</v>
          </cell>
          <cell r="X263" t="e">
            <v>#N/A</v>
          </cell>
          <cell r="AE263" t="e">
            <v>#N/A</v>
          </cell>
          <cell r="AF263" t="e">
            <v>#N/A</v>
          </cell>
          <cell r="AG263" t="e">
            <v>#N/A</v>
          </cell>
          <cell r="AH263" t="e">
            <v>#N/A</v>
          </cell>
          <cell r="AJ263" t="e">
            <v>#N/A</v>
          </cell>
          <cell r="AK263" t="e">
            <v>#N/A</v>
          </cell>
          <cell r="AL263" t="e">
            <v>#N/A</v>
          </cell>
          <cell r="AM263" t="e">
            <v>#N/A</v>
          </cell>
          <cell r="AN263" t="e">
            <v>#N/A</v>
          </cell>
          <cell r="AO263" t="e">
            <v>#N/A</v>
          </cell>
          <cell r="AP263" t="e">
            <v>#N/A</v>
          </cell>
          <cell r="AQ263" t="e">
            <v>#N/A</v>
          </cell>
          <cell r="AT263" t="e">
            <v>#N/A</v>
          </cell>
          <cell r="AU263" t="e">
            <v>#N/A</v>
          </cell>
          <cell r="AV263" t="e">
            <v>#N/A</v>
          </cell>
          <cell r="AW263" t="e">
            <v>#N/A</v>
          </cell>
          <cell r="AX263" t="e">
            <v>#N/A</v>
          </cell>
          <cell r="AY263" t="e">
            <v>#N/A</v>
          </cell>
          <cell r="AZ263" t="e">
            <v>#N/A</v>
          </cell>
          <cell r="BA263" t="e">
            <v>#N/A</v>
          </cell>
        </row>
        <row r="264">
          <cell r="E264" t="e">
            <v>#N/A</v>
          </cell>
          <cell r="F264" t="e">
            <v>#N/A</v>
          </cell>
          <cell r="S264" t="e">
            <v>#N/A</v>
          </cell>
          <cell r="T264" t="e">
            <v>#N/A</v>
          </cell>
          <cell r="U264" t="e">
            <v>#N/A</v>
          </cell>
          <cell r="V264" t="e">
            <v>#N/A</v>
          </cell>
          <cell r="W264" t="e">
            <v>#N/A</v>
          </cell>
          <cell r="X264" t="e">
            <v>#N/A</v>
          </cell>
          <cell r="AE264" t="e">
            <v>#N/A</v>
          </cell>
          <cell r="AF264" t="e">
            <v>#N/A</v>
          </cell>
          <cell r="AG264" t="e">
            <v>#N/A</v>
          </cell>
          <cell r="AH264" t="e">
            <v>#N/A</v>
          </cell>
          <cell r="AJ264" t="e">
            <v>#N/A</v>
          </cell>
          <cell r="AK264" t="e">
            <v>#N/A</v>
          </cell>
          <cell r="AL264" t="e">
            <v>#N/A</v>
          </cell>
          <cell r="AM264" t="e">
            <v>#N/A</v>
          </cell>
          <cell r="AN264" t="e">
            <v>#N/A</v>
          </cell>
          <cell r="AO264" t="e">
            <v>#N/A</v>
          </cell>
          <cell r="AP264" t="e">
            <v>#N/A</v>
          </cell>
          <cell r="AQ264" t="e">
            <v>#N/A</v>
          </cell>
          <cell r="AT264" t="e">
            <v>#N/A</v>
          </cell>
          <cell r="AU264" t="e">
            <v>#N/A</v>
          </cell>
          <cell r="AV264" t="e">
            <v>#N/A</v>
          </cell>
          <cell r="AW264" t="e">
            <v>#N/A</v>
          </cell>
          <cell r="AX264" t="e">
            <v>#N/A</v>
          </cell>
          <cell r="AY264" t="e">
            <v>#N/A</v>
          </cell>
          <cell r="AZ264" t="e">
            <v>#N/A</v>
          </cell>
          <cell r="BA264" t="e">
            <v>#N/A</v>
          </cell>
        </row>
        <row r="265">
          <cell r="E265" t="e">
            <v>#N/A</v>
          </cell>
          <cell r="F265" t="e">
            <v>#N/A</v>
          </cell>
          <cell r="S265" t="e">
            <v>#N/A</v>
          </cell>
          <cell r="T265" t="e">
            <v>#N/A</v>
          </cell>
          <cell r="U265" t="e">
            <v>#N/A</v>
          </cell>
          <cell r="V265" t="e">
            <v>#N/A</v>
          </cell>
          <cell r="W265" t="e">
            <v>#N/A</v>
          </cell>
          <cell r="X265" t="e">
            <v>#N/A</v>
          </cell>
          <cell r="AE265" t="e">
            <v>#N/A</v>
          </cell>
          <cell r="AF265" t="e">
            <v>#N/A</v>
          </cell>
          <cell r="AG265" t="e">
            <v>#N/A</v>
          </cell>
          <cell r="AH265" t="e">
            <v>#N/A</v>
          </cell>
          <cell r="AJ265" t="e">
            <v>#N/A</v>
          </cell>
          <cell r="AK265" t="e">
            <v>#N/A</v>
          </cell>
          <cell r="AL265" t="e">
            <v>#N/A</v>
          </cell>
          <cell r="AM265" t="e">
            <v>#N/A</v>
          </cell>
          <cell r="AN265" t="e">
            <v>#N/A</v>
          </cell>
          <cell r="AO265" t="e">
            <v>#N/A</v>
          </cell>
          <cell r="AP265" t="e">
            <v>#N/A</v>
          </cell>
          <cell r="AQ265" t="e">
            <v>#N/A</v>
          </cell>
          <cell r="AT265" t="e">
            <v>#N/A</v>
          </cell>
          <cell r="AU265" t="e">
            <v>#N/A</v>
          </cell>
          <cell r="AV265" t="e">
            <v>#N/A</v>
          </cell>
          <cell r="AW265" t="e">
            <v>#N/A</v>
          </cell>
          <cell r="AX265" t="e">
            <v>#N/A</v>
          </cell>
          <cell r="AY265" t="e">
            <v>#N/A</v>
          </cell>
          <cell r="AZ265" t="e">
            <v>#N/A</v>
          </cell>
          <cell r="BA265" t="e">
            <v>#N/A</v>
          </cell>
        </row>
        <row r="266">
          <cell r="E266" t="e">
            <v>#N/A</v>
          </cell>
          <cell r="F266" t="e">
            <v>#N/A</v>
          </cell>
          <cell r="S266" t="e">
            <v>#N/A</v>
          </cell>
          <cell r="T266" t="e">
            <v>#N/A</v>
          </cell>
          <cell r="U266" t="e">
            <v>#N/A</v>
          </cell>
          <cell r="V266" t="e">
            <v>#N/A</v>
          </cell>
          <cell r="W266" t="e">
            <v>#N/A</v>
          </cell>
          <cell r="X266" t="e">
            <v>#N/A</v>
          </cell>
          <cell r="AE266" t="e">
            <v>#N/A</v>
          </cell>
          <cell r="AF266" t="e">
            <v>#N/A</v>
          </cell>
          <cell r="AG266" t="e">
            <v>#N/A</v>
          </cell>
          <cell r="AH266" t="e">
            <v>#N/A</v>
          </cell>
          <cell r="AJ266" t="e">
            <v>#N/A</v>
          </cell>
          <cell r="AK266" t="e">
            <v>#N/A</v>
          </cell>
          <cell r="AL266" t="e">
            <v>#N/A</v>
          </cell>
          <cell r="AM266" t="e">
            <v>#N/A</v>
          </cell>
          <cell r="AN266" t="e">
            <v>#N/A</v>
          </cell>
          <cell r="AO266" t="e">
            <v>#N/A</v>
          </cell>
          <cell r="AP266" t="e">
            <v>#N/A</v>
          </cell>
          <cell r="AQ266" t="e">
            <v>#N/A</v>
          </cell>
          <cell r="AT266" t="e">
            <v>#N/A</v>
          </cell>
          <cell r="AU266" t="e">
            <v>#N/A</v>
          </cell>
          <cell r="AV266" t="e">
            <v>#N/A</v>
          </cell>
          <cell r="AW266" t="e">
            <v>#N/A</v>
          </cell>
          <cell r="AX266" t="e">
            <v>#N/A</v>
          </cell>
          <cell r="AY266" t="e">
            <v>#N/A</v>
          </cell>
          <cell r="AZ266" t="e">
            <v>#N/A</v>
          </cell>
          <cell r="BA266" t="e">
            <v>#N/A</v>
          </cell>
        </row>
        <row r="267">
          <cell r="E267" t="e">
            <v>#N/A</v>
          </cell>
          <cell r="F267" t="e">
            <v>#N/A</v>
          </cell>
          <cell r="S267" t="e">
            <v>#N/A</v>
          </cell>
          <cell r="T267" t="e">
            <v>#N/A</v>
          </cell>
          <cell r="U267" t="e">
            <v>#N/A</v>
          </cell>
          <cell r="V267" t="e">
            <v>#N/A</v>
          </cell>
          <cell r="W267" t="e">
            <v>#N/A</v>
          </cell>
          <cell r="X267" t="e">
            <v>#N/A</v>
          </cell>
          <cell r="AE267" t="e">
            <v>#N/A</v>
          </cell>
          <cell r="AF267" t="e">
            <v>#N/A</v>
          </cell>
          <cell r="AG267" t="e">
            <v>#N/A</v>
          </cell>
          <cell r="AH267" t="e">
            <v>#N/A</v>
          </cell>
          <cell r="AJ267" t="e">
            <v>#N/A</v>
          </cell>
          <cell r="AK267" t="e">
            <v>#N/A</v>
          </cell>
          <cell r="AL267" t="e">
            <v>#N/A</v>
          </cell>
          <cell r="AM267" t="e">
            <v>#N/A</v>
          </cell>
          <cell r="AN267" t="e">
            <v>#N/A</v>
          </cell>
          <cell r="AO267" t="e">
            <v>#N/A</v>
          </cell>
          <cell r="AP267" t="e">
            <v>#N/A</v>
          </cell>
          <cell r="AQ267" t="e">
            <v>#N/A</v>
          </cell>
          <cell r="AT267" t="e">
            <v>#N/A</v>
          </cell>
          <cell r="AU267" t="e">
            <v>#N/A</v>
          </cell>
          <cell r="AV267" t="e">
            <v>#N/A</v>
          </cell>
          <cell r="AW267" t="e">
            <v>#N/A</v>
          </cell>
          <cell r="AX267" t="e">
            <v>#N/A</v>
          </cell>
          <cell r="AY267" t="e">
            <v>#N/A</v>
          </cell>
          <cell r="AZ267" t="e">
            <v>#N/A</v>
          </cell>
          <cell r="BA267" t="e">
            <v>#N/A</v>
          </cell>
        </row>
        <row r="268">
          <cell r="E268" t="e">
            <v>#N/A</v>
          </cell>
          <cell r="F268" t="e">
            <v>#N/A</v>
          </cell>
          <cell r="S268" t="e">
            <v>#N/A</v>
          </cell>
          <cell r="T268" t="e">
            <v>#N/A</v>
          </cell>
          <cell r="U268" t="e">
            <v>#N/A</v>
          </cell>
          <cell r="V268" t="e">
            <v>#N/A</v>
          </cell>
          <cell r="W268" t="e">
            <v>#N/A</v>
          </cell>
          <cell r="X268" t="e">
            <v>#N/A</v>
          </cell>
          <cell r="AE268" t="e">
            <v>#N/A</v>
          </cell>
          <cell r="AF268" t="e">
            <v>#N/A</v>
          </cell>
          <cell r="AG268" t="e">
            <v>#N/A</v>
          </cell>
          <cell r="AH268" t="e">
            <v>#N/A</v>
          </cell>
          <cell r="AJ268" t="e">
            <v>#N/A</v>
          </cell>
          <cell r="AK268" t="e">
            <v>#N/A</v>
          </cell>
          <cell r="AL268" t="e">
            <v>#N/A</v>
          </cell>
          <cell r="AM268" t="e">
            <v>#N/A</v>
          </cell>
          <cell r="AN268" t="e">
            <v>#N/A</v>
          </cell>
          <cell r="AO268" t="e">
            <v>#N/A</v>
          </cell>
          <cell r="AP268" t="e">
            <v>#N/A</v>
          </cell>
          <cell r="AQ268" t="e">
            <v>#N/A</v>
          </cell>
          <cell r="AT268" t="e">
            <v>#N/A</v>
          </cell>
          <cell r="AU268" t="e">
            <v>#N/A</v>
          </cell>
          <cell r="AV268" t="e">
            <v>#N/A</v>
          </cell>
          <cell r="AW268" t="e">
            <v>#N/A</v>
          </cell>
          <cell r="AX268" t="e">
            <v>#N/A</v>
          </cell>
          <cell r="AY268" t="e">
            <v>#N/A</v>
          </cell>
          <cell r="AZ268" t="e">
            <v>#N/A</v>
          </cell>
          <cell r="BA268" t="e">
            <v>#N/A</v>
          </cell>
        </row>
        <row r="269">
          <cell r="E269" t="e">
            <v>#N/A</v>
          </cell>
          <cell r="F269" t="e">
            <v>#N/A</v>
          </cell>
          <cell r="S269" t="e">
            <v>#N/A</v>
          </cell>
          <cell r="T269" t="e">
            <v>#N/A</v>
          </cell>
          <cell r="U269" t="e">
            <v>#N/A</v>
          </cell>
          <cell r="V269" t="e">
            <v>#N/A</v>
          </cell>
          <cell r="W269" t="e">
            <v>#N/A</v>
          </cell>
          <cell r="X269" t="e">
            <v>#N/A</v>
          </cell>
          <cell r="AE269" t="e">
            <v>#N/A</v>
          </cell>
          <cell r="AF269" t="e">
            <v>#N/A</v>
          </cell>
          <cell r="AG269" t="e">
            <v>#N/A</v>
          </cell>
          <cell r="AH269" t="e">
            <v>#N/A</v>
          </cell>
          <cell r="AJ269" t="e">
            <v>#N/A</v>
          </cell>
          <cell r="AK269" t="e">
            <v>#N/A</v>
          </cell>
          <cell r="AL269" t="e">
            <v>#N/A</v>
          </cell>
          <cell r="AM269" t="e">
            <v>#N/A</v>
          </cell>
          <cell r="AN269" t="e">
            <v>#N/A</v>
          </cell>
          <cell r="AO269" t="e">
            <v>#N/A</v>
          </cell>
          <cell r="AP269" t="e">
            <v>#N/A</v>
          </cell>
          <cell r="AQ269" t="e">
            <v>#N/A</v>
          </cell>
          <cell r="AT269" t="e">
            <v>#N/A</v>
          </cell>
          <cell r="AU269" t="e">
            <v>#N/A</v>
          </cell>
          <cell r="AV269" t="e">
            <v>#N/A</v>
          </cell>
          <cell r="AW269" t="e">
            <v>#N/A</v>
          </cell>
          <cell r="AX269" t="e">
            <v>#N/A</v>
          </cell>
          <cell r="AY269" t="e">
            <v>#N/A</v>
          </cell>
          <cell r="AZ269" t="e">
            <v>#N/A</v>
          </cell>
          <cell r="BA269" t="e">
            <v>#N/A</v>
          </cell>
        </row>
        <row r="270">
          <cell r="E270" t="e">
            <v>#N/A</v>
          </cell>
          <cell r="F270" t="e">
            <v>#N/A</v>
          </cell>
          <cell r="S270" t="e">
            <v>#N/A</v>
          </cell>
          <cell r="T270" t="e">
            <v>#N/A</v>
          </cell>
          <cell r="U270" t="e">
            <v>#N/A</v>
          </cell>
          <cell r="V270" t="e">
            <v>#N/A</v>
          </cell>
          <cell r="W270" t="e">
            <v>#N/A</v>
          </cell>
          <cell r="X270" t="e">
            <v>#N/A</v>
          </cell>
          <cell r="AE270" t="e">
            <v>#N/A</v>
          </cell>
          <cell r="AF270" t="e">
            <v>#N/A</v>
          </cell>
          <cell r="AG270" t="e">
            <v>#N/A</v>
          </cell>
          <cell r="AH270" t="e">
            <v>#N/A</v>
          </cell>
          <cell r="AJ270" t="e">
            <v>#N/A</v>
          </cell>
          <cell r="AK270" t="e">
            <v>#N/A</v>
          </cell>
          <cell r="AL270" t="e">
            <v>#N/A</v>
          </cell>
          <cell r="AM270" t="e">
            <v>#N/A</v>
          </cell>
          <cell r="AN270" t="e">
            <v>#N/A</v>
          </cell>
          <cell r="AO270" t="e">
            <v>#N/A</v>
          </cell>
          <cell r="AP270" t="e">
            <v>#N/A</v>
          </cell>
          <cell r="AQ270" t="e">
            <v>#N/A</v>
          </cell>
          <cell r="AT270" t="e">
            <v>#N/A</v>
          </cell>
          <cell r="AU270" t="e">
            <v>#N/A</v>
          </cell>
          <cell r="AV270" t="e">
            <v>#N/A</v>
          </cell>
          <cell r="AW270" t="e">
            <v>#N/A</v>
          </cell>
          <cell r="AX270" t="e">
            <v>#N/A</v>
          </cell>
          <cell r="AY270" t="e">
            <v>#N/A</v>
          </cell>
          <cell r="AZ270" t="e">
            <v>#N/A</v>
          </cell>
          <cell r="BA270" t="e">
            <v>#N/A</v>
          </cell>
        </row>
        <row r="271">
          <cell r="E271" t="e">
            <v>#N/A</v>
          </cell>
          <cell r="F271" t="e">
            <v>#N/A</v>
          </cell>
          <cell r="S271" t="e">
            <v>#N/A</v>
          </cell>
          <cell r="T271" t="e">
            <v>#N/A</v>
          </cell>
          <cell r="U271" t="e">
            <v>#N/A</v>
          </cell>
          <cell r="V271" t="e">
            <v>#N/A</v>
          </cell>
          <cell r="W271" t="e">
            <v>#N/A</v>
          </cell>
          <cell r="X271" t="e">
            <v>#N/A</v>
          </cell>
          <cell r="AE271" t="e">
            <v>#N/A</v>
          </cell>
          <cell r="AF271" t="e">
            <v>#N/A</v>
          </cell>
          <cell r="AG271" t="e">
            <v>#N/A</v>
          </cell>
          <cell r="AH271" t="e">
            <v>#N/A</v>
          </cell>
          <cell r="AJ271" t="e">
            <v>#N/A</v>
          </cell>
          <cell r="AK271" t="e">
            <v>#N/A</v>
          </cell>
          <cell r="AL271" t="e">
            <v>#N/A</v>
          </cell>
          <cell r="AM271" t="e">
            <v>#N/A</v>
          </cell>
          <cell r="AN271" t="e">
            <v>#N/A</v>
          </cell>
          <cell r="AO271" t="e">
            <v>#N/A</v>
          </cell>
          <cell r="AP271" t="e">
            <v>#N/A</v>
          </cell>
          <cell r="AQ271" t="e">
            <v>#N/A</v>
          </cell>
          <cell r="AT271" t="e">
            <v>#N/A</v>
          </cell>
          <cell r="AU271" t="e">
            <v>#N/A</v>
          </cell>
          <cell r="AV271" t="e">
            <v>#N/A</v>
          </cell>
          <cell r="AW271" t="e">
            <v>#N/A</v>
          </cell>
          <cell r="AX271" t="e">
            <v>#N/A</v>
          </cell>
          <cell r="AY271" t="e">
            <v>#N/A</v>
          </cell>
          <cell r="AZ271" t="e">
            <v>#N/A</v>
          </cell>
          <cell r="BA271" t="e">
            <v>#N/A</v>
          </cell>
        </row>
        <row r="272">
          <cell r="E272" t="e">
            <v>#N/A</v>
          </cell>
          <cell r="F272" t="e">
            <v>#N/A</v>
          </cell>
          <cell r="S272" t="e">
            <v>#N/A</v>
          </cell>
          <cell r="T272" t="e">
            <v>#N/A</v>
          </cell>
          <cell r="U272" t="e">
            <v>#N/A</v>
          </cell>
          <cell r="V272" t="e">
            <v>#N/A</v>
          </cell>
          <cell r="W272" t="e">
            <v>#N/A</v>
          </cell>
          <cell r="X272" t="e">
            <v>#N/A</v>
          </cell>
          <cell r="AE272" t="e">
            <v>#N/A</v>
          </cell>
          <cell r="AF272" t="e">
            <v>#N/A</v>
          </cell>
          <cell r="AG272" t="e">
            <v>#N/A</v>
          </cell>
          <cell r="AH272" t="e">
            <v>#N/A</v>
          </cell>
          <cell r="AJ272" t="e">
            <v>#N/A</v>
          </cell>
          <cell r="AK272" t="e">
            <v>#N/A</v>
          </cell>
          <cell r="AL272" t="e">
            <v>#N/A</v>
          </cell>
          <cell r="AM272" t="e">
            <v>#N/A</v>
          </cell>
          <cell r="AN272" t="e">
            <v>#N/A</v>
          </cell>
          <cell r="AO272" t="e">
            <v>#N/A</v>
          </cell>
          <cell r="AP272" t="e">
            <v>#N/A</v>
          </cell>
          <cell r="AQ272" t="e">
            <v>#N/A</v>
          </cell>
          <cell r="AT272" t="e">
            <v>#N/A</v>
          </cell>
          <cell r="AU272" t="e">
            <v>#N/A</v>
          </cell>
          <cell r="AV272" t="e">
            <v>#N/A</v>
          </cell>
          <cell r="AW272" t="e">
            <v>#N/A</v>
          </cell>
          <cell r="AX272" t="e">
            <v>#N/A</v>
          </cell>
          <cell r="AY272" t="e">
            <v>#N/A</v>
          </cell>
          <cell r="AZ272" t="e">
            <v>#N/A</v>
          </cell>
          <cell r="BA272" t="e">
            <v>#N/A</v>
          </cell>
        </row>
        <row r="273">
          <cell r="E273" t="e">
            <v>#N/A</v>
          </cell>
          <cell r="F273" t="e">
            <v>#N/A</v>
          </cell>
          <cell r="S273" t="e">
            <v>#N/A</v>
          </cell>
          <cell r="T273" t="e">
            <v>#N/A</v>
          </cell>
          <cell r="U273" t="e">
            <v>#N/A</v>
          </cell>
          <cell r="V273" t="e">
            <v>#N/A</v>
          </cell>
          <cell r="W273" t="e">
            <v>#N/A</v>
          </cell>
          <cell r="X273" t="e">
            <v>#N/A</v>
          </cell>
          <cell r="AE273" t="e">
            <v>#N/A</v>
          </cell>
          <cell r="AF273" t="e">
            <v>#N/A</v>
          </cell>
          <cell r="AG273" t="e">
            <v>#N/A</v>
          </cell>
          <cell r="AH273" t="e">
            <v>#N/A</v>
          </cell>
          <cell r="AJ273" t="e">
            <v>#N/A</v>
          </cell>
          <cell r="AK273" t="e">
            <v>#N/A</v>
          </cell>
          <cell r="AL273" t="e">
            <v>#N/A</v>
          </cell>
          <cell r="AM273" t="e">
            <v>#N/A</v>
          </cell>
          <cell r="AN273" t="e">
            <v>#N/A</v>
          </cell>
          <cell r="AO273" t="e">
            <v>#N/A</v>
          </cell>
          <cell r="AP273" t="e">
            <v>#N/A</v>
          </cell>
          <cell r="AQ273" t="e">
            <v>#N/A</v>
          </cell>
          <cell r="AT273" t="e">
            <v>#N/A</v>
          </cell>
          <cell r="AU273" t="e">
            <v>#N/A</v>
          </cell>
          <cell r="AV273" t="e">
            <v>#N/A</v>
          </cell>
          <cell r="AW273" t="e">
            <v>#N/A</v>
          </cell>
          <cell r="AX273" t="e">
            <v>#N/A</v>
          </cell>
          <cell r="AY273" t="e">
            <v>#N/A</v>
          </cell>
          <cell r="AZ273" t="e">
            <v>#N/A</v>
          </cell>
          <cell r="BA273" t="e">
            <v>#N/A</v>
          </cell>
        </row>
        <row r="274">
          <cell r="E274" t="e">
            <v>#N/A</v>
          </cell>
          <cell r="F274" t="e">
            <v>#N/A</v>
          </cell>
          <cell r="S274" t="e">
            <v>#N/A</v>
          </cell>
          <cell r="T274" t="e">
            <v>#N/A</v>
          </cell>
          <cell r="U274" t="e">
            <v>#N/A</v>
          </cell>
          <cell r="V274" t="e">
            <v>#N/A</v>
          </cell>
          <cell r="W274" t="e">
            <v>#N/A</v>
          </cell>
          <cell r="X274" t="e">
            <v>#N/A</v>
          </cell>
          <cell r="AE274" t="e">
            <v>#N/A</v>
          </cell>
          <cell r="AF274" t="e">
            <v>#N/A</v>
          </cell>
          <cell r="AG274" t="e">
            <v>#N/A</v>
          </cell>
          <cell r="AH274" t="e">
            <v>#N/A</v>
          </cell>
          <cell r="AJ274" t="e">
            <v>#N/A</v>
          </cell>
          <cell r="AK274" t="e">
            <v>#N/A</v>
          </cell>
          <cell r="AL274" t="e">
            <v>#N/A</v>
          </cell>
          <cell r="AM274" t="e">
            <v>#N/A</v>
          </cell>
          <cell r="AN274" t="e">
            <v>#N/A</v>
          </cell>
          <cell r="AO274" t="e">
            <v>#N/A</v>
          </cell>
          <cell r="AP274" t="e">
            <v>#N/A</v>
          </cell>
          <cell r="AQ274" t="e">
            <v>#N/A</v>
          </cell>
          <cell r="AT274" t="e">
            <v>#N/A</v>
          </cell>
          <cell r="AU274" t="e">
            <v>#N/A</v>
          </cell>
          <cell r="AV274" t="e">
            <v>#N/A</v>
          </cell>
          <cell r="AW274" t="e">
            <v>#N/A</v>
          </cell>
          <cell r="AX274" t="e">
            <v>#N/A</v>
          </cell>
          <cell r="AY274" t="e">
            <v>#N/A</v>
          </cell>
          <cell r="AZ274" t="e">
            <v>#N/A</v>
          </cell>
          <cell r="BA274" t="e">
            <v>#N/A</v>
          </cell>
        </row>
        <row r="275">
          <cell r="E275" t="e">
            <v>#N/A</v>
          </cell>
          <cell r="F275" t="e">
            <v>#N/A</v>
          </cell>
          <cell r="S275" t="e">
            <v>#N/A</v>
          </cell>
          <cell r="T275" t="e">
            <v>#N/A</v>
          </cell>
          <cell r="U275" t="e">
            <v>#N/A</v>
          </cell>
          <cell r="V275" t="e">
            <v>#N/A</v>
          </cell>
          <cell r="W275" t="e">
            <v>#N/A</v>
          </cell>
          <cell r="X275" t="e">
            <v>#N/A</v>
          </cell>
          <cell r="AE275" t="e">
            <v>#N/A</v>
          </cell>
          <cell r="AF275" t="e">
            <v>#N/A</v>
          </cell>
          <cell r="AG275" t="e">
            <v>#N/A</v>
          </cell>
          <cell r="AH275" t="e">
            <v>#N/A</v>
          </cell>
          <cell r="AJ275" t="e">
            <v>#N/A</v>
          </cell>
          <cell r="AK275" t="e">
            <v>#N/A</v>
          </cell>
          <cell r="AL275" t="e">
            <v>#N/A</v>
          </cell>
          <cell r="AM275" t="e">
            <v>#N/A</v>
          </cell>
          <cell r="AN275" t="e">
            <v>#N/A</v>
          </cell>
          <cell r="AO275" t="e">
            <v>#N/A</v>
          </cell>
          <cell r="AP275" t="e">
            <v>#N/A</v>
          </cell>
          <cell r="AQ275" t="e">
            <v>#N/A</v>
          </cell>
          <cell r="AT275" t="e">
            <v>#N/A</v>
          </cell>
          <cell r="AU275" t="e">
            <v>#N/A</v>
          </cell>
          <cell r="AV275" t="e">
            <v>#N/A</v>
          </cell>
          <cell r="AW275" t="e">
            <v>#N/A</v>
          </cell>
          <cell r="AX275" t="e">
            <v>#N/A</v>
          </cell>
          <cell r="AY275" t="e">
            <v>#N/A</v>
          </cell>
          <cell r="AZ275" t="e">
            <v>#N/A</v>
          </cell>
          <cell r="BA275" t="e">
            <v>#N/A</v>
          </cell>
        </row>
        <row r="276">
          <cell r="E276" t="e">
            <v>#N/A</v>
          </cell>
          <cell r="F276" t="e">
            <v>#N/A</v>
          </cell>
          <cell r="S276" t="e">
            <v>#N/A</v>
          </cell>
          <cell r="T276" t="e">
            <v>#N/A</v>
          </cell>
          <cell r="U276" t="e">
            <v>#N/A</v>
          </cell>
          <cell r="V276" t="e">
            <v>#N/A</v>
          </cell>
          <cell r="W276" t="e">
            <v>#N/A</v>
          </cell>
          <cell r="X276" t="e">
            <v>#N/A</v>
          </cell>
          <cell r="AE276" t="e">
            <v>#N/A</v>
          </cell>
          <cell r="AF276" t="e">
            <v>#N/A</v>
          </cell>
          <cell r="AG276" t="e">
            <v>#N/A</v>
          </cell>
          <cell r="AH276" t="e">
            <v>#N/A</v>
          </cell>
          <cell r="AJ276" t="e">
            <v>#N/A</v>
          </cell>
          <cell r="AK276" t="e">
            <v>#N/A</v>
          </cell>
          <cell r="AL276" t="e">
            <v>#N/A</v>
          </cell>
          <cell r="AM276" t="e">
            <v>#N/A</v>
          </cell>
          <cell r="AN276" t="e">
            <v>#N/A</v>
          </cell>
          <cell r="AO276" t="e">
            <v>#N/A</v>
          </cell>
          <cell r="AP276" t="e">
            <v>#N/A</v>
          </cell>
          <cell r="AQ276" t="e">
            <v>#N/A</v>
          </cell>
          <cell r="AT276" t="e">
            <v>#N/A</v>
          </cell>
          <cell r="AU276" t="e">
            <v>#N/A</v>
          </cell>
          <cell r="AV276" t="e">
            <v>#N/A</v>
          </cell>
          <cell r="AW276" t="e">
            <v>#N/A</v>
          </cell>
          <cell r="AX276" t="e">
            <v>#N/A</v>
          </cell>
          <cell r="AY276" t="e">
            <v>#N/A</v>
          </cell>
          <cell r="AZ276" t="e">
            <v>#N/A</v>
          </cell>
          <cell r="BA276" t="e">
            <v>#N/A</v>
          </cell>
        </row>
        <row r="277">
          <cell r="E277" t="e">
            <v>#N/A</v>
          </cell>
          <cell r="F277" t="e">
            <v>#N/A</v>
          </cell>
          <cell r="S277" t="e">
            <v>#N/A</v>
          </cell>
          <cell r="T277" t="e">
            <v>#N/A</v>
          </cell>
          <cell r="U277" t="e">
            <v>#N/A</v>
          </cell>
          <cell r="V277" t="e">
            <v>#N/A</v>
          </cell>
          <cell r="W277" t="e">
            <v>#N/A</v>
          </cell>
          <cell r="X277" t="e">
            <v>#N/A</v>
          </cell>
          <cell r="AE277" t="e">
            <v>#N/A</v>
          </cell>
          <cell r="AF277" t="e">
            <v>#N/A</v>
          </cell>
          <cell r="AG277" t="e">
            <v>#N/A</v>
          </cell>
          <cell r="AH277" t="e">
            <v>#N/A</v>
          </cell>
          <cell r="AJ277" t="e">
            <v>#N/A</v>
          </cell>
          <cell r="AK277" t="e">
            <v>#N/A</v>
          </cell>
          <cell r="AL277" t="e">
            <v>#N/A</v>
          </cell>
          <cell r="AM277" t="e">
            <v>#N/A</v>
          </cell>
          <cell r="AN277" t="e">
            <v>#N/A</v>
          </cell>
          <cell r="AO277" t="e">
            <v>#N/A</v>
          </cell>
          <cell r="AP277" t="e">
            <v>#N/A</v>
          </cell>
          <cell r="AQ277" t="e">
            <v>#N/A</v>
          </cell>
          <cell r="AT277" t="e">
            <v>#N/A</v>
          </cell>
          <cell r="AU277" t="e">
            <v>#N/A</v>
          </cell>
          <cell r="AV277" t="e">
            <v>#N/A</v>
          </cell>
          <cell r="AW277" t="e">
            <v>#N/A</v>
          </cell>
          <cell r="AX277" t="e">
            <v>#N/A</v>
          </cell>
          <cell r="AY277" t="e">
            <v>#N/A</v>
          </cell>
          <cell r="AZ277" t="e">
            <v>#N/A</v>
          </cell>
          <cell r="BA277" t="e">
            <v>#N/A</v>
          </cell>
        </row>
        <row r="278">
          <cell r="E278" t="e">
            <v>#N/A</v>
          </cell>
          <cell r="F278" t="e">
            <v>#N/A</v>
          </cell>
          <cell r="S278" t="e">
            <v>#N/A</v>
          </cell>
          <cell r="T278" t="e">
            <v>#N/A</v>
          </cell>
          <cell r="U278" t="e">
            <v>#N/A</v>
          </cell>
          <cell r="V278" t="e">
            <v>#N/A</v>
          </cell>
          <cell r="W278" t="e">
            <v>#N/A</v>
          </cell>
          <cell r="X278" t="e">
            <v>#N/A</v>
          </cell>
          <cell r="AE278" t="e">
            <v>#N/A</v>
          </cell>
          <cell r="AF278" t="e">
            <v>#N/A</v>
          </cell>
          <cell r="AG278" t="e">
            <v>#N/A</v>
          </cell>
          <cell r="AH278" t="e">
            <v>#N/A</v>
          </cell>
          <cell r="AJ278" t="e">
            <v>#N/A</v>
          </cell>
          <cell r="AK278" t="e">
            <v>#N/A</v>
          </cell>
          <cell r="AL278" t="e">
            <v>#N/A</v>
          </cell>
          <cell r="AM278" t="e">
            <v>#N/A</v>
          </cell>
          <cell r="AN278" t="e">
            <v>#N/A</v>
          </cell>
          <cell r="AO278" t="e">
            <v>#N/A</v>
          </cell>
          <cell r="AP278" t="e">
            <v>#N/A</v>
          </cell>
          <cell r="AQ278" t="e">
            <v>#N/A</v>
          </cell>
          <cell r="AT278" t="e">
            <v>#N/A</v>
          </cell>
          <cell r="AU278" t="e">
            <v>#N/A</v>
          </cell>
          <cell r="AV278" t="e">
            <v>#N/A</v>
          </cell>
          <cell r="AW278" t="e">
            <v>#N/A</v>
          </cell>
          <cell r="AX278" t="e">
            <v>#N/A</v>
          </cell>
          <cell r="AY278" t="e">
            <v>#N/A</v>
          </cell>
          <cell r="AZ278" t="e">
            <v>#N/A</v>
          </cell>
          <cell r="BA278" t="e">
            <v>#N/A</v>
          </cell>
        </row>
        <row r="279">
          <cell r="E279" t="e">
            <v>#N/A</v>
          </cell>
          <cell r="F279" t="e">
            <v>#N/A</v>
          </cell>
          <cell r="S279" t="e">
            <v>#N/A</v>
          </cell>
          <cell r="T279" t="e">
            <v>#N/A</v>
          </cell>
          <cell r="U279" t="e">
            <v>#N/A</v>
          </cell>
          <cell r="V279" t="e">
            <v>#N/A</v>
          </cell>
          <cell r="W279" t="e">
            <v>#N/A</v>
          </cell>
          <cell r="X279" t="e">
            <v>#N/A</v>
          </cell>
          <cell r="AE279" t="e">
            <v>#N/A</v>
          </cell>
          <cell r="AF279" t="e">
            <v>#N/A</v>
          </cell>
          <cell r="AG279" t="e">
            <v>#N/A</v>
          </cell>
          <cell r="AH279" t="e">
            <v>#N/A</v>
          </cell>
          <cell r="AJ279" t="e">
            <v>#N/A</v>
          </cell>
          <cell r="AK279" t="e">
            <v>#N/A</v>
          </cell>
          <cell r="AL279" t="e">
            <v>#N/A</v>
          </cell>
          <cell r="AM279" t="e">
            <v>#N/A</v>
          </cell>
          <cell r="AN279" t="e">
            <v>#N/A</v>
          </cell>
          <cell r="AO279" t="e">
            <v>#N/A</v>
          </cell>
          <cell r="AP279" t="e">
            <v>#N/A</v>
          </cell>
          <cell r="AQ279" t="e">
            <v>#N/A</v>
          </cell>
          <cell r="AT279" t="e">
            <v>#N/A</v>
          </cell>
          <cell r="AU279" t="e">
            <v>#N/A</v>
          </cell>
          <cell r="AV279" t="e">
            <v>#N/A</v>
          </cell>
          <cell r="AW279" t="e">
            <v>#N/A</v>
          </cell>
          <cell r="AX279" t="e">
            <v>#N/A</v>
          </cell>
          <cell r="AY279" t="e">
            <v>#N/A</v>
          </cell>
          <cell r="AZ279" t="e">
            <v>#N/A</v>
          </cell>
          <cell r="BA279" t="e">
            <v>#N/A</v>
          </cell>
        </row>
        <row r="280">
          <cell r="E280" t="e">
            <v>#N/A</v>
          </cell>
          <cell r="F280" t="e">
            <v>#N/A</v>
          </cell>
          <cell r="S280" t="e">
            <v>#N/A</v>
          </cell>
          <cell r="T280" t="e">
            <v>#N/A</v>
          </cell>
          <cell r="U280" t="e">
            <v>#N/A</v>
          </cell>
          <cell r="V280" t="e">
            <v>#N/A</v>
          </cell>
          <cell r="W280" t="e">
            <v>#N/A</v>
          </cell>
          <cell r="X280" t="e">
            <v>#N/A</v>
          </cell>
          <cell r="AE280" t="e">
            <v>#N/A</v>
          </cell>
          <cell r="AF280" t="e">
            <v>#N/A</v>
          </cell>
          <cell r="AG280" t="e">
            <v>#N/A</v>
          </cell>
          <cell r="AH280" t="e">
            <v>#N/A</v>
          </cell>
          <cell r="AJ280" t="e">
            <v>#N/A</v>
          </cell>
          <cell r="AK280" t="e">
            <v>#N/A</v>
          </cell>
          <cell r="AL280" t="e">
            <v>#N/A</v>
          </cell>
          <cell r="AM280" t="e">
            <v>#N/A</v>
          </cell>
          <cell r="AN280" t="e">
            <v>#N/A</v>
          </cell>
          <cell r="AO280" t="e">
            <v>#N/A</v>
          </cell>
          <cell r="AP280" t="e">
            <v>#N/A</v>
          </cell>
          <cell r="AQ280" t="e">
            <v>#N/A</v>
          </cell>
          <cell r="AT280" t="e">
            <v>#N/A</v>
          </cell>
          <cell r="AU280" t="e">
            <v>#N/A</v>
          </cell>
          <cell r="AV280" t="e">
            <v>#N/A</v>
          </cell>
          <cell r="AW280" t="e">
            <v>#N/A</v>
          </cell>
          <cell r="AX280" t="e">
            <v>#N/A</v>
          </cell>
          <cell r="AY280" t="e">
            <v>#N/A</v>
          </cell>
          <cell r="AZ280" t="e">
            <v>#N/A</v>
          </cell>
          <cell r="BA280" t="e">
            <v>#N/A</v>
          </cell>
        </row>
        <row r="281">
          <cell r="E281" t="e">
            <v>#N/A</v>
          </cell>
          <cell r="F281" t="e">
            <v>#N/A</v>
          </cell>
          <cell r="S281" t="e">
            <v>#N/A</v>
          </cell>
          <cell r="T281" t="e">
            <v>#N/A</v>
          </cell>
          <cell r="U281" t="e">
            <v>#N/A</v>
          </cell>
          <cell r="V281" t="e">
            <v>#N/A</v>
          </cell>
          <cell r="W281" t="e">
            <v>#N/A</v>
          </cell>
          <cell r="X281" t="e">
            <v>#N/A</v>
          </cell>
          <cell r="AE281" t="e">
            <v>#N/A</v>
          </cell>
          <cell r="AF281" t="e">
            <v>#N/A</v>
          </cell>
          <cell r="AG281" t="e">
            <v>#N/A</v>
          </cell>
          <cell r="AH281" t="e">
            <v>#N/A</v>
          </cell>
          <cell r="AJ281" t="e">
            <v>#N/A</v>
          </cell>
          <cell r="AK281" t="e">
            <v>#N/A</v>
          </cell>
          <cell r="AL281" t="e">
            <v>#N/A</v>
          </cell>
          <cell r="AM281" t="e">
            <v>#N/A</v>
          </cell>
          <cell r="AN281" t="e">
            <v>#N/A</v>
          </cell>
          <cell r="AO281" t="e">
            <v>#N/A</v>
          </cell>
          <cell r="AP281" t="e">
            <v>#N/A</v>
          </cell>
          <cell r="AQ281" t="e">
            <v>#N/A</v>
          </cell>
          <cell r="AT281" t="e">
            <v>#N/A</v>
          </cell>
          <cell r="AU281" t="e">
            <v>#N/A</v>
          </cell>
          <cell r="AV281" t="e">
            <v>#N/A</v>
          </cell>
          <cell r="AW281" t="e">
            <v>#N/A</v>
          </cell>
          <cell r="AX281" t="e">
            <v>#N/A</v>
          </cell>
          <cell r="AY281" t="e">
            <v>#N/A</v>
          </cell>
          <cell r="AZ281" t="e">
            <v>#N/A</v>
          </cell>
          <cell r="BA281" t="e">
            <v>#N/A</v>
          </cell>
        </row>
        <row r="282">
          <cell r="E282" t="e">
            <v>#N/A</v>
          </cell>
          <cell r="F282" t="e">
            <v>#N/A</v>
          </cell>
          <cell r="S282" t="e">
            <v>#N/A</v>
          </cell>
          <cell r="T282" t="e">
            <v>#N/A</v>
          </cell>
          <cell r="U282" t="e">
            <v>#N/A</v>
          </cell>
          <cell r="V282" t="e">
            <v>#N/A</v>
          </cell>
          <cell r="W282" t="e">
            <v>#N/A</v>
          </cell>
          <cell r="X282" t="e">
            <v>#N/A</v>
          </cell>
          <cell r="AE282" t="e">
            <v>#N/A</v>
          </cell>
          <cell r="AF282" t="e">
            <v>#N/A</v>
          </cell>
          <cell r="AG282" t="e">
            <v>#N/A</v>
          </cell>
          <cell r="AH282" t="e">
            <v>#N/A</v>
          </cell>
          <cell r="AJ282" t="e">
            <v>#N/A</v>
          </cell>
          <cell r="AK282" t="e">
            <v>#N/A</v>
          </cell>
          <cell r="AL282" t="e">
            <v>#N/A</v>
          </cell>
          <cell r="AM282" t="e">
            <v>#N/A</v>
          </cell>
          <cell r="AN282" t="e">
            <v>#N/A</v>
          </cell>
          <cell r="AO282" t="e">
            <v>#N/A</v>
          </cell>
          <cell r="AP282" t="e">
            <v>#N/A</v>
          </cell>
          <cell r="AQ282" t="e">
            <v>#N/A</v>
          </cell>
          <cell r="AT282" t="e">
            <v>#N/A</v>
          </cell>
          <cell r="AU282" t="e">
            <v>#N/A</v>
          </cell>
          <cell r="AV282" t="e">
            <v>#N/A</v>
          </cell>
          <cell r="AW282" t="e">
            <v>#N/A</v>
          </cell>
          <cell r="AX282" t="e">
            <v>#N/A</v>
          </cell>
          <cell r="AY282" t="e">
            <v>#N/A</v>
          </cell>
          <cell r="AZ282" t="e">
            <v>#N/A</v>
          </cell>
          <cell r="BA282" t="e">
            <v>#N/A</v>
          </cell>
        </row>
        <row r="283">
          <cell r="E283" t="e">
            <v>#N/A</v>
          </cell>
          <cell r="F283" t="e">
            <v>#N/A</v>
          </cell>
          <cell r="S283" t="e">
            <v>#N/A</v>
          </cell>
          <cell r="T283" t="e">
            <v>#N/A</v>
          </cell>
          <cell r="U283" t="e">
            <v>#N/A</v>
          </cell>
          <cell r="V283" t="e">
            <v>#N/A</v>
          </cell>
          <cell r="W283" t="e">
            <v>#N/A</v>
          </cell>
          <cell r="X283" t="e">
            <v>#N/A</v>
          </cell>
          <cell r="AE283" t="e">
            <v>#N/A</v>
          </cell>
          <cell r="AF283" t="e">
            <v>#N/A</v>
          </cell>
          <cell r="AG283" t="e">
            <v>#N/A</v>
          </cell>
          <cell r="AH283" t="e">
            <v>#N/A</v>
          </cell>
          <cell r="AJ283" t="e">
            <v>#N/A</v>
          </cell>
          <cell r="AK283" t="e">
            <v>#N/A</v>
          </cell>
          <cell r="AL283" t="e">
            <v>#N/A</v>
          </cell>
          <cell r="AM283" t="e">
            <v>#N/A</v>
          </cell>
          <cell r="AN283" t="e">
            <v>#N/A</v>
          </cell>
          <cell r="AO283" t="e">
            <v>#N/A</v>
          </cell>
          <cell r="AP283" t="e">
            <v>#N/A</v>
          </cell>
          <cell r="AQ283" t="e">
            <v>#N/A</v>
          </cell>
          <cell r="AT283" t="e">
            <v>#N/A</v>
          </cell>
          <cell r="AU283" t="e">
            <v>#N/A</v>
          </cell>
          <cell r="AV283" t="e">
            <v>#N/A</v>
          </cell>
          <cell r="AW283" t="e">
            <v>#N/A</v>
          </cell>
          <cell r="AX283" t="e">
            <v>#N/A</v>
          </cell>
          <cell r="AY283" t="e">
            <v>#N/A</v>
          </cell>
          <cell r="AZ283" t="e">
            <v>#N/A</v>
          </cell>
          <cell r="BA283" t="e">
            <v>#N/A</v>
          </cell>
        </row>
        <row r="284">
          <cell r="E284" t="e">
            <v>#N/A</v>
          </cell>
          <cell r="F284" t="e">
            <v>#N/A</v>
          </cell>
          <cell r="S284" t="e">
            <v>#N/A</v>
          </cell>
          <cell r="T284" t="e">
            <v>#N/A</v>
          </cell>
          <cell r="U284" t="e">
            <v>#N/A</v>
          </cell>
          <cell r="V284" t="e">
            <v>#N/A</v>
          </cell>
          <cell r="W284" t="e">
            <v>#N/A</v>
          </cell>
          <cell r="X284" t="e">
            <v>#N/A</v>
          </cell>
          <cell r="AE284" t="e">
            <v>#N/A</v>
          </cell>
          <cell r="AF284" t="e">
            <v>#N/A</v>
          </cell>
          <cell r="AG284" t="e">
            <v>#N/A</v>
          </cell>
          <cell r="AH284" t="e">
            <v>#N/A</v>
          </cell>
          <cell r="AJ284" t="e">
            <v>#N/A</v>
          </cell>
          <cell r="AK284" t="e">
            <v>#N/A</v>
          </cell>
          <cell r="AL284" t="e">
            <v>#N/A</v>
          </cell>
          <cell r="AM284" t="e">
            <v>#N/A</v>
          </cell>
          <cell r="AN284" t="e">
            <v>#N/A</v>
          </cell>
          <cell r="AO284" t="e">
            <v>#N/A</v>
          </cell>
          <cell r="AP284" t="e">
            <v>#N/A</v>
          </cell>
          <cell r="AQ284" t="e">
            <v>#N/A</v>
          </cell>
          <cell r="AT284" t="e">
            <v>#N/A</v>
          </cell>
          <cell r="AU284" t="e">
            <v>#N/A</v>
          </cell>
          <cell r="AV284" t="e">
            <v>#N/A</v>
          </cell>
          <cell r="AW284" t="e">
            <v>#N/A</v>
          </cell>
          <cell r="AX284" t="e">
            <v>#N/A</v>
          </cell>
          <cell r="AY284" t="e">
            <v>#N/A</v>
          </cell>
          <cell r="AZ284" t="e">
            <v>#N/A</v>
          </cell>
          <cell r="BA284" t="e">
            <v>#N/A</v>
          </cell>
        </row>
        <row r="285">
          <cell r="E285" t="e">
            <v>#N/A</v>
          </cell>
          <cell r="F285" t="e">
            <v>#N/A</v>
          </cell>
          <cell r="S285" t="e">
            <v>#N/A</v>
          </cell>
          <cell r="T285" t="e">
            <v>#N/A</v>
          </cell>
          <cell r="U285" t="e">
            <v>#N/A</v>
          </cell>
          <cell r="V285" t="e">
            <v>#N/A</v>
          </cell>
          <cell r="W285" t="e">
            <v>#N/A</v>
          </cell>
          <cell r="X285" t="e">
            <v>#N/A</v>
          </cell>
          <cell r="AE285" t="e">
            <v>#N/A</v>
          </cell>
          <cell r="AF285" t="e">
            <v>#N/A</v>
          </cell>
          <cell r="AG285" t="e">
            <v>#N/A</v>
          </cell>
          <cell r="AH285" t="e">
            <v>#N/A</v>
          </cell>
          <cell r="AJ285" t="e">
            <v>#N/A</v>
          </cell>
          <cell r="AK285" t="e">
            <v>#N/A</v>
          </cell>
          <cell r="AL285" t="e">
            <v>#N/A</v>
          </cell>
          <cell r="AM285" t="e">
            <v>#N/A</v>
          </cell>
          <cell r="AN285" t="e">
            <v>#N/A</v>
          </cell>
          <cell r="AO285" t="e">
            <v>#N/A</v>
          </cell>
          <cell r="AP285" t="e">
            <v>#N/A</v>
          </cell>
          <cell r="AQ285" t="e">
            <v>#N/A</v>
          </cell>
          <cell r="AT285" t="e">
            <v>#N/A</v>
          </cell>
          <cell r="AU285" t="e">
            <v>#N/A</v>
          </cell>
          <cell r="AV285" t="e">
            <v>#N/A</v>
          </cell>
          <cell r="AW285" t="e">
            <v>#N/A</v>
          </cell>
          <cell r="AX285" t="e">
            <v>#N/A</v>
          </cell>
          <cell r="AY285" t="e">
            <v>#N/A</v>
          </cell>
          <cell r="AZ285" t="e">
            <v>#N/A</v>
          </cell>
          <cell r="BA285" t="e">
            <v>#N/A</v>
          </cell>
        </row>
        <row r="286">
          <cell r="E286" t="e">
            <v>#N/A</v>
          </cell>
          <cell r="F286" t="e">
            <v>#N/A</v>
          </cell>
          <cell r="S286" t="e">
            <v>#N/A</v>
          </cell>
          <cell r="T286" t="e">
            <v>#N/A</v>
          </cell>
          <cell r="U286" t="e">
            <v>#N/A</v>
          </cell>
          <cell r="V286" t="e">
            <v>#N/A</v>
          </cell>
          <cell r="W286" t="e">
            <v>#N/A</v>
          </cell>
          <cell r="X286" t="e">
            <v>#N/A</v>
          </cell>
          <cell r="AE286" t="e">
            <v>#N/A</v>
          </cell>
          <cell r="AF286" t="e">
            <v>#N/A</v>
          </cell>
          <cell r="AG286" t="e">
            <v>#N/A</v>
          </cell>
          <cell r="AH286" t="e">
            <v>#N/A</v>
          </cell>
          <cell r="AJ286" t="e">
            <v>#N/A</v>
          </cell>
          <cell r="AK286" t="e">
            <v>#N/A</v>
          </cell>
          <cell r="AL286" t="e">
            <v>#N/A</v>
          </cell>
          <cell r="AM286" t="e">
            <v>#N/A</v>
          </cell>
          <cell r="AN286" t="e">
            <v>#N/A</v>
          </cell>
          <cell r="AO286" t="e">
            <v>#N/A</v>
          </cell>
          <cell r="AP286" t="e">
            <v>#N/A</v>
          </cell>
          <cell r="AQ286" t="e">
            <v>#N/A</v>
          </cell>
          <cell r="AT286" t="e">
            <v>#N/A</v>
          </cell>
          <cell r="AU286" t="e">
            <v>#N/A</v>
          </cell>
          <cell r="AV286" t="e">
            <v>#N/A</v>
          </cell>
          <cell r="AW286" t="e">
            <v>#N/A</v>
          </cell>
          <cell r="AX286" t="e">
            <v>#N/A</v>
          </cell>
          <cell r="AY286" t="e">
            <v>#N/A</v>
          </cell>
          <cell r="AZ286" t="e">
            <v>#N/A</v>
          </cell>
          <cell r="BA286" t="e">
            <v>#N/A</v>
          </cell>
        </row>
        <row r="287">
          <cell r="E287" t="e">
            <v>#N/A</v>
          </cell>
          <cell r="F287" t="e">
            <v>#N/A</v>
          </cell>
          <cell r="S287" t="e">
            <v>#N/A</v>
          </cell>
          <cell r="T287" t="e">
            <v>#N/A</v>
          </cell>
          <cell r="U287" t="e">
            <v>#N/A</v>
          </cell>
          <cell r="V287" t="e">
            <v>#N/A</v>
          </cell>
          <cell r="W287" t="e">
            <v>#N/A</v>
          </cell>
          <cell r="X287" t="e">
            <v>#N/A</v>
          </cell>
          <cell r="AE287" t="e">
            <v>#N/A</v>
          </cell>
          <cell r="AF287" t="e">
            <v>#N/A</v>
          </cell>
          <cell r="AG287" t="e">
            <v>#N/A</v>
          </cell>
          <cell r="AH287" t="e">
            <v>#N/A</v>
          </cell>
          <cell r="AJ287" t="e">
            <v>#N/A</v>
          </cell>
          <cell r="AK287" t="e">
            <v>#N/A</v>
          </cell>
          <cell r="AL287" t="e">
            <v>#N/A</v>
          </cell>
          <cell r="AM287" t="e">
            <v>#N/A</v>
          </cell>
          <cell r="AN287" t="e">
            <v>#N/A</v>
          </cell>
          <cell r="AO287" t="e">
            <v>#N/A</v>
          </cell>
          <cell r="AP287" t="e">
            <v>#N/A</v>
          </cell>
          <cell r="AQ287" t="e">
            <v>#N/A</v>
          </cell>
          <cell r="AT287" t="e">
            <v>#N/A</v>
          </cell>
          <cell r="AU287" t="e">
            <v>#N/A</v>
          </cell>
          <cell r="AV287" t="e">
            <v>#N/A</v>
          </cell>
          <cell r="AW287" t="e">
            <v>#N/A</v>
          </cell>
          <cell r="AX287" t="e">
            <v>#N/A</v>
          </cell>
          <cell r="AY287" t="e">
            <v>#N/A</v>
          </cell>
          <cell r="AZ287" t="e">
            <v>#N/A</v>
          </cell>
          <cell r="BA287" t="e">
            <v>#N/A</v>
          </cell>
        </row>
        <row r="288">
          <cell r="E288" t="e">
            <v>#N/A</v>
          </cell>
          <cell r="F288" t="e">
            <v>#N/A</v>
          </cell>
          <cell r="S288" t="e">
            <v>#N/A</v>
          </cell>
          <cell r="T288" t="e">
            <v>#N/A</v>
          </cell>
          <cell r="U288" t="e">
            <v>#N/A</v>
          </cell>
          <cell r="V288" t="e">
            <v>#N/A</v>
          </cell>
          <cell r="W288" t="e">
            <v>#N/A</v>
          </cell>
          <cell r="X288" t="e">
            <v>#N/A</v>
          </cell>
          <cell r="AE288" t="e">
            <v>#N/A</v>
          </cell>
          <cell r="AF288" t="e">
            <v>#N/A</v>
          </cell>
          <cell r="AG288" t="e">
            <v>#N/A</v>
          </cell>
          <cell r="AH288" t="e">
            <v>#N/A</v>
          </cell>
          <cell r="AJ288" t="e">
            <v>#N/A</v>
          </cell>
          <cell r="AK288" t="e">
            <v>#N/A</v>
          </cell>
          <cell r="AL288" t="e">
            <v>#N/A</v>
          </cell>
          <cell r="AM288" t="e">
            <v>#N/A</v>
          </cell>
          <cell r="AN288" t="e">
            <v>#N/A</v>
          </cell>
          <cell r="AO288" t="e">
            <v>#N/A</v>
          </cell>
          <cell r="AP288" t="e">
            <v>#N/A</v>
          </cell>
          <cell r="AQ288" t="e">
            <v>#N/A</v>
          </cell>
          <cell r="AT288" t="e">
            <v>#N/A</v>
          </cell>
          <cell r="AU288" t="e">
            <v>#N/A</v>
          </cell>
          <cell r="AV288" t="e">
            <v>#N/A</v>
          </cell>
          <cell r="AW288" t="e">
            <v>#N/A</v>
          </cell>
          <cell r="AX288" t="e">
            <v>#N/A</v>
          </cell>
          <cell r="AY288" t="e">
            <v>#N/A</v>
          </cell>
          <cell r="AZ288" t="e">
            <v>#N/A</v>
          </cell>
          <cell r="BA288" t="e">
            <v>#N/A</v>
          </cell>
        </row>
        <row r="289">
          <cell r="E289" t="e">
            <v>#N/A</v>
          </cell>
          <cell r="F289" t="e">
            <v>#N/A</v>
          </cell>
          <cell r="S289" t="e">
            <v>#N/A</v>
          </cell>
          <cell r="T289" t="e">
            <v>#N/A</v>
          </cell>
          <cell r="U289" t="e">
            <v>#N/A</v>
          </cell>
          <cell r="V289" t="e">
            <v>#N/A</v>
          </cell>
          <cell r="W289" t="e">
            <v>#N/A</v>
          </cell>
          <cell r="X289" t="e">
            <v>#N/A</v>
          </cell>
          <cell r="AE289" t="e">
            <v>#N/A</v>
          </cell>
          <cell r="AF289" t="e">
            <v>#N/A</v>
          </cell>
          <cell r="AG289" t="e">
            <v>#N/A</v>
          </cell>
          <cell r="AH289" t="e">
            <v>#N/A</v>
          </cell>
          <cell r="AJ289" t="e">
            <v>#N/A</v>
          </cell>
          <cell r="AK289" t="e">
            <v>#N/A</v>
          </cell>
          <cell r="AL289" t="e">
            <v>#N/A</v>
          </cell>
          <cell r="AM289" t="e">
            <v>#N/A</v>
          </cell>
          <cell r="AN289" t="e">
            <v>#N/A</v>
          </cell>
          <cell r="AO289" t="e">
            <v>#N/A</v>
          </cell>
          <cell r="AP289" t="e">
            <v>#N/A</v>
          </cell>
          <cell r="AQ289" t="e">
            <v>#N/A</v>
          </cell>
          <cell r="AT289" t="e">
            <v>#N/A</v>
          </cell>
          <cell r="AU289" t="e">
            <v>#N/A</v>
          </cell>
          <cell r="AV289" t="e">
            <v>#N/A</v>
          </cell>
          <cell r="AW289" t="e">
            <v>#N/A</v>
          </cell>
          <cell r="AX289" t="e">
            <v>#N/A</v>
          </cell>
          <cell r="AY289" t="e">
            <v>#N/A</v>
          </cell>
          <cell r="AZ289" t="e">
            <v>#N/A</v>
          </cell>
          <cell r="BA289" t="e">
            <v>#N/A</v>
          </cell>
        </row>
        <row r="290">
          <cell r="E290" t="e">
            <v>#N/A</v>
          </cell>
          <cell r="F290" t="e">
            <v>#N/A</v>
          </cell>
          <cell r="S290" t="e">
            <v>#N/A</v>
          </cell>
          <cell r="T290" t="e">
            <v>#N/A</v>
          </cell>
          <cell r="U290" t="e">
            <v>#N/A</v>
          </cell>
          <cell r="V290" t="e">
            <v>#N/A</v>
          </cell>
          <cell r="W290" t="e">
            <v>#N/A</v>
          </cell>
          <cell r="X290" t="e">
            <v>#N/A</v>
          </cell>
          <cell r="AE290" t="e">
            <v>#N/A</v>
          </cell>
          <cell r="AF290" t="e">
            <v>#N/A</v>
          </cell>
          <cell r="AG290" t="e">
            <v>#N/A</v>
          </cell>
          <cell r="AH290" t="e">
            <v>#N/A</v>
          </cell>
          <cell r="AJ290" t="e">
            <v>#N/A</v>
          </cell>
          <cell r="AK290" t="e">
            <v>#N/A</v>
          </cell>
          <cell r="AL290" t="e">
            <v>#N/A</v>
          </cell>
          <cell r="AM290" t="e">
            <v>#N/A</v>
          </cell>
          <cell r="AN290" t="e">
            <v>#N/A</v>
          </cell>
          <cell r="AO290" t="e">
            <v>#N/A</v>
          </cell>
          <cell r="AP290" t="e">
            <v>#N/A</v>
          </cell>
          <cell r="AQ290" t="e">
            <v>#N/A</v>
          </cell>
          <cell r="AT290" t="e">
            <v>#N/A</v>
          </cell>
          <cell r="AU290" t="e">
            <v>#N/A</v>
          </cell>
          <cell r="AV290" t="e">
            <v>#N/A</v>
          </cell>
          <cell r="AW290" t="e">
            <v>#N/A</v>
          </cell>
          <cell r="AX290" t="e">
            <v>#N/A</v>
          </cell>
          <cell r="AY290" t="e">
            <v>#N/A</v>
          </cell>
          <cell r="AZ290" t="e">
            <v>#N/A</v>
          </cell>
          <cell r="BA290" t="e">
            <v>#N/A</v>
          </cell>
        </row>
        <row r="291">
          <cell r="E291" t="e">
            <v>#N/A</v>
          </cell>
          <cell r="F291" t="e">
            <v>#N/A</v>
          </cell>
          <cell r="S291" t="e">
            <v>#N/A</v>
          </cell>
          <cell r="T291" t="e">
            <v>#N/A</v>
          </cell>
          <cell r="U291" t="e">
            <v>#N/A</v>
          </cell>
          <cell r="V291" t="e">
            <v>#N/A</v>
          </cell>
          <cell r="W291" t="e">
            <v>#N/A</v>
          </cell>
          <cell r="X291" t="e">
            <v>#N/A</v>
          </cell>
          <cell r="AE291" t="e">
            <v>#N/A</v>
          </cell>
          <cell r="AF291" t="e">
            <v>#N/A</v>
          </cell>
          <cell r="AG291" t="e">
            <v>#N/A</v>
          </cell>
          <cell r="AH291" t="e">
            <v>#N/A</v>
          </cell>
          <cell r="AJ291" t="e">
            <v>#N/A</v>
          </cell>
          <cell r="AK291" t="e">
            <v>#N/A</v>
          </cell>
          <cell r="AL291" t="e">
            <v>#N/A</v>
          </cell>
          <cell r="AM291" t="e">
            <v>#N/A</v>
          </cell>
          <cell r="AN291" t="e">
            <v>#N/A</v>
          </cell>
          <cell r="AO291" t="e">
            <v>#N/A</v>
          </cell>
          <cell r="AP291" t="e">
            <v>#N/A</v>
          </cell>
          <cell r="AQ291" t="e">
            <v>#N/A</v>
          </cell>
          <cell r="AT291" t="e">
            <v>#N/A</v>
          </cell>
          <cell r="AU291" t="e">
            <v>#N/A</v>
          </cell>
          <cell r="AV291" t="e">
            <v>#N/A</v>
          </cell>
          <cell r="AW291" t="e">
            <v>#N/A</v>
          </cell>
          <cell r="AX291" t="e">
            <v>#N/A</v>
          </cell>
          <cell r="AY291" t="e">
            <v>#N/A</v>
          </cell>
          <cell r="AZ291" t="e">
            <v>#N/A</v>
          </cell>
          <cell r="BA291" t="e">
            <v>#N/A</v>
          </cell>
        </row>
        <row r="292">
          <cell r="E292" t="e">
            <v>#N/A</v>
          </cell>
          <cell r="F292" t="e">
            <v>#N/A</v>
          </cell>
          <cell r="S292" t="e">
            <v>#N/A</v>
          </cell>
          <cell r="T292" t="e">
            <v>#N/A</v>
          </cell>
          <cell r="U292" t="e">
            <v>#N/A</v>
          </cell>
          <cell r="V292" t="e">
            <v>#N/A</v>
          </cell>
          <cell r="W292" t="e">
            <v>#N/A</v>
          </cell>
          <cell r="X292" t="e">
            <v>#N/A</v>
          </cell>
          <cell r="AE292" t="e">
            <v>#N/A</v>
          </cell>
          <cell r="AF292" t="e">
            <v>#N/A</v>
          </cell>
          <cell r="AG292" t="e">
            <v>#N/A</v>
          </cell>
          <cell r="AH292" t="e">
            <v>#N/A</v>
          </cell>
          <cell r="AJ292" t="e">
            <v>#N/A</v>
          </cell>
          <cell r="AK292" t="e">
            <v>#N/A</v>
          </cell>
          <cell r="AL292" t="e">
            <v>#N/A</v>
          </cell>
          <cell r="AM292" t="e">
            <v>#N/A</v>
          </cell>
          <cell r="AN292" t="e">
            <v>#N/A</v>
          </cell>
          <cell r="AO292" t="e">
            <v>#N/A</v>
          </cell>
          <cell r="AP292" t="e">
            <v>#N/A</v>
          </cell>
          <cell r="AQ292" t="e">
            <v>#N/A</v>
          </cell>
          <cell r="AT292" t="e">
            <v>#N/A</v>
          </cell>
          <cell r="AU292" t="e">
            <v>#N/A</v>
          </cell>
          <cell r="AV292" t="e">
            <v>#N/A</v>
          </cell>
          <cell r="AW292" t="e">
            <v>#N/A</v>
          </cell>
          <cell r="AX292" t="e">
            <v>#N/A</v>
          </cell>
          <cell r="AY292" t="e">
            <v>#N/A</v>
          </cell>
          <cell r="AZ292" t="e">
            <v>#N/A</v>
          </cell>
          <cell r="BA292" t="e">
            <v>#N/A</v>
          </cell>
        </row>
        <row r="293">
          <cell r="E293" t="e">
            <v>#N/A</v>
          </cell>
          <cell r="F293" t="e">
            <v>#N/A</v>
          </cell>
          <cell r="S293" t="e">
            <v>#N/A</v>
          </cell>
          <cell r="T293" t="e">
            <v>#N/A</v>
          </cell>
          <cell r="U293" t="e">
            <v>#N/A</v>
          </cell>
          <cell r="V293" t="e">
            <v>#N/A</v>
          </cell>
          <cell r="W293" t="e">
            <v>#N/A</v>
          </cell>
          <cell r="X293" t="e">
            <v>#N/A</v>
          </cell>
          <cell r="AE293" t="e">
            <v>#N/A</v>
          </cell>
          <cell r="AF293" t="e">
            <v>#N/A</v>
          </cell>
          <cell r="AG293" t="e">
            <v>#N/A</v>
          </cell>
          <cell r="AH293" t="e">
            <v>#N/A</v>
          </cell>
          <cell r="AJ293" t="e">
            <v>#N/A</v>
          </cell>
          <cell r="AK293" t="e">
            <v>#N/A</v>
          </cell>
          <cell r="AL293" t="e">
            <v>#N/A</v>
          </cell>
          <cell r="AM293" t="e">
            <v>#N/A</v>
          </cell>
          <cell r="AN293" t="e">
            <v>#N/A</v>
          </cell>
          <cell r="AO293" t="e">
            <v>#N/A</v>
          </cell>
          <cell r="AP293" t="e">
            <v>#N/A</v>
          </cell>
          <cell r="AQ293" t="e">
            <v>#N/A</v>
          </cell>
          <cell r="AT293" t="e">
            <v>#N/A</v>
          </cell>
          <cell r="AU293" t="e">
            <v>#N/A</v>
          </cell>
          <cell r="AV293" t="e">
            <v>#N/A</v>
          </cell>
          <cell r="AW293" t="e">
            <v>#N/A</v>
          </cell>
          <cell r="AX293" t="e">
            <v>#N/A</v>
          </cell>
          <cell r="AY293" t="e">
            <v>#N/A</v>
          </cell>
          <cell r="AZ293" t="e">
            <v>#N/A</v>
          </cell>
          <cell r="BA293" t="e">
            <v>#N/A</v>
          </cell>
        </row>
        <row r="294">
          <cell r="E294" t="e">
            <v>#N/A</v>
          </cell>
          <cell r="F294" t="e">
            <v>#N/A</v>
          </cell>
          <cell r="S294" t="e">
            <v>#N/A</v>
          </cell>
          <cell r="T294" t="e">
            <v>#N/A</v>
          </cell>
          <cell r="U294" t="e">
            <v>#N/A</v>
          </cell>
          <cell r="V294" t="e">
            <v>#N/A</v>
          </cell>
          <cell r="W294" t="e">
            <v>#N/A</v>
          </cell>
          <cell r="X294" t="e">
            <v>#N/A</v>
          </cell>
          <cell r="AE294" t="e">
            <v>#N/A</v>
          </cell>
          <cell r="AF294" t="e">
            <v>#N/A</v>
          </cell>
          <cell r="AG294" t="e">
            <v>#N/A</v>
          </cell>
          <cell r="AH294" t="e">
            <v>#N/A</v>
          </cell>
          <cell r="AJ294" t="e">
            <v>#N/A</v>
          </cell>
          <cell r="AK294" t="e">
            <v>#N/A</v>
          </cell>
          <cell r="AL294" t="e">
            <v>#N/A</v>
          </cell>
          <cell r="AM294" t="e">
            <v>#N/A</v>
          </cell>
          <cell r="AN294" t="e">
            <v>#N/A</v>
          </cell>
          <cell r="AO294" t="e">
            <v>#N/A</v>
          </cell>
          <cell r="AP294" t="e">
            <v>#N/A</v>
          </cell>
          <cell r="AQ294" t="e">
            <v>#N/A</v>
          </cell>
          <cell r="AT294" t="e">
            <v>#N/A</v>
          </cell>
          <cell r="AU294" t="e">
            <v>#N/A</v>
          </cell>
          <cell r="AV294" t="e">
            <v>#N/A</v>
          </cell>
          <cell r="AW294" t="e">
            <v>#N/A</v>
          </cell>
          <cell r="AX294" t="e">
            <v>#N/A</v>
          </cell>
          <cell r="AY294" t="e">
            <v>#N/A</v>
          </cell>
          <cell r="AZ294" t="e">
            <v>#N/A</v>
          </cell>
          <cell r="BA294" t="e">
            <v>#N/A</v>
          </cell>
        </row>
        <row r="295">
          <cell r="E295" t="e">
            <v>#N/A</v>
          </cell>
          <cell r="F295" t="e">
            <v>#N/A</v>
          </cell>
          <cell r="S295" t="e">
            <v>#N/A</v>
          </cell>
          <cell r="T295" t="e">
            <v>#N/A</v>
          </cell>
          <cell r="U295" t="e">
            <v>#N/A</v>
          </cell>
          <cell r="V295" t="e">
            <v>#N/A</v>
          </cell>
          <cell r="W295" t="e">
            <v>#N/A</v>
          </cell>
          <cell r="X295" t="e">
            <v>#N/A</v>
          </cell>
          <cell r="AE295" t="e">
            <v>#N/A</v>
          </cell>
          <cell r="AF295" t="e">
            <v>#N/A</v>
          </cell>
          <cell r="AG295" t="e">
            <v>#N/A</v>
          </cell>
          <cell r="AH295" t="e">
            <v>#N/A</v>
          </cell>
          <cell r="AJ295" t="e">
            <v>#N/A</v>
          </cell>
          <cell r="AK295" t="e">
            <v>#N/A</v>
          </cell>
          <cell r="AL295" t="e">
            <v>#N/A</v>
          </cell>
          <cell r="AM295" t="e">
            <v>#N/A</v>
          </cell>
          <cell r="AN295" t="e">
            <v>#N/A</v>
          </cell>
          <cell r="AO295" t="e">
            <v>#N/A</v>
          </cell>
          <cell r="AP295" t="e">
            <v>#N/A</v>
          </cell>
          <cell r="AQ295" t="e">
            <v>#N/A</v>
          </cell>
          <cell r="AT295" t="e">
            <v>#N/A</v>
          </cell>
          <cell r="AU295" t="e">
            <v>#N/A</v>
          </cell>
          <cell r="AV295" t="e">
            <v>#N/A</v>
          </cell>
          <cell r="AW295" t="e">
            <v>#N/A</v>
          </cell>
          <cell r="AX295" t="e">
            <v>#N/A</v>
          </cell>
          <cell r="AY295" t="e">
            <v>#N/A</v>
          </cell>
          <cell r="AZ295" t="e">
            <v>#N/A</v>
          </cell>
          <cell r="BA295" t="e">
            <v>#N/A</v>
          </cell>
        </row>
        <row r="296">
          <cell r="E296" t="e">
            <v>#N/A</v>
          </cell>
          <cell r="F296" t="e">
            <v>#N/A</v>
          </cell>
          <cell r="S296" t="e">
            <v>#N/A</v>
          </cell>
          <cell r="T296" t="e">
            <v>#N/A</v>
          </cell>
          <cell r="U296" t="e">
            <v>#N/A</v>
          </cell>
          <cell r="V296" t="e">
            <v>#N/A</v>
          </cell>
          <cell r="W296" t="e">
            <v>#N/A</v>
          </cell>
          <cell r="X296" t="e">
            <v>#N/A</v>
          </cell>
          <cell r="AE296" t="e">
            <v>#N/A</v>
          </cell>
          <cell r="AF296" t="e">
            <v>#N/A</v>
          </cell>
          <cell r="AG296" t="e">
            <v>#N/A</v>
          </cell>
          <cell r="AH296" t="e">
            <v>#N/A</v>
          </cell>
          <cell r="AJ296" t="e">
            <v>#N/A</v>
          </cell>
          <cell r="AK296" t="e">
            <v>#N/A</v>
          </cell>
          <cell r="AL296" t="e">
            <v>#N/A</v>
          </cell>
          <cell r="AM296" t="e">
            <v>#N/A</v>
          </cell>
          <cell r="AN296" t="e">
            <v>#N/A</v>
          </cell>
          <cell r="AO296" t="e">
            <v>#N/A</v>
          </cell>
          <cell r="AP296" t="e">
            <v>#N/A</v>
          </cell>
          <cell r="AQ296" t="e">
            <v>#N/A</v>
          </cell>
          <cell r="AT296" t="e">
            <v>#N/A</v>
          </cell>
          <cell r="AU296" t="e">
            <v>#N/A</v>
          </cell>
          <cell r="AV296" t="e">
            <v>#N/A</v>
          </cell>
          <cell r="AW296" t="e">
            <v>#N/A</v>
          </cell>
          <cell r="AX296" t="e">
            <v>#N/A</v>
          </cell>
          <cell r="AY296" t="e">
            <v>#N/A</v>
          </cell>
          <cell r="AZ296" t="e">
            <v>#N/A</v>
          </cell>
          <cell r="BA296" t="e">
            <v>#N/A</v>
          </cell>
        </row>
        <row r="297">
          <cell r="E297" t="e">
            <v>#N/A</v>
          </cell>
          <cell r="F297" t="e">
            <v>#N/A</v>
          </cell>
          <cell r="S297" t="e">
            <v>#N/A</v>
          </cell>
          <cell r="T297" t="e">
            <v>#N/A</v>
          </cell>
          <cell r="U297" t="e">
            <v>#N/A</v>
          </cell>
          <cell r="V297" t="e">
            <v>#N/A</v>
          </cell>
          <cell r="W297" t="e">
            <v>#N/A</v>
          </cell>
          <cell r="X297" t="e">
            <v>#N/A</v>
          </cell>
          <cell r="AE297" t="e">
            <v>#N/A</v>
          </cell>
          <cell r="AF297" t="e">
            <v>#N/A</v>
          </cell>
          <cell r="AG297" t="e">
            <v>#N/A</v>
          </cell>
          <cell r="AH297" t="e">
            <v>#N/A</v>
          </cell>
          <cell r="AJ297" t="e">
            <v>#N/A</v>
          </cell>
          <cell r="AK297" t="e">
            <v>#N/A</v>
          </cell>
          <cell r="AL297" t="e">
            <v>#N/A</v>
          </cell>
          <cell r="AM297" t="e">
            <v>#N/A</v>
          </cell>
          <cell r="AN297" t="e">
            <v>#N/A</v>
          </cell>
          <cell r="AO297" t="e">
            <v>#N/A</v>
          </cell>
          <cell r="AP297" t="e">
            <v>#N/A</v>
          </cell>
          <cell r="AQ297" t="e">
            <v>#N/A</v>
          </cell>
          <cell r="AT297" t="e">
            <v>#N/A</v>
          </cell>
          <cell r="AU297" t="e">
            <v>#N/A</v>
          </cell>
          <cell r="AV297" t="e">
            <v>#N/A</v>
          </cell>
          <cell r="AW297" t="e">
            <v>#N/A</v>
          </cell>
          <cell r="AX297" t="e">
            <v>#N/A</v>
          </cell>
          <cell r="AY297" t="e">
            <v>#N/A</v>
          </cell>
          <cell r="AZ297" t="e">
            <v>#N/A</v>
          </cell>
          <cell r="BA297" t="e">
            <v>#N/A</v>
          </cell>
        </row>
        <row r="298">
          <cell r="E298" t="e">
            <v>#N/A</v>
          </cell>
          <cell r="F298" t="e">
            <v>#N/A</v>
          </cell>
          <cell r="S298" t="e">
            <v>#N/A</v>
          </cell>
          <cell r="T298" t="e">
            <v>#N/A</v>
          </cell>
          <cell r="U298" t="e">
            <v>#N/A</v>
          </cell>
          <cell r="V298" t="e">
            <v>#N/A</v>
          </cell>
          <cell r="W298" t="e">
            <v>#N/A</v>
          </cell>
          <cell r="X298" t="e">
            <v>#N/A</v>
          </cell>
          <cell r="AE298" t="e">
            <v>#N/A</v>
          </cell>
          <cell r="AF298" t="e">
            <v>#N/A</v>
          </cell>
          <cell r="AG298" t="e">
            <v>#N/A</v>
          </cell>
          <cell r="AH298" t="e">
            <v>#N/A</v>
          </cell>
          <cell r="AJ298" t="e">
            <v>#N/A</v>
          </cell>
          <cell r="AK298" t="e">
            <v>#N/A</v>
          </cell>
          <cell r="AL298" t="e">
            <v>#N/A</v>
          </cell>
          <cell r="AM298" t="e">
            <v>#N/A</v>
          </cell>
          <cell r="AN298" t="e">
            <v>#N/A</v>
          </cell>
          <cell r="AO298" t="e">
            <v>#N/A</v>
          </cell>
          <cell r="AP298" t="e">
            <v>#N/A</v>
          </cell>
          <cell r="AQ298" t="e">
            <v>#N/A</v>
          </cell>
          <cell r="AT298" t="e">
            <v>#N/A</v>
          </cell>
          <cell r="AU298" t="e">
            <v>#N/A</v>
          </cell>
          <cell r="AV298" t="e">
            <v>#N/A</v>
          </cell>
          <cell r="AW298" t="e">
            <v>#N/A</v>
          </cell>
          <cell r="AX298" t="e">
            <v>#N/A</v>
          </cell>
          <cell r="AY298" t="e">
            <v>#N/A</v>
          </cell>
          <cell r="AZ298" t="e">
            <v>#N/A</v>
          </cell>
          <cell r="BA298" t="e">
            <v>#N/A</v>
          </cell>
        </row>
        <row r="299">
          <cell r="E299" t="e">
            <v>#N/A</v>
          </cell>
          <cell r="F299" t="e">
            <v>#N/A</v>
          </cell>
          <cell r="S299" t="e">
            <v>#N/A</v>
          </cell>
          <cell r="T299" t="e">
            <v>#N/A</v>
          </cell>
          <cell r="U299" t="e">
            <v>#N/A</v>
          </cell>
          <cell r="V299" t="e">
            <v>#N/A</v>
          </cell>
          <cell r="W299" t="e">
            <v>#N/A</v>
          </cell>
          <cell r="X299" t="e">
            <v>#N/A</v>
          </cell>
          <cell r="AE299" t="e">
            <v>#N/A</v>
          </cell>
          <cell r="AF299" t="e">
            <v>#N/A</v>
          </cell>
          <cell r="AG299" t="e">
            <v>#N/A</v>
          </cell>
          <cell r="AH299" t="e">
            <v>#N/A</v>
          </cell>
          <cell r="AJ299" t="e">
            <v>#N/A</v>
          </cell>
          <cell r="AK299" t="e">
            <v>#N/A</v>
          </cell>
          <cell r="AL299" t="e">
            <v>#N/A</v>
          </cell>
          <cell r="AM299" t="e">
            <v>#N/A</v>
          </cell>
          <cell r="AN299" t="e">
            <v>#N/A</v>
          </cell>
          <cell r="AO299" t="e">
            <v>#N/A</v>
          </cell>
          <cell r="AP299" t="e">
            <v>#N/A</v>
          </cell>
          <cell r="AQ299" t="e">
            <v>#N/A</v>
          </cell>
          <cell r="AT299" t="e">
            <v>#N/A</v>
          </cell>
          <cell r="AU299" t="e">
            <v>#N/A</v>
          </cell>
          <cell r="AV299" t="e">
            <v>#N/A</v>
          </cell>
          <cell r="AW299" t="e">
            <v>#N/A</v>
          </cell>
          <cell r="AX299" t="e">
            <v>#N/A</v>
          </cell>
          <cell r="AY299" t="e">
            <v>#N/A</v>
          </cell>
          <cell r="AZ299" t="e">
            <v>#N/A</v>
          </cell>
          <cell r="BA299" t="e">
            <v>#N/A</v>
          </cell>
        </row>
        <row r="300">
          <cell r="E300" t="e">
            <v>#N/A</v>
          </cell>
          <cell r="F300" t="e">
            <v>#N/A</v>
          </cell>
          <cell r="S300" t="e">
            <v>#N/A</v>
          </cell>
          <cell r="T300" t="e">
            <v>#N/A</v>
          </cell>
          <cell r="U300" t="e">
            <v>#N/A</v>
          </cell>
          <cell r="V300" t="e">
            <v>#N/A</v>
          </cell>
          <cell r="W300" t="e">
            <v>#N/A</v>
          </cell>
          <cell r="X300" t="e">
            <v>#N/A</v>
          </cell>
          <cell r="AE300" t="e">
            <v>#N/A</v>
          </cell>
          <cell r="AF300" t="e">
            <v>#N/A</v>
          </cell>
          <cell r="AG300" t="e">
            <v>#N/A</v>
          </cell>
          <cell r="AH300" t="e">
            <v>#N/A</v>
          </cell>
          <cell r="AJ300" t="e">
            <v>#N/A</v>
          </cell>
          <cell r="AK300" t="e">
            <v>#N/A</v>
          </cell>
          <cell r="AL300" t="e">
            <v>#N/A</v>
          </cell>
          <cell r="AM300" t="e">
            <v>#N/A</v>
          </cell>
          <cell r="AN300" t="e">
            <v>#N/A</v>
          </cell>
          <cell r="AO300" t="e">
            <v>#N/A</v>
          </cell>
          <cell r="AP300" t="e">
            <v>#N/A</v>
          </cell>
          <cell r="AQ300" t="e">
            <v>#N/A</v>
          </cell>
          <cell r="AT300" t="e">
            <v>#N/A</v>
          </cell>
          <cell r="AU300" t="e">
            <v>#N/A</v>
          </cell>
          <cell r="AV300" t="e">
            <v>#N/A</v>
          </cell>
          <cell r="AW300" t="e">
            <v>#N/A</v>
          </cell>
          <cell r="AX300" t="e">
            <v>#N/A</v>
          </cell>
          <cell r="AY300" t="e">
            <v>#N/A</v>
          </cell>
          <cell r="AZ300" t="e">
            <v>#N/A</v>
          </cell>
          <cell r="BA300" t="e">
            <v>#N/A</v>
          </cell>
        </row>
        <row r="301">
          <cell r="E301" t="e">
            <v>#N/A</v>
          </cell>
          <cell r="F301" t="e">
            <v>#N/A</v>
          </cell>
          <cell r="S301" t="e">
            <v>#N/A</v>
          </cell>
          <cell r="T301" t="e">
            <v>#N/A</v>
          </cell>
          <cell r="U301" t="e">
            <v>#N/A</v>
          </cell>
          <cell r="V301" t="e">
            <v>#N/A</v>
          </cell>
          <cell r="W301" t="e">
            <v>#N/A</v>
          </cell>
          <cell r="X301" t="e">
            <v>#N/A</v>
          </cell>
          <cell r="AE301" t="e">
            <v>#N/A</v>
          </cell>
          <cell r="AF301" t="e">
            <v>#N/A</v>
          </cell>
          <cell r="AG301" t="e">
            <v>#N/A</v>
          </cell>
          <cell r="AH301" t="e">
            <v>#N/A</v>
          </cell>
          <cell r="AJ301" t="e">
            <v>#N/A</v>
          </cell>
          <cell r="AK301" t="e">
            <v>#N/A</v>
          </cell>
          <cell r="AL301" t="e">
            <v>#N/A</v>
          </cell>
          <cell r="AM301" t="e">
            <v>#N/A</v>
          </cell>
          <cell r="AN301" t="e">
            <v>#N/A</v>
          </cell>
          <cell r="AO301" t="e">
            <v>#N/A</v>
          </cell>
          <cell r="AP301" t="e">
            <v>#N/A</v>
          </cell>
          <cell r="AQ301" t="e">
            <v>#N/A</v>
          </cell>
          <cell r="AT301" t="e">
            <v>#N/A</v>
          </cell>
          <cell r="AU301" t="e">
            <v>#N/A</v>
          </cell>
          <cell r="AV301" t="e">
            <v>#N/A</v>
          </cell>
          <cell r="AW301" t="e">
            <v>#N/A</v>
          </cell>
          <cell r="AX301" t="e">
            <v>#N/A</v>
          </cell>
          <cell r="AY301" t="e">
            <v>#N/A</v>
          </cell>
          <cell r="AZ301" t="e">
            <v>#N/A</v>
          </cell>
          <cell r="BA301" t="e">
            <v>#N/A</v>
          </cell>
        </row>
        <row r="302">
          <cell r="E302" t="e">
            <v>#N/A</v>
          </cell>
          <cell r="F302" t="e">
            <v>#N/A</v>
          </cell>
          <cell r="S302" t="e">
            <v>#N/A</v>
          </cell>
          <cell r="T302" t="e">
            <v>#N/A</v>
          </cell>
          <cell r="U302" t="e">
            <v>#N/A</v>
          </cell>
          <cell r="V302" t="e">
            <v>#N/A</v>
          </cell>
          <cell r="W302" t="e">
            <v>#N/A</v>
          </cell>
          <cell r="X302" t="e">
            <v>#N/A</v>
          </cell>
          <cell r="AE302" t="e">
            <v>#N/A</v>
          </cell>
          <cell r="AF302" t="e">
            <v>#N/A</v>
          </cell>
          <cell r="AG302" t="e">
            <v>#N/A</v>
          </cell>
          <cell r="AH302" t="e">
            <v>#N/A</v>
          </cell>
          <cell r="AJ302" t="e">
            <v>#N/A</v>
          </cell>
          <cell r="AK302" t="e">
            <v>#N/A</v>
          </cell>
          <cell r="AL302" t="e">
            <v>#N/A</v>
          </cell>
          <cell r="AM302" t="e">
            <v>#N/A</v>
          </cell>
          <cell r="AN302" t="e">
            <v>#N/A</v>
          </cell>
          <cell r="AO302" t="e">
            <v>#N/A</v>
          </cell>
          <cell r="AP302" t="e">
            <v>#N/A</v>
          </cell>
          <cell r="AQ302" t="e">
            <v>#N/A</v>
          </cell>
          <cell r="AT302" t="e">
            <v>#N/A</v>
          </cell>
          <cell r="AU302" t="e">
            <v>#N/A</v>
          </cell>
          <cell r="AV302" t="e">
            <v>#N/A</v>
          </cell>
          <cell r="AW302" t="e">
            <v>#N/A</v>
          </cell>
          <cell r="AX302" t="e">
            <v>#N/A</v>
          </cell>
          <cell r="AY302" t="e">
            <v>#N/A</v>
          </cell>
          <cell r="AZ302" t="e">
            <v>#N/A</v>
          </cell>
          <cell r="BA302" t="e">
            <v>#N/A</v>
          </cell>
        </row>
        <row r="303">
          <cell r="E303" t="e">
            <v>#N/A</v>
          </cell>
          <cell r="F303" t="e">
            <v>#N/A</v>
          </cell>
          <cell r="S303" t="e">
            <v>#N/A</v>
          </cell>
          <cell r="T303" t="e">
            <v>#N/A</v>
          </cell>
          <cell r="U303" t="e">
            <v>#N/A</v>
          </cell>
          <cell r="V303" t="e">
            <v>#N/A</v>
          </cell>
          <cell r="W303" t="e">
            <v>#N/A</v>
          </cell>
          <cell r="X303" t="e">
            <v>#N/A</v>
          </cell>
          <cell r="AE303" t="e">
            <v>#N/A</v>
          </cell>
          <cell r="AF303" t="e">
            <v>#N/A</v>
          </cell>
          <cell r="AG303" t="e">
            <v>#N/A</v>
          </cell>
          <cell r="AH303" t="e">
            <v>#N/A</v>
          </cell>
          <cell r="AJ303" t="e">
            <v>#N/A</v>
          </cell>
          <cell r="AK303" t="e">
            <v>#N/A</v>
          </cell>
          <cell r="AL303" t="e">
            <v>#N/A</v>
          </cell>
          <cell r="AM303" t="e">
            <v>#N/A</v>
          </cell>
          <cell r="AN303" t="e">
            <v>#N/A</v>
          </cell>
          <cell r="AO303" t="e">
            <v>#N/A</v>
          </cell>
          <cell r="AP303" t="e">
            <v>#N/A</v>
          </cell>
          <cell r="AQ303" t="e">
            <v>#N/A</v>
          </cell>
          <cell r="AT303" t="e">
            <v>#N/A</v>
          </cell>
          <cell r="AU303" t="e">
            <v>#N/A</v>
          </cell>
          <cell r="AV303" t="e">
            <v>#N/A</v>
          </cell>
          <cell r="AW303" t="e">
            <v>#N/A</v>
          </cell>
          <cell r="AX303" t="e">
            <v>#N/A</v>
          </cell>
          <cell r="AY303" t="e">
            <v>#N/A</v>
          </cell>
          <cell r="AZ303" t="e">
            <v>#N/A</v>
          </cell>
          <cell r="BA303" t="e">
            <v>#N/A</v>
          </cell>
        </row>
        <row r="304">
          <cell r="E304" t="e">
            <v>#N/A</v>
          </cell>
          <cell r="F304" t="e">
            <v>#N/A</v>
          </cell>
          <cell r="S304" t="e">
            <v>#N/A</v>
          </cell>
          <cell r="T304" t="e">
            <v>#N/A</v>
          </cell>
          <cell r="U304" t="e">
            <v>#N/A</v>
          </cell>
          <cell r="V304" t="e">
            <v>#N/A</v>
          </cell>
          <cell r="W304" t="e">
            <v>#N/A</v>
          </cell>
          <cell r="X304" t="e">
            <v>#N/A</v>
          </cell>
          <cell r="AE304" t="e">
            <v>#N/A</v>
          </cell>
          <cell r="AF304" t="e">
            <v>#N/A</v>
          </cell>
          <cell r="AG304" t="e">
            <v>#N/A</v>
          </cell>
          <cell r="AH304" t="e">
            <v>#N/A</v>
          </cell>
          <cell r="AJ304" t="e">
            <v>#N/A</v>
          </cell>
          <cell r="AK304" t="e">
            <v>#N/A</v>
          </cell>
          <cell r="AL304" t="e">
            <v>#N/A</v>
          </cell>
          <cell r="AM304" t="e">
            <v>#N/A</v>
          </cell>
          <cell r="AN304" t="e">
            <v>#N/A</v>
          </cell>
          <cell r="AO304" t="e">
            <v>#N/A</v>
          </cell>
          <cell r="AP304" t="e">
            <v>#N/A</v>
          </cell>
          <cell r="AQ304" t="e">
            <v>#N/A</v>
          </cell>
          <cell r="AT304" t="e">
            <v>#N/A</v>
          </cell>
          <cell r="AU304" t="e">
            <v>#N/A</v>
          </cell>
          <cell r="AV304" t="e">
            <v>#N/A</v>
          </cell>
          <cell r="AW304" t="e">
            <v>#N/A</v>
          </cell>
          <cell r="AX304" t="e">
            <v>#N/A</v>
          </cell>
          <cell r="AY304" t="e">
            <v>#N/A</v>
          </cell>
          <cell r="AZ304" t="e">
            <v>#N/A</v>
          </cell>
          <cell r="BA304" t="e">
            <v>#N/A</v>
          </cell>
        </row>
        <row r="305">
          <cell r="E305" t="e">
            <v>#N/A</v>
          </cell>
          <cell r="F305" t="e">
            <v>#N/A</v>
          </cell>
          <cell r="S305" t="e">
            <v>#N/A</v>
          </cell>
          <cell r="T305" t="e">
            <v>#N/A</v>
          </cell>
          <cell r="U305" t="e">
            <v>#N/A</v>
          </cell>
          <cell r="V305" t="e">
            <v>#N/A</v>
          </cell>
          <cell r="W305" t="e">
            <v>#N/A</v>
          </cell>
          <cell r="X305" t="e">
            <v>#N/A</v>
          </cell>
          <cell r="AE305" t="e">
            <v>#N/A</v>
          </cell>
          <cell r="AF305" t="e">
            <v>#N/A</v>
          </cell>
          <cell r="AG305" t="e">
            <v>#N/A</v>
          </cell>
          <cell r="AH305" t="e">
            <v>#N/A</v>
          </cell>
          <cell r="AJ305" t="e">
            <v>#N/A</v>
          </cell>
          <cell r="AK305" t="e">
            <v>#N/A</v>
          </cell>
          <cell r="AL305" t="e">
            <v>#N/A</v>
          </cell>
          <cell r="AM305" t="e">
            <v>#N/A</v>
          </cell>
          <cell r="AN305" t="e">
            <v>#N/A</v>
          </cell>
          <cell r="AO305" t="e">
            <v>#N/A</v>
          </cell>
          <cell r="AP305" t="e">
            <v>#N/A</v>
          </cell>
          <cell r="AQ305" t="e">
            <v>#N/A</v>
          </cell>
          <cell r="AT305" t="e">
            <v>#N/A</v>
          </cell>
          <cell r="AU305" t="e">
            <v>#N/A</v>
          </cell>
          <cell r="AV305" t="e">
            <v>#N/A</v>
          </cell>
          <cell r="AW305" t="e">
            <v>#N/A</v>
          </cell>
          <cell r="AX305" t="e">
            <v>#N/A</v>
          </cell>
          <cell r="AY305" t="e">
            <v>#N/A</v>
          </cell>
          <cell r="AZ305" t="e">
            <v>#N/A</v>
          </cell>
          <cell r="BA305" t="e">
            <v>#N/A</v>
          </cell>
        </row>
        <row r="306">
          <cell r="E306" t="e">
            <v>#N/A</v>
          </cell>
          <cell r="F306" t="e">
            <v>#N/A</v>
          </cell>
          <cell r="S306" t="e">
            <v>#N/A</v>
          </cell>
          <cell r="T306" t="e">
            <v>#N/A</v>
          </cell>
          <cell r="U306" t="e">
            <v>#N/A</v>
          </cell>
          <cell r="V306" t="e">
            <v>#N/A</v>
          </cell>
          <cell r="W306" t="e">
            <v>#N/A</v>
          </cell>
          <cell r="X306" t="e">
            <v>#N/A</v>
          </cell>
          <cell r="AE306" t="e">
            <v>#N/A</v>
          </cell>
          <cell r="AF306" t="e">
            <v>#N/A</v>
          </cell>
          <cell r="AG306" t="e">
            <v>#N/A</v>
          </cell>
          <cell r="AH306" t="e">
            <v>#N/A</v>
          </cell>
          <cell r="AJ306" t="e">
            <v>#N/A</v>
          </cell>
          <cell r="AK306" t="e">
            <v>#N/A</v>
          </cell>
          <cell r="AL306" t="e">
            <v>#N/A</v>
          </cell>
          <cell r="AM306" t="e">
            <v>#N/A</v>
          </cell>
          <cell r="AN306" t="e">
            <v>#N/A</v>
          </cell>
          <cell r="AO306" t="e">
            <v>#N/A</v>
          </cell>
          <cell r="AP306" t="e">
            <v>#N/A</v>
          </cell>
          <cell r="AQ306" t="e">
            <v>#N/A</v>
          </cell>
          <cell r="AT306" t="e">
            <v>#N/A</v>
          </cell>
          <cell r="AU306" t="e">
            <v>#N/A</v>
          </cell>
          <cell r="AV306" t="e">
            <v>#N/A</v>
          </cell>
          <cell r="AW306" t="e">
            <v>#N/A</v>
          </cell>
          <cell r="AX306" t="e">
            <v>#N/A</v>
          </cell>
          <cell r="AY306" t="e">
            <v>#N/A</v>
          </cell>
          <cell r="AZ306" t="e">
            <v>#N/A</v>
          </cell>
          <cell r="BA306" t="e">
            <v>#N/A</v>
          </cell>
        </row>
        <row r="307">
          <cell r="E307" t="e">
            <v>#N/A</v>
          </cell>
          <cell r="F307" t="e">
            <v>#N/A</v>
          </cell>
          <cell r="S307" t="e">
            <v>#N/A</v>
          </cell>
          <cell r="T307" t="e">
            <v>#N/A</v>
          </cell>
          <cell r="U307" t="e">
            <v>#N/A</v>
          </cell>
          <cell r="V307" t="e">
            <v>#N/A</v>
          </cell>
          <cell r="W307" t="e">
            <v>#N/A</v>
          </cell>
          <cell r="X307" t="e">
            <v>#N/A</v>
          </cell>
          <cell r="AE307" t="e">
            <v>#N/A</v>
          </cell>
          <cell r="AF307" t="e">
            <v>#N/A</v>
          </cell>
          <cell r="AG307" t="e">
            <v>#N/A</v>
          </cell>
          <cell r="AH307" t="e">
            <v>#N/A</v>
          </cell>
          <cell r="AJ307" t="e">
            <v>#N/A</v>
          </cell>
          <cell r="AK307" t="e">
            <v>#N/A</v>
          </cell>
          <cell r="AL307" t="e">
            <v>#N/A</v>
          </cell>
          <cell r="AM307" t="e">
            <v>#N/A</v>
          </cell>
          <cell r="AN307" t="e">
            <v>#N/A</v>
          </cell>
          <cell r="AO307" t="e">
            <v>#N/A</v>
          </cell>
          <cell r="AP307" t="e">
            <v>#N/A</v>
          </cell>
          <cell r="AQ307" t="e">
            <v>#N/A</v>
          </cell>
          <cell r="AT307" t="e">
            <v>#N/A</v>
          </cell>
          <cell r="AU307" t="e">
            <v>#N/A</v>
          </cell>
          <cell r="AV307" t="e">
            <v>#N/A</v>
          </cell>
          <cell r="AW307" t="e">
            <v>#N/A</v>
          </cell>
          <cell r="AX307" t="e">
            <v>#N/A</v>
          </cell>
          <cell r="AY307" t="e">
            <v>#N/A</v>
          </cell>
          <cell r="AZ307" t="e">
            <v>#N/A</v>
          </cell>
          <cell r="BA307" t="e">
            <v>#N/A</v>
          </cell>
        </row>
        <row r="308">
          <cell r="E308" t="e">
            <v>#N/A</v>
          </cell>
          <cell r="F308" t="e">
            <v>#N/A</v>
          </cell>
          <cell r="S308" t="e">
            <v>#N/A</v>
          </cell>
          <cell r="T308" t="e">
            <v>#N/A</v>
          </cell>
          <cell r="U308" t="e">
            <v>#N/A</v>
          </cell>
          <cell r="V308" t="e">
            <v>#N/A</v>
          </cell>
          <cell r="W308" t="e">
            <v>#N/A</v>
          </cell>
          <cell r="X308" t="e">
            <v>#N/A</v>
          </cell>
          <cell r="AE308" t="e">
            <v>#N/A</v>
          </cell>
          <cell r="AF308" t="e">
            <v>#N/A</v>
          </cell>
          <cell r="AG308" t="e">
            <v>#N/A</v>
          </cell>
          <cell r="AH308" t="e">
            <v>#N/A</v>
          </cell>
          <cell r="AJ308" t="e">
            <v>#N/A</v>
          </cell>
          <cell r="AK308" t="e">
            <v>#N/A</v>
          </cell>
          <cell r="AL308" t="e">
            <v>#N/A</v>
          </cell>
          <cell r="AM308" t="e">
            <v>#N/A</v>
          </cell>
          <cell r="AN308" t="e">
            <v>#N/A</v>
          </cell>
          <cell r="AO308" t="e">
            <v>#N/A</v>
          </cell>
          <cell r="AP308" t="e">
            <v>#N/A</v>
          </cell>
          <cell r="AQ308" t="e">
            <v>#N/A</v>
          </cell>
          <cell r="AT308" t="e">
            <v>#N/A</v>
          </cell>
          <cell r="AU308" t="e">
            <v>#N/A</v>
          </cell>
          <cell r="AV308" t="e">
            <v>#N/A</v>
          </cell>
          <cell r="AW308" t="e">
            <v>#N/A</v>
          </cell>
          <cell r="AX308" t="e">
            <v>#N/A</v>
          </cell>
          <cell r="AY308" t="e">
            <v>#N/A</v>
          </cell>
          <cell r="AZ308" t="e">
            <v>#N/A</v>
          </cell>
          <cell r="BA308" t="e">
            <v>#N/A</v>
          </cell>
        </row>
        <row r="309">
          <cell r="E309" t="e">
            <v>#N/A</v>
          </cell>
          <cell r="F309" t="e">
            <v>#N/A</v>
          </cell>
          <cell r="S309" t="e">
            <v>#N/A</v>
          </cell>
          <cell r="T309" t="e">
            <v>#N/A</v>
          </cell>
          <cell r="U309" t="e">
            <v>#N/A</v>
          </cell>
          <cell r="V309" t="e">
            <v>#N/A</v>
          </cell>
          <cell r="W309" t="e">
            <v>#N/A</v>
          </cell>
          <cell r="X309" t="e">
            <v>#N/A</v>
          </cell>
          <cell r="AE309" t="e">
            <v>#N/A</v>
          </cell>
          <cell r="AF309" t="e">
            <v>#N/A</v>
          </cell>
          <cell r="AG309" t="e">
            <v>#N/A</v>
          </cell>
          <cell r="AH309" t="e">
            <v>#N/A</v>
          </cell>
          <cell r="AJ309" t="e">
            <v>#N/A</v>
          </cell>
          <cell r="AK309" t="e">
            <v>#N/A</v>
          </cell>
          <cell r="AL309" t="e">
            <v>#N/A</v>
          </cell>
          <cell r="AM309" t="e">
            <v>#N/A</v>
          </cell>
          <cell r="AN309" t="e">
            <v>#N/A</v>
          </cell>
          <cell r="AO309" t="e">
            <v>#N/A</v>
          </cell>
          <cell r="AP309" t="e">
            <v>#N/A</v>
          </cell>
          <cell r="AQ309" t="e">
            <v>#N/A</v>
          </cell>
          <cell r="AT309" t="e">
            <v>#N/A</v>
          </cell>
          <cell r="AU309" t="e">
            <v>#N/A</v>
          </cell>
          <cell r="AV309" t="e">
            <v>#N/A</v>
          </cell>
          <cell r="AW309" t="e">
            <v>#N/A</v>
          </cell>
          <cell r="AX309" t="e">
            <v>#N/A</v>
          </cell>
          <cell r="AY309" t="e">
            <v>#N/A</v>
          </cell>
          <cell r="AZ309" t="e">
            <v>#N/A</v>
          </cell>
          <cell r="BA309" t="e">
            <v>#N/A</v>
          </cell>
        </row>
        <row r="310">
          <cell r="E310" t="e">
            <v>#N/A</v>
          </cell>
          <cell r="F310" t="e">
            <v>#N/A</v>
          </cell>
          <cell r="S310" t="e">
            <v>#N/A</v>
          </cell>
          <cell r="T310" t="e">
            <v>#N/A</v>
          </cell>
          <cell r="U310" t="e">
            <v>#N/A</v>
          </cell>
          <cell r="V310" t="e">
            <v>#N/A</v>
          </cell>
          <cell r="W310" t="e">
            <v>#N/A</v>
          </cell>
          <cell r="X310" t="e">
            <v>#N/A</v>
          </cell>
          <cell r="AE310" t="e">
            <v>#N/A</v>
          </cell>
          <cell r="AF310" t="e">
            <v>#N/A</v>
          </cell>
          <cell r="AG310" t="e">
            <v>#N/A</v>
          </cell>
          <cell r="AH310" t="e">
            <v>#N/A</v>
          </cell>
          <cell r="AJ310" t="e">
            <v>#N/A</v>
          </cell>
          <cell r="AK310" t="e">
            <v>#N/A</v>
          </cell>
          <cell r="AL310" t="e">
            <v>#N/A</v>
          </cell>
          <cell r="AM310" t="e">
            <v>#N/A</v>
          </cell>
          <cell r="AN310" t="e">
            <v>#N/A</v>
          </cell>
          <cell r="AO310" t="e">
            <v>#N/A</v>
          </cell>
          <cell r="AP310" t="e">
            <v>#N/A</v>
          </cell>
          <cell r="AQ310" t="e">
            <v>#N/A</v>
          </cell>
          <cell r="AT310" t="e">
            <v>#N/A</v>
          </cell>
          <cell r="AU310" t="e">
            <v>#N/A</v>
          </cell>
          <cell r="AV310" t="e">
            <v>#N/A</v>
          </cell>
          <cell r="AW310" t="e">
            <v>#N/A</v>
          </cell>
          <cell r="AX310" t="e">
            <v>#N/A</v>
          </cell>
          <cell r="AY310" t="e">
            <v>#N/A</v>
          </cell>
          <cell r="AZ310" t="e">
            <v>#N/A</v>
          </cell>
          <cell r="BA310" t="e">
            <v>#N/A</v>
          </cell>
        </row>
        <row r="311">
          <cell r="E311" t="e">
            <v>#N/A</v>
          </cell>
          <cell r="F311" t="e">
            <v>#N/A</v>
          </cell>
          <cell r="S311" t="e">
            <v>#N/A</v>
          </cell>
          <cell r="T311" t="e">
            <v>#N/A</v>
          </cell>
          <cell r="U311" t="e">
            <v>#N/A</v>
          </cell>
          <cell r="V311" t="e">
            <v>#N/A</v>
          </cell>
          <cell r="W311" t="e">
            <v>#N/A</v>
          </cell>
          <cell r="X311" t="e">
            <v>#N/A</v>
          </cell>
          <cell r="AE311" t="e">
            <v>#N/A</v>
          </cell>
          <cell r="AF311" t="e">
            <v>#N/A</v>
          </cell>
          <cell r="AG311" t="e">
            <v>#N/A</v>
          </cell>
          <cell r="AH311" t="e">
            <v>#N/A</v>
          </cell>
          <cell r="AJ311" t="e">
            <v>#N/A</v>
          </cell>
          <cell r="AK311" t="e">
            <v>#N/A</v>
          </cell>
          <cell r="AL311" t="e">
            <v>#N/A</v>
          </cell>
          <cell r="AM311" t="e">
            <v>#N/A</v>
          </cell>
          <cell r="AN311" t="e">
            <v>#N/A</v>
          </cell>
          <cell r="AO311" t="e">
            <v>#N/A</v>
          </cell>
          <cell r="AP311" t="e">
            <v>#N/A</v>
          </cell>
          <cell r="AQ311" t="e">
            <v>#N/A</v>
          </cell>
          <cell r="AT311" t="e">
            <v>#N/A</v>
          </cell>
          <cell r="AU311" t="e">
            <v>#N/A</v>
          </cell>
          <cell r="AV311" t="e">
            <v>#N/A</v>
          </cell>
          <cell r="AW311" t="e">
            <v>#N/A</v>
          </cell>
          <cell r="AX311" t="e">
            <v>#N/A</v>
          </cell>
          <cell r="AY311" t="e">
            <v>#N/A</v>
          </cell>
          <cell r="AZ311" t="e">
            <v>#N/A</v>
          </cell>
          <cell r="BA311" t="e">
            <v>#N/A</v>
          </cell>
        </row>
        <row r="312">
          <cell r="E312" t="e">
            <v>#N/A</v>
          </cell>
          <cell r="F312" t="e">
            <v>#N/A</v>
          </cell>
          <cell r="S312" t="e">
            <v>#N/A</v>
          </cell>
          <cell r="T312" t="e">
            <v>#N/A</v>
          </cell>
          <cell r="U312" t="e">
            <v>#N/A</v>
          </cell>
          <cell r="V312" t="e">
            <v>#N/A</v>
          </cell>
          <cell r="W312" t="e">
            <v>#N/A</v>
          </cell>
          <cell r="X312" t="e">
            <v>#N/A</v>
          </cell>
          <cell r="AE312" t="e">
            <v>#N/A</v>
          </cell>
          <cell r="AF312" t="e">
            <v>#N/A</v>
          </cell>
          <cell r="AG312" t="e">
            <v>#N/A</v>
          </cell>
          <cell r="AH312" t="e">
            <v>#N/A</v>
          </cell>
          <cell r="AJ312" t="e">
            <v>#N/A</v>
          </cell>
          <cell r="AK312" t="e">
            <v>#N/A</v>
          </cell>
          <cell r="AL312" t="e">
            <v>#N/A</v>
          </cell>
          <cell r="AM312" t="e">
            <v>#N/A</v>
          </cell>
          <cell r="AN312" t="e">
            <v>#N/A</v>
          </cell>
          <cell r="AO312" t="e">
            <v>#N/A</v>
          </cell>
          <cell r="AP312" t="e">
            <v>#N/A</v>
          </cell>
          <cell r="AQ312" t="e">
            <v>#N/A</v>
          </cell>
          <cell r="AT312" t="e">
            <v>#N/A</v>
          </cell>
          <cell r="AU312" t="e">
            <v>#N/A</v>
          </cell>
          <cell r="AV312" t="e">
            <v>#N/A</v>
          </cell>
          <cell r="AW312" t="e">
            <v>#N/A</v>
          </cell>
          <cell r="AX312" t="e">
            <v>#N/A</v>
          </cell>
          <cell r="AY312" t="e">
            <v>#N/A</v>
          </cell>
          <cell r="AZ312" t="e">
            <v>#N/A</v>
          </cell>
          <cell r="BA312" t="e">
            <v>#N/A</v>
          </cell>
        </row>
        <row r="313">
          <cell r="E313" t="e">
            <v>#N/A</v>
          </cell>
          <cell r="F313" t="e">
            <v>#N/A</v>
          </cell>
          <cell r="S313" t="e">
            <v>#N/A</v>
          </cell>
          <cell r="T313" t="e">
            <v>#N/A</v>
          </cell>
          <cell r="U313" t="e">
            <v>#N/A</v>
          </cell>
          <cell r="V313" t="e">
            <v>#N/A</v>
          </cell>
          <cell r="W313" t="e">
            <v>#N/A</v>
          </cell>
          <cell r="X313" t="e">
            <v>#N/A</v>
          </cell>
          <cell r="AE313" t="e">
            <v>#N/A</v>
          </cell>
          <cell r="AF313" t="e">
            <v>#N/A</v>
          </cell>
          <cell r="AG313" t="e">
            <v>#N/A</v>
          </cell>
          <cell r="AH313" t="e">
            <v>#N/A</v>
          </cell>
          <cell r="AJ313" t="e">
            <v>#N/A</v>
          </cell>
          <cell r="AK313" t="e">
            <v>#N/A</v>
          </cell>
          <cell r="AL313" t="e">
            <v>#N/A</v>
          </cell>
          <cell r="AM313" t="e">
            <v>#N/A</v>
          </cell>
          <cell r="AN313" t="e">
            <v>#N/A</v>
          </cell>
          <cell r="AO313" t="e">
            <v>#N/A</v>
          </cell>
          <cell r="AP313" t="e">
            <v>#N/A</v>
          </cell>
          <cell r="AQ313" t="e">
            <v>#N/A</v>
          </cell>
          <cell r="AT313" t="e">
            <v>#N/A</v>
          </cell>
          <cell r="AU313" t="e">
            <v>#N/A</v>
          </cell>
          <cell r="AV313" t="e">
            <v>#N/A</v>
          </cell>
          <cell r="AW313" t="e">
            <v>#N/A</v>
          </cell>
          <cell r="AX313" t="e">
            <v>#N/A</v>
          </cell>
          <cell r="AY313" t="e">
            <v>#N/A</v>
          </cell>
          <cell r="AZ313" t="e">
            <v>#N/A</v>
          </cell>
          <cell r="BA313" t="e">
            <v>#N/A</v>
          </cell>
        </row>
        <row r="314">
          <cell r="E314" t="e">
            <v>#N/A</v>
          </cell>
          <cell r="F314" t="e">
            <v>#N/A</v>
          </cell>
          <cell r="S314" t="e">
            <v>#N/A</v>
          </cell>
          <cell r="T314" t="e">
            <v>#N/A</v>
          </cell>
          <cell r="U314" t="e">
            <v>#N/A</v>
          </cell>
          <cell r="V314" t="e">
            <v>#N/A</v>
          </cell>
          <cell r="W314" t="e">
            <v>#N/A</v>
          </cell>
          <cell r="X314" t="e">
            <v>#N/A</v>
          </cell>
          <cell r="AE314" t="e">
            <v>#N/A</v>
          </cell>
          <cell r="AF314" t="e">
            <v>#N/A</v>
          </cell>
          <cell r="AG314" t="e">
            <v>#N/A</v>
          </cell>
          <cell r="AH314" t="e">
            <v>#N/A</v>
          </cell>
          <cell r="AJ314" t="e">
            <v>#N/A</v>
          </cell>
          <cell r="AK314" t="e">
            <v>#N/A</v>
          </cell>
          <cell r="AL314" t="e">
            <v>#N/A</v>
          </cell>
          <cell r="AM314" t="e">
            <v>#N/A</v>
          </cell>
          <cell r="AN314" t="e">
            <v>#N/A</v>
          </cell>
          <cell r="AO314" t="e">
            <v>#N/A</v>
          </cell>
          <cell r="AP314" t="e">
            <v>#N/A</v>
          </cell>
          <cell r="AQ314" t="e">
            <v>#N/A</v>
          </cell>
          <cell r="AT314" t="e">
            <v>#N/A</v>
          </cell>
          <cell r="AU314" t="e">
            <v>#N/A</v>
          </cell>
          <cell r="AV314" t="e">
            <v>#N/A</v>
          </cell>
          <cell r="AW314" t="e">
            <v>#N/A</v>
          </cell>
          <cell r="AX314" t="e">
            <v>#N/A</v>
          </cell>
          <cell r="AY314" t="e">
            <v>#N/A</v>
          </cell>
          <cell r="AZ314" t="e">
            <v>#N/A</v>
          </cell>
          <cell r="BA314" t="e">
            <v>#N/A</v>
          </cell>
        </row>
        <row r="315">
          <cell r="E315" t="e">
            <v>#N/A</v>
          </cell>
          <cell r="F315" t="e">
            <v>#N/A</v>
          </cell>
          <cell r="S315" t="e">
            <v>#N/A</v>
          </cell>
          <cell r="T315" t="e">
            <v>#N/A</v>
          </cell>
          <cell r="U315" t="e">
            <v>#N/A</v>
          </cell>
          <cell r="V315" t="e">
            <v>#N/A</v>
          </cell>
          <cell r="W315" t="e">
            <v>#N/A</v>
          </cell>
          <cell r="X315" t="e">
            <v>#N/A</v>
          </cell>
          <cell r="AE315" t="e">
            <v>#N/A</v>
          </cell>
          <cell r="AF315" t="e">
            <v>#N/A</v>
          </cell>
          <cell r="AG315" t="e">
            <v>#N/A</v>
          </cell>
          <cell r="AH315" t="e">
            <v>#N/A</v>
          </cell>
          <cell r="AJ315" t="e">
            <v>#N/A</v>
          </cell>
          <cell r="AK315" t="e">
            <v>#N/A</v>
          </cell>
          <cell r="AL315" t="e">
            <v>#N/A</v>
          </cell>
          <cell r="AM315" t="e">
            <v>#N/A</v>
          </cell>
          <cell r="AN315" t="e">
            <v>#N/A</v>
          </cell>
          <cell r="AO315" t="e">
            <v>#N/A</v>
          </cell>
          <cell r="AP315" t="e">
            <v>#N/A</v>
          </cell>
          <cell r="AQ315" t="e">
            <v>#N/A</v>
          </cell>
          <cell r="AT315" t="e">
            <v>#N/A</v>
          </cell>
          <cell r="AU315" t="e">
            <v>#N/A</v>
          </cell>
          <cell r="AV315" t="e">
            <v>#N/A</v>
          </cell>
          <cell r="AW315" t="e">
            <v>#N/A</v>
          </cell>
          <cell r="AX315" t="e">
            <v>#N/A</v>
          </cell>
          <cell r="AY315" t="e">
            <v>#N/A</v>
          </cell>
          <cell r="AZ315" t="e">
            <v>#N/A</v>
          </cell>
          <cell r="BA315" t="e">
            <v>#N/A</v>
          </cell>
        </row>
        <row r="316">
          <cell r="E316" t="e">
            <v>#N/A</v>
          </cell>
          <cell r="F316" t="e">
            <v>#N/A</v>
          </cell>
          <cell r="S316" t="e">
            <v>#N/A</v>
          </cell>
          <cell r="T316" t="e">
            <v>#N/A</v>
          </cell>
          <cell r="U316" t="e">
            <v>#N/A</v>
          </cell>
          <cell r="V316" t="e">
            <v>#N/A</v>
          </cell>
          <cell r="W316" t="e">
            <v>#N/A</v>
          </cell>
          <cell r="X316" t="e">
            <v>#N/A</v>
          </cell>
          <cell r="AE316" t="e">
            <v>#N/A</v>
          </cell>
          <cell r="AF316" t="e">
            <v>#N/A</v>
          </cell>
          <cell r="AG316" t="e">
            <v>#N/A</v>
          </cell>
          <cell r="AH316" t="e">
            <v>#N/A</v>
          </cell>
          <cell r="AJ316" t="e">
            <v>#N/A</v>
          </cell>
          <cell r="AK316" t="e">
            <v>#N/A</v>
          </cell>
          <cell r="AL316" t="e">
            <v>#N/A</v>
          </cell>
          <cell r="AM316" t="e">
            <v>#N/A</v>
          </cell>
          <cell r="AN316" t="e">
            <v>#N/A</v>
          </cell>
          <cell r="AO316" t="e">
            <v>#N/A</v>
          </cell>
          <cell r="AP316" t="e">
            <v>#N/A</v>
          </cell>
          <cell r="AQ316" t="e">
            <v>#N/A</v>
          </cell>
          <cell r="AT316" t="e">
            <v>#N/A</v>
          </cell>
          <cell r="AU316" t="e">
            <v>#N/A</v>
          </cell>
          <cell r="AV316" t="e">
            <v>#N/A</v>
          </cell>
          <cell r="AW316" t="e">
            <v>#N/A</v>
          </cell>
          <cell r="AX316" t="e">
            <v>#N/A</v>
          </cell>
          <cell r="AY316" t="e">
            <v>#N/A</v>
          </cell>
          <cell r="AZ316" t="e">
            <v>#N/A</v>
          </cell>
          <cell r="BA316" t="e">
            <v>#N/A</v>
          </cell>
        </row>
        <row r="317">
          <cell r="E317" t="e">
            <v>#N/A</v>
          </cell>
          <cell r="F317" t="e">
            <v>#N/A</v>
          </cell>
          <cell r="S317" t="e">
            <v>#N/A</v>
          </cell>
          <cell r="T317" t="e">
            <v>#N/A</v>
          </cell>
          <cell r="U317" t="e">
            <v>#N/A</v>
          </cell>
          <cell r="V317" t="e">
            <v>#N/A</v>
          </cell>
          <cell r="W317" t="e">
            <v>#N/A</v>
          </cell>
          <cell r="X317" t="e">
            <v>#N/A</v>
          </cell>
          <cell r="AE317" t="e">
            <v>#N/A</v>
          </cell>
          <cell r="AF317" t="e">
            <v>#N/A</v>
          </cell>
          <cell r="AG317" t="e">
            <v>#N/A</v>
          </cell>
          <cell r="AH317" t="e">
            <v>#N/A</v>
          </cell>
          <cell r="AJ317" t="e">
            <v>#N/A</v>
          </cell>
          <cell r="AK317" t="e">
            <v>#N/A</v>
          </cell>
          <cell r="AL317" t="e">
            <v>#N/A</v>
          </cell>
          <cell r="AM317" t="e">
            <v>#N/A</v>
          </cell>
          <cell r="AN317" t="e">
            <v>#N/A</v>
          </cell>
          <cell r="AO317" t="e">
            <v>#N/A</v>
          </cell>
          <cell r="AP317" t="e">
            <v>#N/A</v>
          </cell>
          <cell r="AQ317" t="e">
            <v>#N/A</v>
          </cell>
          <cell r="AT317" t="e">
            <v>#N/A</v>
          </cell>
          <cell r="AU317" t="e">
            <v>#N/A</v>
          </cell>
          <cell r="AV317" t="e">
            <v>#N/A</v>
          </cell>
          <cell r="AW317" t="e">
            <v>#N/A</v>
          </cell>
          <cell r="AX317" t="e">
            <v>#N/A</v>
          </cell>
          <cell r="AY317" t="e">
            <v>#N/A</v>
          </cell>
          <cell r="AZ317" t="e">
            <v>#N/A</v>
          </cell>
          <cell r="BA317" t="e">
            <v>#N/A</v>
          </cell>
        </row>
        <row r="318">
          <cell r="E318" t="e">
            <v>#N/A</v>
          </cell>
          <cell r="F318" t="e">
            <v>#N/A</v>
          </cell>
          <cell r="S318" t="e">
            <v>#N/A</v>
          </cell>
          <cell r="T318" t="e">
            <v>#N/A</v>
          </cell>
          <cell r="U318" t="e">
            <v>#N/A</v>
          </cell>
          <cell r="V318" t="e">
            <v>#N/A</v>
          </cell>
          <cell r="W318" t="e">
            <v>#N/A</v>
          </cell>
          <cell r="X318" t="e">
            <v>#N/A</v>
          </cell>
          <cell r="AE318" t="e">
            <v>#N/A</v>
          </cell>
          <cell r="AF318" t="e">
            <v>#N/A</v>
          </cell>
          <cell r="AG318" t="e">
            <v>#N/A</v>
          </cell>
          <cell r="AH318" t="e">
            <v>#N/A</v>
          </cell>
          <cell r="AJ318" t="e">
            <v>#N/A</v>
          </cell>
          <cell r="AK318" t="e">
            <v>#N/A</v>
          </cell>
          <cell r="AL318" t="e">
            <v>#N/A</v>
          </cell>
          <cell r="AM318" t="e">
            <v>#N/A</v>
          </cell>
          <cell r="AN318" t="e">
            <v>#N/A</v>
          </cell>
          <cell r="AO318" t="e">
            <v>#N/A</v>
          </cell>
          <cell r="AP318" t="e">
            <v>#N/A</v>
          </cell>
          <cell r="AQ318" t="e">
            <v>#N/A</v>
          </cell>
          <cell r="AT318" t="e">
            <v>#N/A</v>
          </cell>
          <cell r="AU318" t="e">
            <v>#N/A</v>
          </cell>
          <cell r="AV318" t="e">
            <v>#N/A</v>
          </cell>
          <cell r="AW318" t="e">
            <v>#N/A</v>
          </cell>
          <cell r="AX318" t="e">
            <v>#N/A</v>
          </cell>
          <cell r="AY318" t="e">
            <v>#N/A</v>
          </cell>
          <cell r="AZ318" t="e">
            <v>#N/A</v>
          </cell>
          <cell r="BA318" t="e">
            <v>#N/A</v>
          </cell>
        </row>
        <row r="319">
          <cell r="E319" t="e">
            <v>#N/A</v>
          </cell>
          <cell r="F319" t="e">
            <v>#N/A</v>
          </cell>
          <cell r="S319" t="e">
            <v>#N/A</v>
          </cell>
          <cell r="T319" t="e">
            <v>#N/A</v>
          </cell>
          <cell r="U319" t="e">
            <v>#N/A</v>
          </cell>
          <cell r="V319" t="e">
            <v>#N/A</v>
          </cell>
          <cell r="W319" t="e">
            <v>#N/A</v>
          </cell>
          <cell r="X319" t="e">
            <v>#N/A</v>
          </cell>
          <cell r="AE319" t="e">
            <v>#N/A</v>
          </cell>
          <cell r="AF319" t="e">
            <v>#N/A</v>
          </cell>
          <cell r="AG319" t="e">
            <v>#N/A</v>
          </cell>
          <cell r="AH319" t="e">
            <v>#N/A</v>
          </cell>
          <cell r="AJ319" t="e">
            <v>#N/A</v>
          </cell>
          <cell r="AK319" t="e">
            <v>#N/A</v>
          </cell>
          <cell r="AL319" t="e">
            <v>#N/A</v>
          </cell>
          <cell r="AM319" t="e">
            <v>#N/A</v>
          </cell>
          <cell r="AN319" t="e">
            <v>#N/A</v>
          </cell>
          <cell r="AO319" t="e">
            <v>#N/A</v>
          </cell>
          <cell r="AP319" t="e">
            <v>#N/A</v>
          </cell>
          <cell r="AQ319" t="e">
            <v>#N/A</v>
          </cell>
          <cell r="AT319" t="e">
            <v>#N/A</v>
          </cell>
          <cell r="AU319" t="e">
            <v>#N/A</v>
          </cell>
          <cell r="AV319" t="e">
            <v>#N/A</v>
          </cell>
          <cell r="AW319" t="e">
            <v>#N/A</v>
          </cell>
          <cell r="AX319" t="e">
            <v>#N/A</v>
          </cell>
          <cell r="AY319" t="e">
            <v>#N/A</v>
          </cell>
          <cell r="AZ319" t="e">
            <v>#N/A</v>
          </cell>
          <cell r="BA319" t="e">
            <v>#N/A</v>
          </cell>
        </row>
        <row r="320">
          <cell r="E320" t="e">
            <v>#N/A</v>
          </cell>
          <cell r="F320" t="e">
            <v>#N/A</v>
          </cell>
          <cell r="S320" t="e">
            <v>#N/A</v>
          </cell>
          <cell r="T320" t="e">
            <v>#N/A</v>
          </cell>
          <cell r="U320" t="e">
            <v>#N/A</v>
          </cell>
          <cell r="V320" t="e">
            <v>#N/A</v>
          </cell>
          <cell r="W320" t="e">
            <v>#N/A</v>
          </cell>
          <cell r="X320" t="e">
            <v>#N/A</v>
          </cell>
          <cell r="AE320" t="e">
            <v>#N/A</v>
          </cell>
          <cell r="AF320" t="e">
            <v>#N/A</v>
          </cell>
          <cell r="AG320" t="e">
            <v>#N/A</v>
          </cell>
          <cell r="AH320" t="e">
            <v>#N/A</v>
          </cell>
          <cell r="AJ320" t="e">
            <v>#N/A</v>
          </cell>
          <cell r="AK320" t="e">
            <v>#N/A</v>
          </cell>
          <cell r="AL320" t="e">
            <v>#N/A</v>
          </cell>
          <cell r="AM320" t="e">
            <v>#N/A</v>
          </cell>
          <cell r="AN320" t="e">
            <v>#N/A</v>
          </cell>
          <cell r="AO320" t="e">
            <v>#N/A</v>
          </cell>
          <cell r="AP320" t="e">
            <v>#N/A</v>
          </cell>
          <cell r="AQ320" t="e">
            <v>#N/A</v>
          </cell>
          <cell r="AT320" t="e">
            <v>#N/A</v>
          </cell>
          <cell r="AU320" t="e">
            <v>#N/A</v>
          </cell>
          <cell r="AV320" t="e">
            <v>#N/A</v>
          </cell>
          <cell r="AW320" t="e">
            <v>#N/A</v>
          </cell>
          <cell r="AX320" t="e">
            <v>#N/A</v>
          </cell>
          <cell r="AY320" t="e">
            <v>#N/A</v>
          </cell>
          <cell r="AZ320" t="e">
            <v>#N/A</v>
          </cell>
          <cell r="BA320" t="e">
            <v>#N/A</v>
          </cell>
        </row>
        <row r="321">
          <cell r="E321" t="e">
            <v>#N/A</v>
          </cell>
          <cell r="F321" t="e">
            <v>#N/A</v>
          </cell>
          <cell r="S321" t="e">
            <v>#N/A</v>
          </cell>
          <cell r="T321" t="e">
            <v>#N/A</v>
          </cell>
          <cell r="U321" t="e">
            <v>#N/A</v>
          </cell>
          <cell r="V321" t="e">
            <v>#N/A</v>
          </cell>
          <cell r="W321" t="e">
            <v>#N/A</v>
          </cell>
          <cell r="X321" t="e">
            <v>#N/A</v>
          </cell>
          <cell r="AE321" t="e">
            <v>#N/A</v>
          </cell>
          <cell r="AF321" t="e">
            <v>#N/A</v>
          </cell>
          <cell r="AG321" t="e">
            <v>#N/A</v>
          </cell>
          <cell r="AH321" t="e">
            <v>#N/A</v>
          </cell>
          <cell r="AJ321" t="e">
            <v>#N/A</v>
          </cell>
          <cell r="AK321" t="e">
            <v>#N/A</v>
          </cell>
          <cell r="AL321" t="e">
            <v>#N/A</v>
          </cell>
          <cell r="AM321" t="e">
            <v>#N/A</v>
          </cell>
          <cell r="AN321" t="e">
            <v>#N/A</v>
          </cell>
          <cell r="AO321" t="e">
            <v>#N/A</v>
          </cell>
          <cell r="AP321" t="e">
            <v>#N/A</v>
          </cell>
          <cell r="AQ321" t="e">
            <v>#N/A</v>
          </cell>
          <cell r="AT321" t="e">
            <v>#N/A</v>
          </cell>
          <cell r="AU321" t="e">
            <v>#N/A</v>
          </cell>
          <cell r="AV321" t="e">
            <v>#N/A</v>
          </cell>
          <cell r="AW321" t="e">
            <v>#N/A</v>
          </cell>
          <cell r="AX321" t="e">
            <v>#N/A</v>
          </cell>
          <cell r="AY321" t="e">
            <v>#N/A</v>
          </cell>
          <cell r="AZ321" t="e">
            <v>#N/A</v>
          </cell>
          <cell r="BA321" t="e">
            <v>#N/A</v>
          </cell>
        </row>
        <row r="322">
          <cell r="E322" t="e">
            <v>#N/A</v>
          </cell>
          <cell r="F322" t="e">
            <v>#N/A</v>
          </cell>
          <cell r="S322" t="e">
            <v>#N/A</v>
          </cell>
          <cell r="T322" t="e">
            <v>#N/A</v>
          </cell>
          <cell r="U322" t="e">
            <v>#N/A</v>
          </cell>
          <cell r="V322" t="e">
            <v>#N/A</v>
          </cell>
          <cell r="W322" t="e">
            <v>#N/A</v>
          </cell>
          <cell r="X322" t="e">
            <v>#N/A</v>
          </cell>
          <cell r="AE322" t="e">
            <v>#N/A</v>
          </cell>
          <cell r="AF322" t="e">
            <v>#N/A</v>
          </cell>
          <cell r="AG322" t="e">
            <v>#N/A</v>
          </cell>
          <cell r="AH322" t="e">
            <v>#N/A</v>
          </cell>
          <cell r="AJ322" t="e">
            <v>#N/A</v>
          </cell>
          <cell r="AK322" t="e">
            <v>#N/A</v>
          </cell>
          <cell r="AL322" t="e">
            <v>#N/A</v>
          </cell>
          <cell r="AM322" t="e">
            <v>#N/A</v>
          </cell>
          <cell r="AN322" t="e">
            <v>#N/A</v>
          </cell>
          <cell r="AO322" t="e">
            <v>#N/A</v>
          </cell>
          <cell r="AP322" t="e">
            <v>#N/A</v>
          </cell>
          <cell r="AQ322" t="e">
            <v>#N/A</v>
          </cell>
          <cell r="AT322" t="e">
            <v>#N/A</v>
          </cell>
          <cell r="AU322" t="e">
            <v>#N/A</v>
          </cell>
          <cell r="AV322" t="e">
            <v>#N/A</v>
          </cell>
          <cell r="AW322" t="e">
            <v>#N/A</v>
          </cell>
          <cell r="AX322" t="e">
            <v>#N/A</v>
          </cell>
          <cell r="AY322" t="e">
            <v>#N/A</v>
          </cell>
          <cell r="AZ322" t="e">
            <v>#N/A</v>
          </cell>
          <cell r="BA322" t="e">
            <v>#N/A</v>
          </cell>
        </row>
        <row r="323">
          <cell r="E323" t="e">
            <v>#N/A</v>
          </cell>
          <cell r="F323" t="e">
            <v>#N/A</v>
          </cell>
          <cell r="S323" t="e">
            <v>#N/A</v>
          </cell>
          <cell r="T323" t="e">
            <v>#N/A</v>
          </cell>
          <cell r="U323" t="e">
            <v>#N/A</v>
          </cell>
          <cell r="V323" t="e">
            <v>#N/A</v>
          </cell>
          <cell r="W323" t="e">
            <v>#N/A</v>
          </cell>
          <cell r="X323" t="e">
            <v>#N/A</v>
          </cell>
          <cell r="AE323" t="e">
            <v>#N/A</v>
          </cell>
          <cell r="AF323" t="e">
            <v>#N/A</v>
          </cell>
          <cell r="AG323" t="e">
            <v>#N/A</v>
          </cell>
          <cell r="AH323" t="e">
            <v>#N/A</v>
          </cell>
          <cell r="AJ323" t="e">
            <v>#N/A</v>
          </cell>
          <cell r="AK323" t="e">
            <v>#N/A</v>
          </cell>
          <cell r="AL323" t="e">
            <v>#N/A</v>
          </cell>
          <cell r="AM323" t="e">
            <v>#N/A</v>
          </cell>
          <cell r="AN323" t="e">
            <v>#N/A</v>
          </cell>
          <cell r="AO323" t="e">
            <v>#N/A</v>
          </cell>
          <cell r="AP323" t="e">
            <v>#N/A</v>
          </cell>
          <cell r="AQ323" t="e">
            <v>#N/A</v>
          </cell>
          <cell r="AT323" t="e">
            <v>#N/A</v>
          </cell>
          <cell r="AU323" t="e">
            <v>#N/A</v>
          </cell>
          <cell r="AV323" t="e">
            <v>#N/A</v>
          </cell>
          <cell r="AW323" t="e">
            <v>#N/A</v>
          </cell>
          <cell r="AX323" t="e">
            <v>#N/A</v>
          </cell>
          <cell r="AY323" t="e">
            <v>#N/A</v>
          </cell>
          <cell r="AZ323" t="e">
            <v>#N/A</v>
          </cell>
          <cell r="BA323" t="e">
            <v>#N/A</v>
          </cell>
        </row>
        <row r="324">
          <cell r="E324" t="e">
            <v>#N/A</v>
          </cell>
          <cell r="F324" t="e">
            <v>#N/A</v>
          </cell>
          <cell r="S324" t="e">
            <v>#N/A</v>
          </cell>
          <cell r="T324" t="e">
            <v>#N/A</v>
          </cell>
          <cell r="U324" t="e">
            <v>#N/A</v>
          </cell>
          <cell r="V324" t="e">
            <v>#N/A</v>
          </cell>
          <cell r="W324" t="e">
            <v>#N/A</v>
          </cell>
          <cell r="X324" t="e">
            <v>#N/A</v>
          </cell>
          <cell r="AE324" t="e">
            <v>#N/A</v>
          </cell>
          <cell r="AF324" t="e">
            <v>#N/A</v>
          </cell>
          <cell r="AG324" t="e">
            <v>#N/A</v>
          </cell>
          <cell r="AH324" t="e">
            <v>#N/A</v>
          </cell>
          <cell r="AJ324" t="e">
            <v>#N/A</v>
          </cell>
          <cell r="AK324" t="e">
            <v>#N/A</v>
          </cell>
          <cell r="AL324" t="e">
            <v>#N/A</v>
          </cell>
          <cell r="AM324" t="e">
            <v>#N/A</v>
          </cell>
          <cell r="AN324" t="e">
            <v>#N/A</v>
          </cell>
          <cell r="AO324" t="e">
            <v>#N/A</v>
          </cell>
          <cell r="AP324" t="e">
            <v>#N/A</v>
          </cell>
          <cell r="AQ324" t="e">
            <v>#N/A</v>
          </cell>
          <cell r="AT324" t="e">
            <v>#N/A</v>
          </cell>
          <cell r="AU324" t="e">
            <v>#N/A</v>
          </cell>
          <cell r="AV324" t="e">
            <v>#N/A</v>
          </cell>
          <cell r="AW324" t="e">
            <v>#N/A</v>
          </cell>
          <cell r="AX324" t="e">
            <v>#N/A</v>
          </cell>
          <cell r="AY324" t="e">
            <v>#N/A</v>
          </cell>
          <cell r="AZ324" t="e">
            <v>#N/A</v>
          </cell>
          <cell r="BA324" t="e">
            <v>#N/A</v>
          </cell>
        </row>
        <row r="325">
          <cell r="E325" t="e">
            <v>#N/A</v>
          </cell>
          <cell r="F325" t="e">
            <v>#N/A</v>
          </cell>
          <cell r="S325" t="e">
            <v>#N/A</v>
          </cell>
          <cell r="T325" t="e">
            <v>#N/A</v>
          </cell>
          <cell r="U325" t="e">
            <v>#N/A</v>
          </cell>
          <cell r="V325" t="e">
            <v>#N/A</v>
          </cell>
          <cell r="W325" t="e">
            <v>#N/A</v>
          </cell>
          <cell r="X325" t="e">
            <v>#N/A</v>
          </cell>
          <cell r="AE325" t="e">
            <v>#N/A</v>
          </cell>
          <cell r="AF325" t="e">
            <v>#N/A</v>
          </cell>
          <cell r="AG325" t="e">
            <v>#N/A</v>
          </cell>
          <cell r="AH325" t="e">
            <v>#N/A</v>
          </cell>
          <cell r="AJ325" t="e">
            <v>#N/A</v>
          </cell>
          <cell r="AK325" t="e">
            <v>#N/A</v>
          </cell>
          <cell r="AL325" t="e">
            <v>#N/A</v>
          </cell>
          <cell r="AM325" t="e">
            <v>#N/A</v>
          </cell>
          <cell r="AN325" t="e">
            <v>#N/A</v>
          </cell>
          <cell r="AO325" t="e">
            <v>#N/A</v>
          </cell>
          <cell r="AP325" t="e">
            <v>#N/A</v>
          </cell>
          <cell r="AQ325" t="e">
            <v>#N/A</v>
          </cell>
          <cell r="AT325" t="e">
            <v>#N/A</v>
          </cell>
          <cell r="AU325" t="e">
            <v>#N/A</v>
          </cell>
          <cell r="AV325" t="e">
            <v>#N/A</v>
          </cell>
          <cell r="AW325" t="e">
            <v>#N/A</v>
          </cell>
          <cell r="AX325" t="e">
            <v>#N/A</v>
          </cell>
          <cell r="AY325" t="e">
            <v>#N/A</v>
          </cell>
          <cell r="AZ325" t="e">
            <v>#N/A</v>
          </cell>
          <cell r="BA325" t="e">
            <v>#N/A</v>
          </cell>
        </row>
        <row r="326">
          <cell r="E326" t="e">
            <v>#N/A</v>
          </cell>
          <cell r="F326" t="e">
            <v>#N/A</v>
          </cell>
          <cell r="S326" t="e">
            <v>#N/A</v>
          </cell>
          <cell r="T326" t="e">
            <v>#N/A</v>
          </cell>
          <cell r="U326" t="e">
            <v>#N/A</v>
          </cell>
          <cell r="V326" t="e">
            <v>#N/A</v>
          </cell>
          <cell r="W326" t="e">
            <v>#N/A</v>
          </cell>
          <cell r="X326" t="e">
            <v>#N/A</v>
          </cell>
          <cell r="AE326" t="e">
            <v>#N/A</v>
          </cell>
          <cell r="AF326" t="e">
            <v>#N/A</v>
          </cell>
          <cell r="AG326" t="e">
            <v>#N/A</v>
          </cell>
          <cell r="AH326" t="e">
            <v>#N/A</v>
          </cell>
          <cell r="AJ326" t="e">
            <v>#N/A</v>
          </cell>
          <cell r="AK326" t="e">
            <v>#N/A</v>
          </cell>
          <cell r="AL326" t="e">
            <v>#N/A</v>
          </cell>
          <cell r="AM326" t="e">
            <v>#N/A</v>
          </cell>
          <cell r="AN326" t="e">
            <v>#N/A</v>
          </cell>
          <cell r="AO326" t="e">
            <v>#N/A</v>
          </cell>
          <cell r="AP326" t="e">
            <v>#N/A</v>
          </cell>
          <cell r="AQ326" t="e">
            <v>#N/A</v>
          </cell>
          <cell r="AT326" t="e">
            <v>#N/A</v>
          </cell>
          <cell r="AU326" t="e">
            <v>#N/A</v>
          </cell>
          <cell r="AV326" t="e">
            <v>#N/A</v>
          </cell>
          <cell r="AW326" t="e">
            <v>#N/A</v>
          </cell>
          <cell r="AX326" t="e">
            <v>#N/A</v>
          </cell>
          <cell r="AY326" t="e">
            <v>#N/A</v>
          </cell>
          <cell r="AZ326" t="e">
            <v>#N/A</v>
          </cell>
          <cell r="BA326" t="e">
            <v>#N/A</v>
          </cell>
        </row>
        <row r="327">
          <cell r="E327" t="e">
            <v>#N/A</v>
          </cell>
          <cell r="F327" t="e">
            <v>#N/A</v>
          </cell>
          <cell r="S327" t="e">
            <v>#N/A</v>
          </cell>
          <cell r="T327" t="e">
            <v>#N/A</v>
          </cell>
          <cell r="U327" t="e">
            <v>#N/A</v>
          </cell>
          <cell r="V327" t="e">
            <v>#N/A</v>
          </cell>
          <cell r="W327" t="e">
            <v>#N/A</v>
          </cell>
          <cell r="X327" t="e">
            <v>#N/A</v>
          </cell>
          <cell r="AE327" t="e">
            <v>#N/A</v>
          </cell>
          <cell r="AF327" t="e">
            <v>#N/A</v>
          </cell>
          <cell r="AG327" t="e">
            <v>#N/A</v>
          </cell>
          <cell r="AH327" t="e">
            <v>#N/A</v>
          </cell>
          <cell r="AJ327" t="e">
            <v>#N/A</v>
          </cell>
          <cell r="AK327" t="e">
            <v>#N/A</v>
          </cell>
          <cell r="AL327" t="e">
            <v>#N/A</v>
          </cell>
          <cell r="AM327" t="e">
            <v>#N/A</v>
          </cell>
          <cell r="AN327" t="e">
            <v>#N/A</v>
          </cell>
          <cell r="AO327" t="e">
            <v>#N/A</v>
          </cell>
          <cell r="AP327" t="e">
            <v>#N/A</v>
          </cell>
          <cell r="AQ327" t="e">
            <v>#N/A</v>
          </cell>
          <cell r="AT327" t="e">
            <v>#N/A</v>
          </cell>
          <cell r="AU327" t="e">
            <v>#N/A</v>
          </cell>
          <cell r="AV327" t="e">
            <v>#N/A</v>
          </cell>
          <cell r="AW327" t="e">
            <v>#N/A</v>
          </cell>
          <cell r="AX327" t="e">
            <v>#N/A</v>
          </cell>
          <cell r="AY327" t="e">
            <v>#N/A</v>
          </cell>
          <cell r="AZ327" t="e">
            <v>#N/A</v>
          </cell>
          <cell r="BA327" t="e">
            <v>#N/A</v>
          </cell>
        </row>
        <row r="328">
          <cell r="E328" t="e">
            <v>#N/A</v>
          </cell>
          <cell r="F328" t="e">
            <v>#N/A</v>
          </cell>
          <cell r="S328" t="e">
            <v>#N/A</v>
          </cell>
          <cell r="T328" t="e">
            <v>#N/A</v>
          </cell>
          <cell r="U328" t="e">
            <v>#N/A</v>
          </cell>
          <cell r="V328" t="e">
            <v>#N/A</v>
          </cell>
          <cell r="W328" t="e">
            <v>#N/A</v>
          </cell>
          <cell r="X328" t="e">
            <v>#N/A</v>
          </cell>
          <cell r="AE328" t="e">
            <v>#N/A</v>
          </cell>
          <cell r="AF328" t="e">
            <v>#N/A</v>
          </cell>
          <cell r="AG328" t="e">
            <v>#N/A</v>
          </cell>
          <cell r="AH328" t="e">
            <v>#N/A</v>
          </cell>
          <cell r="AJ328" t="e">
            <v>#N/A</v>
          </cell>
          <cell r="AK328" t="e">
            <v>#N/A</v>
          </cell>
          <cell r="AL328" t="e">
            <v>#N/A</v>
          </cell>
          <cell r="AM328" t="e">
            <v>#N/A</v>
          </cell>
          <cell r="AN328" t="e">
            <v>#N/A</v>
          </cell>
          <cell r="AO328" t="e">
            <v>#N/A</v>
          </cell>
          <cell r="AP328" t="e">
            <v>#N/A</v>
          </cell>
          <cell r="AQ328" t="e">
            <v>#N/A</v>
          </cell>
          <cell r="AT328" t="e">
            <v>#N/A</v>
          </cell>
          <cell r="AU328" t="e">
            <v>#N/A</v>
          </cell>
          <cell r="AV328" t="e">
            <v>#N/A</v>
          </cell>
          <cell r="AW328" t="e">
            <v>#N/A</v>
          </cell>
          <cell r="AX328" t="e">
            <v>#N/A</v>
          </cell>
          <cell r="AY328" t="e">
            <v>#N/A</v>
          </cell>
          <cell r="AZ328" t="e">
            <v>#N/A</v>
          </cell>
          <cell r="BA328" t="e">
            <v>#N/A</v>
          </cell>
        </row>
        <row r="329">
          <cell r="E329" t="e">
            <v>#N/A</v>
          </cell>
          <cell r="F329" t="e">
            <v>#N/A</v>
          </cell>
          <cell r="S329" t="e">
            <v>#N/A</v>
          </cell>
          <cell r="T329" t="e">
            <v>#N/A</v>
          </cell>
          <cell r="U329" t="e">
            <v>#N/A</v>
          </cell>
          <cell r="V329" t="e">
            <v>#N/A</v>
          </cell>
          <cell r="W329" t="e">
            <v>#N/A</v>
          </cell>
          <cell r="X329" t="e">
            <v>#N/A</v>
          </cell>
          <cell r="AE329" t="e">
            <v>#N/A</v>
          </cell>
          <cell r="AF329" t="e">
            <v>#N/A</v>
          </cell>
          <cell r="AG329" t="e">
            <v>#N/A</v>
          </cell>
          <cell r="AH329" t="e">
            <v>#N/A</v>
          </cell>
          <cell r="AJ329" t="e">
            <v>#N/A</v>
          </cell>
          <cell r="AK329" t="e">
            <v>#N/A</v>
          </cell>
          <cell r="AL329" t="e">
            <v>#N/A</v>
          </cell>
          <cell r="AM329" t="e">
            <v>#N/A</v>
          </cell>
          <cell r="AN329" t="e">
            <v>#N/A</v>
          </cell>
          <cell r="AO329" t="e">
            <v>#N/A</v>
          </cell>
          <cell r="AP329" t="e">
            <v>#N/A</v>
          </cell>
          <cell r="AQ329" t="e">
            <v>#N/A</v>
          </cell>
          <cell r="AT329" t="e">
            <v>#N/A</v>
          </cell>
          <cell r="AU329" t="e">
            <v>#N/A</v>
          </cell>
          <cell r="AV329" t="e">
            <v>#N/A</v>
          </cell>
          <cell r="AW329" t="e">
            <v>#N/A</v>
          </cell>
          <cell r="AX329" t="e">
            <v>#N/A</v>
          </cell>
          <cell r="AY329" t="e">
            <v>#N/A</v>
          </cell>
          <cell r="AZ329" t="e">
            <v>#N/A</v>
          </cell>
          <cell r="BA329" t="e">
            <v>#N/A</v>
          </cell>
        </row>
        <row r="330">
          <cell r="E330" t="e">
            <v>#N/A</v>
          </cell>
          <cell r="F330" t="e">
            <v>#N/A</v>
          </cell>
          <cell r="S330" t="e">
            <v>#N/A</v>
          </cell>
          <cell r="T330" t="e">
            <v>#N/A</v>
          </cell>
          <cell r="U330" t="e">
            <v>#N/A</v>
          </cell>
          <cell r="V330" t="e">
            <v>#N/A</v>
          </cell>
          <cell r="W330" t="e">
            <v>#N/A</v>
          </cell>
          <cell r="X330" t="e">
            <v>#N/A</v>
          </cell>
          <cell r="AE330" t="e">
            <v>#N/A</v>
          </cell>
          <cell r="AF330" t="e">
            <v>#N/A</v>
          </cell>
          <cell r="AG330" t="e">
            <v>#N/A</v>
          </cell>
          <cell r="AH330" t="e">
            <v>#N/A</v>
          </cell>
          <cell r="AJ330" t="e">
            <v>#N/A</v>
          </cell>
          <cell r="AK330" t="e">
            <v>#N/A</v>
          </cell>
          <cell r="AL330" t="e">
            <v>#N/A</v>
          </cell>
          <cell r="AM330" t="e">
            <v>#N/A</v>
          </cell>
          <cell r="AN330" t="e">
            <v>#N/A</v>
          </cell>
          <cell r="AO330" t="e">
            <v>#N/A</v>
          </cell>
          <cell r="AP330" t="e">
            <v>#N/A</v>
          </cell>
          <cell r="AQ330" t="e">
            <v>#N/A</v>
          </cell>
          <cell r="AT330" t="e">
            <v>#N/A</v>
          </cell>
          <cell r="AU330" t="e">
            <v>#N/A</v>
          </cell>
          <cell r="AV330" t="e">
            <v>#N/A</v>
          </cell>
          <cell r="AW330" t="e">
            <v>#N/A</v>
          </cell>
          <cell r="AX330" t="e">
            <v>#N/A</v>
          </cell>
          <cell r="AY330" t="e">
            <v>#N/A</v>
          </cell>
          <cell r="AZ330" t="e">
            <v>#N/A</v>
          </cell>
          <cell r="BA330" t="e">
            <v>#N/A</v>
          </cell>
        </row>
        <row r="331">
          <cell r="E331" t="e">
            <v>#N/A</v>
          </cell>
          <cell r="F331" t="e">
            <v>#N/A</v>
          </cell>
          <cell r="S331" t="e">
            <v>#N/A</v>
          </cell>
          <cell r="T331" t="e">
            <v>#N/A</v>
          </cell>
          <cell r="U331" t="e">
            <v>#N/A</v>
          </cell>
          <cell r="V331" t="e">
            <v>#N/A</v>
          </cell>
          <cell r="W331" t="e">
            <v>#N/A</v>
          </cell>
          <cell r="X331" t="e">
            <v>#N/A</v>
          </cell>
          <cell r="AE331" t="e">
            <v>#N/A</v>
          </cell>
          <cell r="AF331" t="e">
            <v>#N/A</v>
          </cell>
          <cell r="AG331" t="e">
            <v>#N/A</v>
          </cell>
          <cell r="AH331" t="e">
            <v>#N/A</v>
          </cell>
          <cell r="AJ331" t="e">
            <v>#N/A</v>
          </cell>
          <cell r="AK331" t="e">
            <v>#N/A</v>
          </cell>
          <cell r="AL331" t="e">
            <v>#N/A</v>
          </cell>
          <cell r="AM331" t="e">
            <v>#N/A</v>
          </cell>
          <cell r="AN331" t="e">
            <v>#N/A</v>
          </cell>
          <cell r="AO331" t="e">
            <v>#N/A</v>
          </cell>
          <cell r="AP331" t="e">
            <v>#N/A</v>
          </cell>
          <cell r="AQ331" t="e">
            <v>#N/A</v>
          </cell>
          <cell r="AT331" t="e">
            <v>#N/A</v>
          </cell>
          <cell r="AU331" t="e">
            <v>#N/A</v>
          </cell>
          <cell r="AV331" t="e">
            <v>#N/A</v>
          </cell>
          <cell r="AW331" t="e">
            <v>#N/A</v>
          </cell>
          <cell r="AX331" t="e">
            <v>#N/A</v>
          </cell>
          <cell r="AY331" t="e">
            <v>#N/A</v>
          </cell>
          <cell r="AZ331" t="e">
            <v>#N/A</v>
          </cell>
          <cell r="BA331" t="e">
            <v>#N/A</v>
          </cell>
        </row>
        <row r="332">
          <cell r="E332" t="e">
            <v>#N/A</v>
          </cell>
          <cell r="F332" t="e">
            <v>#N/A</v>
          </cell>
          <cell r="S332" t="e">
            <v>#N/A</v>
          </cell>
          <cell r="T332" t="e">
            <v>#N/A</v>
          </cell>
          <cell r="U332" t="e">
            <v>#N/A</v>
          </cell>
          <cell r="V332" t="e">
            <v>#N/A</v>
          </cell>
          <cell r="W332" t="e">
            <v>#N/A</v>
          </cell>
          <cell r="X332" t="e">
            <v>#N/A</v>
          </cell>
          <cell r="AE332" t="e">
            <v>#N/A</v>
          </cell>
          <cell r="AF332" t="e">
            <v>#N/A</v>
          </cell>
          <cell r="AG332" t="e">
            <v>#N/A</v>
          </cell>
          <cell r="AH332" t="e">
            <v>#N/A</v>
          </cell>
          <cell r="AJ332" t="e">
            <v>#N/A</v>
          </cell>
          <cell r="AK332" t="e">
            <v>#N/A</v>
          </cell>
          <cell r="AL332" t="e">
            <v>#N/A</v>
          </cell>
          <cell r="AM332" t="e">
            <v>#N/A</v>
          </cell>
          <cell r="AN332" t="e">
            <v>#N/A</v>
          </cell>
          <cell r="AO332" t="e">
            <v>#N/A</v>
          </cell>
          <cell r="AP332" t="e">
            <v>#N/A</v>
          </cell>
          <cell r="AQ332" t="e">
            <v>#N/A</v>
          </cell>
          <cell r="AT332" t="e">
            <v>#N/A</v>
          </cell>
          <cell r="AU332" t="e">
            <v>#N/A</v>
          </cell>
          <cell r="AV332" t="e">
            <v>#N/A</v>
          </cell>
          <cell r="AW332" t="e">
            <v>#N/A</v>
          </cell>
          <cell r="AX332" t="e">
            <v>#N/A</v>
          </cell>
          <cell r="AY332" t="e">
            <v>#N/A</v>
          </cell>
          <cell r="AZ332" t="e">
            <v>#N/A</v>
          </cell>
          <cell r="BA332" t="e">
            <v>#N/A</v>
          </cell>
        </row>
        <row r="333">
          <cell r="E333" t="e">
            <v>#N/A</v>
          </cell>
          <cell r="F333" t="e">
            <v>#N/A</v>
          </cell>
          <cell r="S333" t="e">
            <v>#N/A</v>
          </cell>
          <cell r="T333" t="e">
            <v>#N/A</v>
          </cell>
          <cell r="U333" t="e">
            <v>#N/A</v>
          </cell>
          <cell r="V333" t="e">
            <v>#N/A</v>
          </cell>
          <cell r="W333" t="e">
            <v>#N/A</v>
          </cell>
          <cell r="X333" t="e">
            <v>#N/A</v>
          </cell>
          <cell r="AE333" t="e">
            <v>#N/A</v>
          </cell>
          <cell r="AF333" t="e">
            <v>#N/A</v>
          </cell>
          <cell r="AG333" t="e">
            <v>#N/A</v>
          </cell>
          <cell r="AH333" t="e">
            <v>#N/A</v>
          </cell>
          <cell r="AJ333" t="e">
            <v>#N/A</v>
          </cell>
          <cell r="AK333" t="e">
            <v>#N/A</v>
          </cell>
          <cell r="AL333" t="e">
            <v>#N/A</v>
          </cell>
          <cell r="AM333" t="e">
            <v>#N/A</v>
          </cell>
          <cell r="AN333" t="e">
            <v>#N/A</v>
          </cell>
          <cell r="AO333" t="e">
            <v>#N/A</v>
          </cell>
          <cell r="AP333" t="e">
            <v>#N/A</v>
          </cell>
          <cell r="AQ333" t="e">
            <v>#N/A</v>
          </cell>
          <cell r="AT333" t="e">
            <v>#N/A</v>
          </cell>
          <cell r="AU333" t="e">
            <v>#N/A</v>
          </cell>
          <cell r="AV333" t="e">
            <v>#N/A</v>
          </cell>
          <cell r="AW333" t="e">
            <v>#N/A</v>
          </cell>
          <cell r="AX333" t="e">
            <v>#N/A</v>
          </cell>
          <cell r="AY333" t="e">
            <v>#N/A</v>
          </cell>
          <cell r="AZ333" t="e">
            <v>#N/A</v>
          </cell>
          <cell r="BA333" t="e">
            <v>#N/A</v>
          </cell>
        </row>
        <row r="334">
          <cell r="E334" t="e">
            <v>#N/A</v>
          </cell>
          <cell r="F334" t="e">
            <v>#N/A</v>
          </cell>
          <cell r="S334" t="e">
            <v>#N/A</v>
          </cell>
          <cell r="T334" t="e">
            <v>#N/A</v>
          </cell>
          <cell r="U334" t="e">
            <v>#N/A</v>
          </cell>
          <cell r="V334" t="e">
            <v>#N/A</v>
          </cell>
          <cell r="W334" t="e">
            <v>#N/A</v>
          </cell>
          <cell r="X334" t="e">
            <v>#N/A</v>
          </cell>
          <cell r="AE334" t="e">
            <v>#N/A</v>
          </cell>
          <cell r="AF334" t="e">
            <v>#N/A</v>
          </cell>
          <cell r="AG334" t="e">
            <v>#N/A</v>
          </cell>
          <cell r="AH334" t="e">
            <v>#N/A</v>
          </cell>
          <cell r="AJ334" t="e">
            <v>#N/A</v>
          </cell>
          <cell r="AK334" t="e">
            <v>#N/A</v>
          </cell>
          <cell r="AL334" t="e">
            <v>#N/A</v>
          </cell>
          <cell r="AM334" t="e">
            <v>#N/A</v>
          </cell>
          <cell r="AN334" t="e">
            <v>#N/A</v>
          </cell>
          <cell r="AO334" t="e">
            <v>#N/A</v>
          </cell>
          <cell r="AP334" t="e">
            <v>#N/A</v>
          </cell>
          <cell r="AQ334" t="e">
            <v>#N/A</v>
          </cell>
          <cell r="AT334" t="e">
            <v>#N/A</v>
          </cell>
          <cell r="AU334" t="e">
            <v>#N/A</v>
          </cell>
          <cell r="AV334" t="e">
            <v>#N/A</v>
          </cell>
          <cell r="AW334" t="e">
            <v>#N/A</v>
          </cell>
          <cell r="AX334" t="e">
            <v>#N/A</v>
          </cell>
          <cell r="AY334" t="e">
            <v>#N/A</v>
          </cell>
          <cell r="AZ334" t="e">
            <v>#N/A</v>
          </cell>
          <cell r="BA334" t="e">
            <v>#N/A</v>
          </cell>
        </row>
        <row r="335">
          <cell r="E335" t="e">
            <v>#N/A</v>
          </cell>
          <cell r="F335" t="e">
            <v>#N/A</v>
          </cell>
          <cell r="S335" t="e">
            <v>#N/A</v>
          </cell>
          <cell r="T335" t="e">
            <v>#N/A</v>
          </cell>
          <cell r="U335" t="e">
            <v>#N/A</v>
          </cell>
          <cell r="V335" t="e">
            <v>#N/A</v>
          </cell>
          <cell r="W335" t="e">
            <v>#N/A</v>
          </cell>
          <cell r="X335" t="e">
            <v>#N/A</v>
          </cell>
          <cell r="AE335" t="e">
            <v>#N/A</v>
          </cell>
          <cell r="AF335" t="e">
            <v>#N/A</v>
          </cell>
          <cell r="AG335" t="e">
            <v>#N/A</v>
          </cell>
          <cell r="AH335" t="e">
            <v>#N/A</v>
          </cell>
          <cell r="AJ335" t="e">
            <v>#N/A</v>
          </cell>
          <cell r="AK335" t="e">
            <v>#N/A</v>
          </cell>
          <cell r="AL335" t="e">
            <v>#N/A</v>
          </cell>
          <cell r="AM335" t="e">
            <v>#N/A</v>
          </cell>
          <cell r="AN335" t="e">
            <v>#N/A</v>
          </cell>
          <cell r="AO335" t="e">
            <v>#N/A</v>
          </cell>
          <cell r="AP335" t="e">
            <v>#N/A</v>
          </cell>
          <cell r="AQ335" t="e">
            <v>#N/A</v>
          </cell>
          <cell r="AT335" t="e">
            <v>#N/A</v>
          </cell>
          <cell r="AU335" t="e">
            <v>#N/A</v>
          </cell>
          <cell r="AV335" t="e">
            <v>#N/A</v>
          </cell>
          <cell r="AW335" t="e">
            <v>#N/A</v>
          </cell>
          <cell r="AX335" t="e">
            <v>#N/A</v>
          </cell>
          <cell r="AY335" t="e">
            <v>#N/A</v>
          </cell>
          <cell r="AZ335" t="e">
            <v>#N/A</v>
          </cell>
          <cell r="BA335" t="e">
            <v>#N/A</v>
          </cell>
        </row>
        <row r="336">
          <cell r="E336" t="e">
            <v>#N/A</v>
          </cell>
          <cell r="F336" t="e">
            <v>#N/A</v>
          </cell>
          <cell r="S336" t="e">
            <v>#N/A</v>
          </cell>
          <cell r="T336" t="e">
            <v>#N/A</v>
          </cell>
          <cell r="U336" t="e">
            <v>#N/A</v>
          </cell>
          <cell r="V336" t="e">
            <v>#N/A</v>
          </cell>
          <cell r="W336" t="e">
            <v>#N/A</v>
          </cell>
          <cell r="X336" t="e">
            <v>#N/A</v>
          </cell>
          <cell r="AE336" t="e">
            <v>#N/A</v>
          </cell>
          <cell r="AF336" t="e">
            <v>#N/A</v>
          </cell>
          <cell r="AG336" t="e">
            <v>#N/A</v>
          </cell>
          <cell r="AH336" t="e">
            <v>#N/A</v>
          </cell>
          <cell r="AJ336" t="e">
            <v>#N/A</v>
          </cell>
          <cell r="AK336" t="e">
            <v>#N/A</v>
          </cell>
          <cell r="AL336" t="e">
            <v>#N/A</v>
          </cell>
          <cell r="AM336" t="e">
            <v>#N/A</v>
          </cell>
          <cell r="AN336" t="e">
            <v>#N/A</v>
          </cell>
          <cell r="AO336" t="e">
            <v>#N/A</v>
          </cell>
          <cell r="AP336" t="e">
            <v>#N/A</v>
          </cell>
          <cell r="AQ336" t="e">
            <v>#N/A</v>
          </cell>
          <cell r="AT336" t="e">
            <v>#N/A</v>
          </cell>
          <cell r="AU336" t="e">
            <v>#N/A</v>
          </cell>
          <cell r="AV336" t="e">
            <v>#N/A</v>
          </cell>
          <cell r="AW336" t="e">
            <v>#N/A</v>
          </cell>
          <cell r="AX336" t="e">
            <v>#N/A</v>
          </cell>
          <cell r="AY336" t="e">
            <v>#N/A</v>
          </cell>
          <cell r="AZ336" t="e">
            <v>#N/A</v>
          </cell>
          <cell r="BA336" t="e">
            <v>#N/A</v>
          </cell>
        </row>
        <row r="337">
          <cell r="E337" t="e">
            <v>#N/A</v>
          </cell>
          <cell r="F337" t="e">
            <v>#N/A</v>
          </cell>
          <cell r="S337" t="e">
            <v>#N/A</v>
          </cell>
          <cell r="T337" t="e">
            <v>#N/A</v>
          </cell>
          <cell r="U337" t="e">
            <v>#N/A</v>
          </cell>
          <cell r="V337" t="e">
            <v>#N/A</v>
          </cell>
          <cell r="W337" t="e">
            <v>#N/A</v>
          </cell>
          <cell r="X337" t="e">
            <v>#N/A</v>
          </cell>
          <cell r="AE337" t="e">
            <v>#N/A</v>
          </cell>
          <cell r="AF337" t="e">
            <v>#N/A</v>
          </cell>
          <cell r="AG337" t="e">
            <v>#N/A</v>
          </cell>
          <cell r="AH337" t="e">
            <v>#N/A</v>
          </cell>
          <cell r="AJ337" t="e">
            <v>#N/A</v>
          </cell>
          <cell r="AK337" t="e">
            <v>#N/A</v>
          </cell>
          <cell r="AL337" t="e">
            <v>#N/A</v>
          </cell>
          <cell r="AM337" t="e">
            <v>#N/A</v>
          </cell>
          <cell r="AN337" t="e">
            <v>#N/A</v>
          </cell>
          <cell r="AO337" t="e">
            <v>#N/A</v>
          </cell>
          <cell r="AP337" t="e">
            <v>#N/A</v>
          </cell>
          <cell r="AQ337" t="e">
            <v>#N/A</v>
          </cell>
          <cell r="AT337" t="e">
            <v>#N/A</v>
          </cell>
          <cell r="AU337" t="e">
            <v>#N/A</v>
          </cell>
          <cell r="AV337" t="e">
            <v>#N/A</v>
          </cell>
          <cell r="AW337" t="e">
            <v>#N/A</v>
          </cell>
          <cell r="AX337" t="e">
            <v>#N/A</v>
          </cell>
          <cell r="AY337" t="e">
            <v>#N/A</v>
          </cell>
          <cell r="AZ337" t="e">
            <v>#N/A</v>
          </cell>
          <cell r="BA337" t="e">
            <v>#N/A</v>
          </cell>
        </row>
        <row r="338">
          <cell r="E338" t="e">
            <v>#N/A</v>
          </cell>
          <cell r="F338" t="e">
            <v>#N/A</v>
          </cell>
          <cell r="S338" t="e">
            <v>#N/A</v>
          </cell>
          <cell r="T338" t="e">
            <v>#N/A</v>
          </cell>
          <cell r="U338" t="e">
            <v>#N/A</v>
          </cell>
          <cell r="V338" t="e">
            <v>#N/A</v>
          </cell>
          <cell r="W338" t="e">
            <v>#N/A</v>
          </cell>
          <cell r="X338" t="e">
            <v>#N/A</v>
          </cell>
          <cell r="AE338" t="e">
            <v>#N/A</v>
          </cell>
          <cell r="AF338" t="e">
            <v>#N/A</v>
          </cell>
          <cell r="AG338" t="e">
            <v>#N/A</v>
          </cell>
          <cell r="AH338" t="e">
            <v>#N/A</v>
          </cell>
          <cell r="AJ338" t="e">
            <v>#N/A</v>
          </cell>
          <cell r="AK338" t="e">
            <v>#N/A</v>
          </cell>
          <cell r="AL338" t="e">
            <v>#N/A</v>
          </cell>
          <cell r="AM338" t="e">
            <v>#N/A</v>
          </cell>
          <cell r="AN338" t="e">
            <v>#N/A</v>
          </cell>
          <cell r="AO338" t="e">
            <v>#N/A</v>
          </cell>
          <cell r="AP338" t="e">
            <v>#N/A</v>
          </cell>
          <cell r="AQ338" t="e">
            <v>#N/A</v>
          </cell>
          <cell r="AT338" t="e">
            <v>#N/A</v>
          </cell>
          <cell r="AU338" t="e">
            <v>#N/A</v>
          </cell>
          <cell r="AV338" t="e">
            <v>#N/A</v>
          </cell>
          <cell r="AW338" t="e">
            <v>#N/A</v>
          </cell>
          <cell r="AX338" t="e">
            <v>#N/A</v>
          </cell>
          <cell r="AY338" t="e">
            <v>#N/A</v>
          </cell>
          <cell r="AZ338" t="e">
            <v>#N/A</v>
          </cell>
          <cell r="BA338" t="e">
            <v>#N/A</v>
          </cell>
        </row>
        <row r="339">
          <cell r="E339" t="e">
            <v>#N/A</v>
          </cell>
          <cell r="F339" t="e">
            <v>#N/A</v>
          </cell>
          <cell r="S339" t="e">
            <v>#N/A</v>
          </cell>
          <cell r="T339" t="e">
            <v>#N/A</v>
          </cell>
          <cell r="U339" t="e">
            <v>#N/A</v>
          </cell>
          <cell r="V339" t="e">
            <v>#N/A</v>
          </cell>
          <cell r="W339" t="e">
            <v>#N/A</v>
          </cell>
          <cell r="X339" t="e">
            <v>#N/A</v>
          </cell>
          <cell r="AE339" t="e">
            <v>#N/A</v>
          </cell>
          <cell r="AF339" t="e">
            <v>#N/A</v>
          </cell>
          <cell r="AG339" t="e">
            <v>#N/A</v>
          </cell>
          <cell r="AH339" t="e">
            <v>#N/A</v>
          </cell>
          <cell r="AJ339" t="e">
            <v>#N/A</v>
          </cell>
          <cell r="AK339" t="e">
            <v>#N/A</v>
          </cell>
          <cell r="AL339" t="e">
            <v>#N/A</v>
          </cell>
          <cell r="AM339" t="e">
            <v>#N/A</v>
          </cell>
          <cell r="AN339" t="e">
            <v>#N/A</v>
          </cell>
          <cell r="AO339" t="e">
            <v>#N/A</v>
          </cell>
          <cell r="AP339" t="e">
            <v>#N/A</v>
          </cell>
          <cell r="AQ339" t="e">
            <v>#N/A</v>
          </cell>
          <cell r="AT339" t="e">
            <v>#N/A</v>
          </cell>
          <cell r="AU339" t="e">
            <v>#N/A</v>
          </cell>
          <cell r="AV339" t="e">
            <v>#N/A</v>
          </cell>
          <cell r="AW339" t="e">
            <v>#N/A</v>
          </cell>
          <cell r="AX339" t="e">
            <v>#N/A</v>
          </cell>
          <cell r="AY339" t="e">
            <v>#N/A</v>
          </cell>
          <cell r="AZ339" t="e">
            <v>#N/A</v>
          </cell>
          <cell r="BA339" t="e">
            <v>#N/A</v>
          </cell>
        </row>
        <row r="340">
          <cell r="E340" t="e">
            <v>#N/A</v>
          </cell>
          <cell r="F340" t="e">
            <v>#N/A</v>
          </cell>
          <cell r="S340" t="e">
            <v>#N/A</v>
          </cell>
          <cell r="T340" t="e">
            <v>#N/A</v>
          </cell>
          <cell r="U340" t="e">
            <v>#N/A</v>
          </cell>
          <cell r="V340" t="e">
            <v>#N/A</v>
          </cell>
          <cell r="W340" t="e">
            <v>#N/A</v>
          </cell>
          <cell r="X340" t="e">
            <v>#N/A</v>
          </cell>
          <cell r="AE340" t="e">
            <v>#N/A</v>
          </cell>
          <cell r="AF340" t="e">
            <v>#N/A</v>
          </cell>
          <cell r="AG340" t="e">
            <v>#N/A</v>
          </cell>
          <cell r="AH340" t="e">
            <v>#N/A</v>
          </cell>
          <cell r="AJ340" t="e">
            <v>#N/A</v>
          </cell>
          <cell r="AK340" t="e">
            <v>#N/A</v>
          </cell>
          <cell r="AL340" t="e">
            <v>#N/A</v>
          </cell>
          <cell r="AM340" t="e">
            <v>#N/A</v>
          </cell>
          <cell r="AN340" t="e">
            <v>#N/A</v>
          </cell>
          <cell r="AO340" t="e">
            <v>#N/A</v>
          </cell>
          <cell r="AP340" t="e">
            <v>#N/A</v>
          </cell>
          <cell r="AQ340" t="e">
            <v>#N/A</v>
          </cell>
          <cell r="AT340" t="e">
            <v>#N/A</v>
          </cell>
          <cell r="AU340" t="e">
            <v>#N/A</v>
          </cell>
          <cell r="AV340" t="e">
            <v>#N/A</v>
          </cell>
          <cell r="AW340" t="e">
            <v>#N/A</v>
          </cell>
          <cell r="AX340" t="e">
            <v>#N/A</v>
          </cell>
          <cell r="AY340" t="e">
            <v>#N/A</v>
          </cell>
          <cell r="AZ340" t="e">
            <v>#N/A</v>
          </cell>
          <cell r="BA340" t="e">
            <v>#N/A</v>
          </cell>
        </row>
        <row r="341">
          <cell r="E341" t="e">
            <v>#N/A</v>
          </cell>
          <cell r="F341" t="e">
            <v>#N/A</v>
          </cell>
          <cell r="S341" t="e">
            <v>#N/A</v>
          </cell>
          <cell r="T341" t="e">
            <v>#N/A</v>
          </cell>
          <cell r="U341" t="e">
            <v>#N/A</v>
          </cell>
          <cell r="V341" t="e">
            <v>#N/A</v>
          </cell>
          <cell r="W341" t="e">
            <v>#N/A</v>
          </cell>
          <cell r="X341" t="e">
            <v>#N/A</v>
          </cell>
          <cell r="AE341" t="e">
            <v>#N/A</v>
          </cell>
          <cell r="AF341" t="e">
            <v>#N/A</v>
          </cell>
          <cell r="AG341" t="e">
            <v>#N/A</v>
          </cell>
          <cell r="AH341" t="e">
            <v>#N/A</v>
          </cell>
          <cell r="AJ341" t="e">
            <v>#N/A</v>
          </cell>
          <cell r="AK341" t="e">
            <v>#N/A</v>
          </cell>
          <cell r="AL341" t="e">
            <v>#N/A</v>
          </cell>
          <cell r="AM341" t="e">
            <v>#N/A</v>
          </cell>
          <cell r="AN341" t="e">
            <v>#N/A</v>
          </cell>
          <cell r="AO341" t="e">
            <v>#N/A</v>
          </cell>
          <cell r="AP341" t="e">
            <v>#N/A</v>
          </cell>
          <cell r="AQ341" t="e">
            <v>#N/A</v>
          </cell>
          <cell r="AT341" t="e">
            <v>#N/A</v>
          </cell>
          <cell r="AU341" t="e">
            <v>#N/A</v>
          </cell>
          <cell r="AV341" t="e">
            <v>#N/A</v>
          </cell>
          <cell r="AW341" t="e">
            <v>#N/A</v>
          </cell>
          <cell r="AX341" t="e">
            <v>#N/A</v>
          </cell>
          <cell r="AY341" t="e">
            <v>#N/A</v>
          </cell>
          <cell r="AZ341" t="e">
            <v>#N/A</v>
          </cell>
          <cell r="BA341" t="e">
            <v>#N/A</v>
          </cell>
        </row>
        <row r="342">
          <cell r="E342" t="e">
            <v>#N/A</v>
          </cell>
          <cell r="F342" t="e">
            <v>#N/A</v>
          </cell>
          <cell r="S342" t="e">
            <v>#N/A</v>
          </cell>
          <cell r="T342" t="e">
            <v>#N/A</v>
          </cell>
          <cell r="U342" t="e">
            <v>#N/A</v>
          </cell>
          <cell r="V342" t="e">
            <v>#N/A</v>
          </cell>
          <cell r="W342" t="e">
            <v>#N/A</v>
          </cell>
          <cell r="X342" t="e">
            <v>#N/A</v>
          </cell>
          <cell r="AE342" t="e">
            <v>#N/A</v>
          </cell>
          <cell r="AF342" t="e">
            <v>#N/A</v>
          </cell>
          <cell r="AG342" t="e">
            <v>#N/A</v>
          </cell>
          <cell r="AH342" t="e">
            <v>#N/A</v>
          </cell>
          <cell r="AJ342" t="e">
            <v>#N/A</v>
          </cell>
          <cell r="AK342" t="e">
            <v>#N/A</v>
          </cell>
          <cell r="AL342" t="e">
            <v>#N/A</v>
          </cell>
          <cell r="AM342" t="e">
            <v>#N/A</v>
          </cell>
          <cell r="AN342" t="e">
            <v>#N/A</v>
          </cell>
          <cell r="AO342" t="e">
            <v>#N/A</v>
          </cell>
          <cell r="AP342" t="e">
            <v>#N/A</v>
          </cell>
          <cell r="AQ342" t="e">
            <v>#N/A</v>
          </cell>
          <cell r="AT342" t="e">
            <v>#N/A</v>
          </cell>
          <cell r="AU342" t="e">
            <v>#N/A</v>
          </cell>
          <cell r="AV342" t="e">
            <v>#N/A</v>
          </cell>
          <cell r="AW342" t="e">
            <v>#N/A</v>
          </cell>
          <cell r="AX342" t="e">
            <v>#N/A</v>
          </cell>
          <cell r="AY342" t="e">
            <v>#N/A</v>
          </cell>
          <cell r="AZ342" t="e">
            <v>#N/A</v>
          </cell>
          <cell r="BA342" t="e">
            <v>#N/A</v>
          </cell>
        </row>
        <row r="343">
          <cell r="E343" t="e">
            <v>#N/A</v>
          </cell>
          <cell r="F343" t="e">
            <v>#N/A</v>
          </cell>
          <cell r="S343" t="e">
            <v>#N/A</v>
          </cell>
          <cell r="T343" t="e">
            <v>#N/A</v>
          </cell>
          <cell r="U343" t="e">
            <v>#N/A</v>
          </cell>
          <cell r="V343" t="e">
            <v>#N/A</v>
          </cell>
          <cell r="W343" t="e">
            <v>#N/A</v>
          </cell>
          <cell r="X343" t="e">
            <v>#N/A</v>
          </cell>
          <cell r="AE343" t="e">
            <v>#N/A</v>
          </cell>
          <cell r="AF343" t="e">
            <v>#N/A</v>
          </cell>
          <cell r="AG343" t="e">
            <v>#N/A</v>
          </cell>
          <cell r="AH343" t="e">
            <v>#N/A</v>
          </cell>
          <cell r="AJ343" t="e">
            <v>#N/A</v>
          </cell>
          <cell r="AK343" t="e">
            <v>#N/A</v>
          </cell>
          <cell r="AL343" t="e">
            <v>#N/A</v>
          </cell>
          <cell r="AM343" t="e">
            <v>#N/A</v>
          </cell>
          <cell r="AN343" t="e">
            <v>#N/A</v>
          </cell>
          <cell r="AO343" t="e">
            <v>#N/A</v>
          </cell>
          <cell r="AP343" t="e">
            <v>#N/A</v>
          </cell>
          <cell r="AQ343" t="e">
            <v>#N/A</v>
          </cell>
          <cell r="AT343" t="e">
            <v>#N/A</v>
          </cell>
          <cell r="AU343" t="e">
            <v>#N/A</v>
          </cell>
          <cell r="AV343" t="e">
            <v>#N/A</v>
          </cell>
          <cell r="AW343" t="e">
            <v>#N/A</v>
          </cell>
          <cell r="AX343" t="e">
            <v>#N/A</v>
          </cell>
          <cell r="AY343" t="e">
            <v>#N/A</v>
          </cell>
          <cell r="AZ343" t="e">
            <v>#N/A</v>
          </cell>
          <cell r="BA343" t="e">
            <v>#N/A</v>
          </cell>
        </row>
        <row r="344">
          <cell r="E344" t="e">
            <v>#N/A</v>
          </cell>
          <cell r="F344" t="e">
            <v>#N/A</v>
          </cell>
          <cell r="S344" t="e">
            <v>#N/A</v>
          </cell>
          <cell r="T344" t="e">
            <v>#N/A</v>
          </cell>
          <cell r="U344" t="e">
            <v>#N/A</v>
          </cell>
          <cell r="V344" t="e">
            <v>#N/A</v>
          </cell>
          <cell r="W344" t="e">
            <v>#N/A</v>
          </cell>
          <cell r="X344" t="e">
            <v>#N/A</v>
          </cell>
          <cell r="AE344" t="e">
            <v>#N/A</v>
          </cell>
          <cell r="AF344" t="e">
            <v>#N/A</v>
          </cell>
          <cell r="AG344" t="e">
            <v>#N/A</v>
          </cell>
          <cell r="AH344" t="e">
            <v>#N/A</v>
          </cell>
          <cell r="AJ344" t="e">
            <v>#N/A</v>
          </cell>
          <cell r="AK344" t="e">
            <v>#N/A</v>
          </cell>
          <cell r="AL344" t="e">
            <v>#N/A</v>
          </cell>
          <cell r="AM344" t="e">
            <v>#N/A</v>
          </cell>
          <cell r="AN344" t="e">
            <v>#N/A</v>
          </cell>
          <cell r="AO344" t="e">
            <v>#N/A</v>
          </cell>
          <cell r="AP344" t="e">
            <v>#N/A</v>
          </cell>
          <cell r="AQ344" t="e">
            <v>#N/A</v>
          </cell>
          <cell r="AT344" t="e">
            <v>#N/A</v>
          </cell>
          <cell r="AU344" t="e">
            <v>#N/A</v>
          </cell>
          <cell r="AV344" t="e">
            <v>#N/A</v>
          </cell>
          <cell r="AW344" t="e">
            <v>#N/A</v>
          </cell>
          <cell r="AX344" t="e">
            <v>#N/A</v>
          </cell>
          <cell r="AY344" t="e">
            <v>#N/A</v>
          </cell>
          <cell r="AZ344" t="e">
            <v>#N/A</v>
          </cell>
          <cell r="BA344" t="e">
            <v>#N/A</v>
          </cell>
        </row>
        <row r="345">
          <cell r="E345" t="e">
            <v>#N/A</v>
          </cell>
          <cell r="F345" t="e">
            <v>#N/A</v>
          </cell>
          <cell r="S345" t="e">
            <v>#N/A</v>
          </cell>
          <cell r="T345" t="e">
            <v>#N/A</v>
          </cell>
          <cell r="U345" t="e">
            <v>#N/A</v>
          </cell>
          <cell r="V345" t="e">
            <v>#N/A</v>
          </cell>
          <cell r="W345" t="e">
            <v>#N/A</v>
          </cell>
          <cell r="X345" t="e">
            <v>#N/A</v>
          </cell>
          <cell r="AE345" t="e">
            <v>#N/A</v>
          </cell>
          <cell r="AF345" t="e">
            <v>#N/A</v>
          </cell>
          <cell r="AG345" t="e">
            <v>#N/A</v>
          </cell>
          <cell r="AH345" t="e">
            <v>#N/A</v>
          </cell>
          <cell r="AJ345" t="e">
            <v>#N/A</v>
          </cell>
          <cell r="AK345" t="e">
            <v>#N/A</v>
          </cell>
          <cell r="AL345" t="e">
            <v>#N/A</v>
          </cell>
          <cell r="AM345" t="e">
            <v>#N/A</v>
          </cell>
          <cell r="AN345" t="e">
            <v>#N/A</v>
          </cell>
          <cell r="AO345" t="e">
            <v>#N/A</v>
          </cell>
          <cell r="AP345" t="e">
            <v>#N/A</v>
          </cell>
          <cell r="AQ345" t="e">
            <v>#N/A</v>
          </cell>
          <cell r="AT345" t="e">
            <v>#N/A</v>
          </cell>
          <cell r="AU345" t="e">
            <v>#N/A</v>
          </cell>
          <cell r="AV345" t="e">
            <v>#N/A</v>
          </cell>
          <cell r="AW345" t="e">
            <v>#N/A</v>
          </cell>
          <cell r="AX345" t="e">
            <v>#N/A</v>
          </cell>
          <cell r="AY345" t="e">
            <v>#N/A</v>
          </cell>
          <cell r="AZ345" t="e">
            <v>#N/A</v>
          </cell>
          <cell r="BA345" t="e">
            <v>#N/A</v>
          </cell>
        </row>
        <row r="346">
          <cell r="E346" t="e">
            <v>#N/A</v>
          </cell>
          <cell r="F346" t="e">
            <v>#N/A</v>
          </cell>
          <cell r="S346" t="e">
            <v>#N/A</v>
          </cell>
          <cell r="T346" t="e">
            <v>#N/A</v>
          </cell>
          <cell r="U346" t="e">
            <v>#N/A</v>
          </cell>
          <cell r="V346" t="e">
            <v>#N/A</v>
          </cell>
          <cell r="W346" t="e">
            <v>#N/A</v>
          </cell>
          <cell r="X346" t="e">
            <v>#N/A</v>
          </cell>
          <cell r="AE346" t="e">
            <v>#N/A</v>
          </cell>
          <cell r="AF346" t="e">
            <v>#N/A</v>
          </cell>
          <cell r="AG346" t="e">
            <v>#N/A</v>
          </cell>
          <cell r="AH346" t="e">
            <v>#N/A</v>
          </cell>
          <cell r="AJ346" t="e">
            <v>#N/A</v>
          </cell>
          <cell r="AK346" t="e">
            <v>#N/A</v>
          </cell>
          <cell r="AL346" t="e">
            <v>#N/A</v>
          </cell>
          <cell r="AM346" t="e">
            <v>#N/A</v>
          </cell>
          <cell r="AN346" t="e">
            <v>#N/A</v>
          </cell>
          <cell r="AO346" t="e">
            <v>#N/A</v>
          </cell>
          <cell r="AP346" t="e">
            <v>#N/A</v>
          </cell>
          <cell r="AQ346" t="e">
            <v>#N/A</v>
          </cell>
          <cell r="AT346" t="e">
            <v>#N/A</v>
          </cell>
          <cell r="AU346" t="e">
            <v>#N/A</v>
          </cell>
          <cell r="AV346" t="e">
            <v>#N/A</v>
          </cell>
          <cell r="AW346" t="e">
            <v>#N/A</v>
          </cell>
          <cell r="AX346" t="e">
            <v>#N/A</v>
          </cell>
          <cell r="AY346" t="e">
            <v>#N/A</v>
          </cell>
          <cell r="AZ346" t="e">
            <v>#N/A</v>
          </cell>
          <cell r="BA346" t="e">
            <v>#N/A</v>
          </cell>
        </row>
        <row r="347">
          <cell r="E347" t="e">
            <v>#N/A</v>
          </cell>
          <cell r="F347" t="e">
            <v>#N/A</v>
          </cell>
          <cell r="S347" t="e">
            <v>#N/A</v>
          </cell>
          <cell r="T347" t="e">
            <v>#N/A</v>
          </cell>
          <cell r="U347" t="e">
            <v>#N/A</v>
          </cell>
          <cell r="V347" t="e">
            <v>#N/A</v>
          </cell>
          <cell r="W347" t="e">
            <v>#N/A</v>
          </cell>
          <cell r="X347" t="e">
            <v>#N/A</v>
          </cell>
          <cell r="AE347" t="e">
            <v>#N/A</v>
          </cell>
          <cell r="AF347" t="e">
            <v>#N/A</v>
          </cell>
          <cell r="AG347" t="e">
            <v>#N/A</v>
          </cell>
          <cell r="AH347" t="e">
            <v>#N/A</v>
          </cell>
          <cell r="AJ347" t="e">
            <v>#N/A</v>
          </cell>
          <cell r="AK347" t="e">
            <v>#N/A</v>
          </cell>
          <cell r="AL347" t="e">
            <v>#N/A</v>
          </cell>
          <cell r="AM347" t="e">
            <v>#N/A</v>
          </cell>
          <cell r="AN347" t="e">
            <v>#N/A</v>
          </cell>
          <cell r="AO347" t="e">
            <v>#N/A</v>
          </cell>
          <cell r="AP347" t="e">
            <v>#N/A</v>
          </cell>
          <cell r="AQ347" t="e">
            <v>#N/A</v>
          </cell>
          <cell r="AT347" t="e">
            <v>#N/A</v>
          </cell>
          <cell r="AU347" t="e">
            <v>#N/A</v>
          </cell>
          <cell r="AV347" t="e">
            <v>#N/A</v>
          </cell>
          <cell r="AW347" t="e">
            <v>#N/A</v>
          </cell>
          <cell r="AX347" t="e">
            <v>#N/A</v>
          </cell>
          <cell r="AY347" t="e">
            <v>#N/A</v>
          </cell>
          <cell r="AZ347" t="e">
            <v>#N/A</v>
          </cell>
          <cell r="BA347" t="e">
            <v>#N/A</v>
          </cell>
        </row>
      </sheetData>
      <sheetData sheetId="2"/>
      <sheetData sheetId="3"/>
      <sheetData sheetId="4">
        <row r="5">
          <cell r="AL5">
            <v>9.8066499999999994</v>
          </cell>
        </row>
        <row r="6">
          <cell r="AL6">
            <v>287.053</v>
          </cell>
        </row>
        <row r="7">
          <cell r="AL7">
            <v>6.4999999999999997E-3</v>
          </cell>
        </row>
        <row r="8">
          <cell r="AL8">
            <v>288.14999999999998</v>
          </cell>
        </row>
        <row r="9">
          <cell r="AL9">
            <v>101325</v>
          </cell>
        </row>
        <row r="10">
          <cell r="AL10">
            <v>1.1225000000000001</v>
          </cell>
        </row>
        <row r="11">
          <cell r="AL11">
            <v>216.65</v>
          </cell>
        </row>
        <row r="12">
          <cell r="AL12">
            <v>22657</v>
          </cell>
        </row>
        <row r="13">
          <cell r="AL13">
            <v>0.36392000000000002</v>
          </cell>
        </row>
      </sheetData>
      <sheetData sheetId="5">
        <row r="4">
          <cell r="A4" t="str">
            <v>Airbus A220-100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Airbus A220-100</v>
          </cell>
          <cell r="B1" t="str">
            <v>Boeing standard config.</v>
          </cell>
          <cell r="C1" t="str">
            <v>CFM56-3B2</v>
          </cell>
        </row>
        <row r="2">
          <cell r="A2" t="str">
            <v>Airbus A220-300</v>
          </cell>
          <cell r="B2" t="str">
            <v/>
          </cell>
          <cell r="C2" t="str">
            <v/>
          </cell>
        </row>
        <row r="3">
          <cell r="A3" t="str">
            <v>Airbus A300</v>
          </cell>
          <cell r="B3" t="str">
            <v/>
          </cell>
          <cell r="C3" t="str">
            <v/>
          </cell>
        </row>
        <row r="4">
          <cell r="A4" t="str">
            <v>Airbus A310</v>
          </cell>
          <cell r="B4" t="str">
            <v/>
          </cell>
          <cell r="C4" t="str">
            <v/>
          </cell>
        </row>
        <row r="5">
          <cell r="A5" t="str">
            <v>Airbus A318</v>
          </cell>
          <cell r="B5" t="str">
            <v/>
          </cell>
          <cell r="C5" t="str">
            <v/>
          </cell>
        </row>
        <row r="6">
          <cell r="A6" t="str">
            <v>Airbus A319</v>
          </cell>
          <cell r="B6" t="str">
            <v/>
          </cell>
          <cell r="C6" t="str">
            <v/>
          </cell>
        </row>
        <row r="7">
          <cell r="A7" t="str">
            <v>Airbus A320</v>
          </cell>
          <cell r="B7" t="str">
            <v/>
          </cell>
          <cell r="C7" t="str">
            <v/>
          </cell>
        </row>
        <row r="8">
          <cell r="A8" t="str">
            <v>Airbus A320neo</v>
          </cell>
          <cell r="B8" t="str">
            <v/>
          </cell>
          <cell r="C8" t="str">
            <v/>
          </cell>
        </row>
        <row r="9">
          <cell r="A9" t="str">
            <v>Airbus A321</v>
          </cell>
          <cell r="B9" t="str">
            <v/>
          </cell>
          <cell r="C9" t="str">
            <v/>
          </cell>
        </row>
        <row r="10">
          <cell r="A10" t="str">
            <v>Airbus A321neo</v>
          </cell>
          <cell r="B10" t="str">
            <v/>
          </cell>
          <cell r="C10" t="str">
            <v/>
          </cell>
        </row>
        <row r="11">
          <cell r="A11" t="str">
            <v>Airbus A330-200</v>
          </cell>
          <cell r="B11" t="str">
            <v/>
          </cell>
          <cell r="C11" t="str">
            <v/>
          </cell>
        </row>
        <row r="12">
          <cell r="A12" t="str">
            <v>Airbus A330-300</v>
          </cell>
          <cell r="B12" t="str">
            <v/>
          </cell>
          <cell r="C12" t="str">
            <v/>
          </cell>
        </row>
        <row r="13">
          <cell r="A13" t="str">
            <v>Airbus A330-900</v>
          </cell>
          <cell r="B13" t="str">
            <v/>
          </cell>
          <cell r="C13" t="str">
            <v/>
          </cell>
        </row>
        <row r="14">
          <cell r="A14" t="str">
            <v>Airbus A340-300</v>
          </cell>
          <cell r="B14" t="str">
            <v/>
          </cell>
          <cell r="C14" t="str">
            <v/>
          </cell>
        </row>
        <row r="15">
          <cell r="A15" t="str">
            <v>Airbus A340-600</v>
          </cell>
          <cell r="B15" t="str">
            <v/>
          </cell>
          <cell r="C15" t="str">
            <v/>
          </cell>
        </row>
        <row r="16">
          <cell r="A16" t="str">
            <v>Airbus A350-1000</v>
          </cell>
          <cell r="B16" t="str">
            <v/>
          </cell>
          <cell r="C16" t="str">
            <v/>
          </cell>
        </row>
        <row r="17">
          <cell r="A17" t="str">
            <v>Airbus A350-900</v>
          </cell>
          <cell r="B17" t="str">
            <v/>
          </cell>
          <cell r="C17" t="str">
            <v/>
          </cell>
        </row>
        <row r="18">
          <cell r="A18" t="str">
            <v>Airbus A350-900ULR</v>
          </cell>
          <cell r="B18" t="str">
            <v/>
          </cell>
          <cell r="C18" t="str">
            <v/>
          </cell>
        </row>
        <row r="19">
          <cell r="A19" t="str">
            <v>Airbus A380-800</v>
          </cell>
          <cell r="B19" t="str">
            <v/>
          </cell>
          <cell r="C19" t="str">
            <v/>
          </cell>
        </row>
        <row r="20">
          <cell r="A20" t="str">
            <v>ATR 42</v>
          </cell>
          <cell r="B20" t="str">
            <v/>
          </cell>
          <cell r="C20" t="str">
            <v/>
          </cell>
        </row>
        <row r="21">
          <cell r="A21" t="str">
            <v>ATR 72</v>
          </cell>
          <cell r="B21" t="str">
            <v/>
          </cell>
          <cell r="C21" t="str">
            <v/>
          </cell>
        </row>
        <row r="22">
          <cell r="A22" t="str">
            <v>Boeing 717-200</v>
          </cell>
          <cell r="B22" t="str">
            <v/>
          </cell>
          <cell r="C22" t="str">
            <v/>
          </cell>
        </row>
        <row r="23">
          <cell r="A23" t="str">
            <v>Boeing 737 MAX 8</v>
          </cell>
          <cell r="B23" t="str">
            <v/>
          </cell>
          <cell r="C23" t="str">
            <v/>
          </cell>
        </row>
        <row r="24">
          <cell r="A24" t="str">
            <v>Boeing 737 MAX 9</v>
          </cell>
          <cell r="B24" t="str">
            <v/>
          </cell>
          <cell r="C24" t="str">
            <v/>
          </cell>
        </row>
        <row r="25">
          <cell r="A25" t="str">
            <v>Boeing 737-300</v>
          </cell>
          <cell r="B25" t="str">
            <v/>
          </cell>
          <cell r="C25" t="str">
            <v/>
          </cell>
        </row>
        <row r="26">
          <cell r="A26" t="str">
            <v>Boeing 737-400</v>
          </cell>
          <cell r="B26" t="str">
            <v/>
          </cell>
          <cell r="C26" t="str">
            <v/>
          </cell>
        </row>
        <row r="27">
          <cell r="A27" t="str">
            <v>Boeing 737-500</v>
          </cell>
          <cell r="B27" t="str">
            <v/>
          </cell>
          <cell r="C27" t="str">
            <v/>
          </cell>
        </row>
        <row r="28">
          <cell r="A28" t="str">
            <v>Boeing 737-700</v>
          </cell>
          <cell r="B28" t="str">
            <v/>
          </cell>
          <cell r="C28" t="str">
            <v/>
          </cell>
        </row>
        <row r="29">
          <cell r="A29" t="str">
            <v>Boeing 737-800</v>
          </cell>
          <cell r="B29" t="str">
            <v/>
          </cell>
          <cell r="C29" t="str">
            <v/>
          </cell>
        </row>
        <row r="30">
          <cell r="A30" t="str">
            <v>Boeing 737-900</v>
          </cell>
          <cell r="B30" t="str">
            <v/>
          </cell>
          <cell r="C30" t="str">
            <v/>
          </cell>
        </row>
        <row r="31">
          <cell r="A31" t="str">
            <v>Boeing 747-400</v>
          </cell>
          <cell r="B31" t="str">
            <v/>
          </cell>
          <cell r="C31" t="str">
            <v/>
          </cell>
        </row>
        <row r="32">
          <cell r="A32" t="str">
            <v>Boeing 747-8</v>
          </cell>
          <cell r="B32" t="str">
            <v/>
          </cell>
          <cell r="C32" t="str">
            <v/>
          </cell>
        </row>
        <row r="33">
          <cell r="A33" t="str">
            <v>Boeing 757-200</v>
          </cell>
          <cell r="B33" t="str">
            <v/>
          </cell>
          <cell r="C33" t="str">
            <v/>
          </cell>
        </row>
        <row r="34">
          <cell r="A34" t="str">
            <v>Boeing 757-300</v>
          </cell>
          <cell r="B34" t="str">
            <v/>
          </cell>
          <cell r="C34" t="str">
            <v/>
          </cell>
        </row>
        <row r="35">
          <cell r="A35" t="str">
            <v>Boeing 767-300ER</v>
          </cell>
          <cell r="B35" t="str">
            <v/>
          </cell>
          <cell r="C35" t="str">
            <v/>
          </cell>
        </row>
        <row r="36">
          <cell r="A36" t="str">
            <v>Boeing 767-400ER</v>
          </cell>
          <cell r="B36" t="str">
            <v/>
          </cell>
          <cell r="C36" t="str">
            <v/>
          </cell>
        </row>
        <row r="37">
          <cell r="A37" t="str">
            <v>Boeing 777-200</v>
          </cell>
          <cell r="B37" t="str">
            <v/>
          </cell>
          <cell r="C37" t="str">
            <v/>
          </cell>
        </row>
        <row r="38">
          <cell r="A38" t="str">
            <v>Boeing 777-200ER</v>
          </cell>
          <cell r="B38" t="str">
            <v/>
          </cell>
          <cell r="C38" t="str">
            <v/>
          </cell>
        </row>
        <row r="39">
          <cell r="A39" t="str">
            <v>Boeing 777-200LR</v>
          </cell>
          <cell r="B39" t="str">
            <v/>
          </cell>
          <cell r="C39" t="str">
            <v/>
          </cell>
        </row>
        <row r="40">
          <cell r="A40" t="str">
            <v>Boeing 777-300</v>
          </cell>
          <cell r="B40" t="str">
            <v/>
          </cell>
          <cell r="C40" t="str">
            <v/>
          </cell>
        </row>
        <row r="41">
          <cell r="A41" t="str">
            <v>Boeing 777-300ER</v>
          </cell>
          <cell r="B41" t="str">
            <v/>
          </cell>
          <cell r="C41" t="str">
            <v/>
          </cell>
        </row>
        <row r="42">
          <cell r="A42" t="str">
            <v>Boeing 787-10</v>
          </cell>
          <cell r="B42" t="str">
            <v/>
          </cell>
          <cell r="C42" t="str">
            <v/>
          </cell>
        </row>
        <row r="43">
          <cell r="A43" t="str">
            <v>Boeing 787-8</v>
          </cell>
          <cell r="B43" t="str">
            <v/>
          </cell>
          <cell r="C43" t="str">
            <v/>
          </cell>
        </row>
        <row r="44">
          <cell r="A44" t="str">
            <v>Boeing 787-9</v>
          </cell>
          <cell r="B44" t="str">
            <v/>
          </cell>
          <cell r="C44" t="str">
            <v/>
          </cell>
        </row>
        <row r="45">
          <cell r="A45" t="str">
            <v>Boeing MD-90</v>
          </cell>
          <cell r="B45" t="str">
            <v/>
          </cell>
          <cell r="C45" t="str">
            <v/>
          </cell>
        </row>
        <row r="46">
          <cell r="A46" t="str">
            <v>Bombardier CRJ100</v>
          </cell>
          <cell r="B46" t="str">
            <v/>
          </cell>
          <cell r="C46" t="str">
            <v/>
          </cell>
        </row>
        <row r="47">
          <cell r="A47" t="str">
            <v>Bombardier CRJ1000</v>
          </cell>
          <cell r="B47" t="str">
            <v/>
          </cell>
          <cell r="C47" t="str">
            <v/>
          </cell>
        </row>
        <row r="48">
          <cell r="A48" t="str">
            <v>Bombardier CRJ200</v>
          </cell>
          <cell r="B48" t="str">
            <v/>
          </cell>
          <cell r="C48" t="str">
            <v/>
          </cell>
        </row>
        <row r="49">
          <cell r="A49" t="str">
            <v>Bombardier CRJ700</v>
          </cell>
          <cell r="B49" t="str">
            <v/>
          </cell>
          <cell r="C49" t="str">
            <v/>
          </cell>
        </row>
        <row r="50">
          <cell r="A50" t="str">
            <v>Bombardier CRJ900</v>
          </cell>
          <cell r="B50" t="str">
            <v/>
          </cell>
          <cell r="C50" t="str">
            <v/>
          </cell>
        </row>
        <row r="51">
          <cell r="A51" t="str">
            <v>Embraer E170</v>
          </cell>
          <cell r="B51" t="str">
            <v/>
          </cell>
          <cell r="C51" t="str">
            <v/>
          </cell>
        </row>
        <row r="52">
          <cell r="A52" t="str">
            <v>Embraer E175</v>
          </cell>
          <cell r="B52" t="str">
            <v/>
          </cell>
          <cell r="C52" t="str">
            <v/>
          </cell>
        </row>
        <row r="53">
          <cell r="A53" t="str">
            <v>Embraer E190</v>
          </cell>
          <cell r="B53" t="str">
            <v/>
          </cell>
          <cell r="C53" t="str">
            <v/>
          </cell>
        </row>
        <row r="54">
          <cell r="A54" t="str">
            <v>Embraer E190-E2</v>
          </cell>
          <cell r="B54" t="str">
            <v/>
          </cell>
          <cell r="C54" t="str">
            <v/>
          </cell>
        </row>
        <row r="55">
          <cell r="A55" t="str">
            <v>Embraer E195</v>
          </cell>
          <cell r="B55" t="str">
            <v/>
          </cell>
          <cell r="C55" t="str">
            <v/>
          </cell>
        </row>
        <row r="56">
          <cell r="A56" t="str">
            <v>Embraer E195-E2</v>
          </cell>
          <cell r="B56" t="str">
            <v/>
          </cell>
          <cell r="C56" t="str">
            <v/>
          </cell>
        </row>
        <row r="57">
          <cell r="A57" t="str">
            <v>Embraer ERJ-135</v>
          </cell>
          <cell r="B57" t="str">
            <v/>
          </cell>
          <cell r="C57" t="str">
            <v/>
          </cell>
        </row>
        <row r="58">
          <cell r="A58" t="str">
            <v>Embraer ERJ-140</v>
          </cell>
          <cell r="B58" t="str">
            <v/>
          </cell>
          <cell r="C58" t="str">
            <v/>
          </cell>
        </row>
        <row r="59">
          <cell r="A59" t="str">
            <v>Embraer ERJ-145</v>
          </cell>
          <cell r="B59" t="str">
            <v/>
          </cell>
          <cell r="C59" t="str">
            <v/>
          </cell>
        </row>
        <row r="60">
          <cell r="A60" t="str">
            <v>Sukhoi Superjet 100</v>
          </cell>
          <cell r="B60" t="str">
            <v/>
          </cell>
          <cell r="C60" t="str">
            <v/>
          </cell>
        </row>
        <row r="61">
          <cell r="B61" t="str">
            <v/>
          </cell>
          <cell r="C61" t="str">
            <v/>
          </cell>
        </row>
        <row r="62">
          <cell r="B62" t="str">
            <v/>
          </cell>
          <cell r="C62" t="str">
            <v/>
          </cell>
        </row>
        <row r="63">
          <cell r="B63" t="str">
            <v/>
          </cell>
          <cell r="C63" t="str">
            <v/>
          </cell>
        </row>
        <row r="64">
          <cell r="B64" t="str">
            <v/>
          </cell>
          <cell r="C64" t="str">
            <v/>
          </cell>
        </row>
        <row r="65">
          <cell r="B65" t="str">
            <v/>
          </cell>
          <cell r="C65" t="str">
            <v/>
          </cell>
        </row>
        <row r="66">
          <cell r="B66" t="str">
            <v/>
          </cell>
          <cell r="C66" t="str">
            <v/>
          </cell>
        </row>
        <row r="67">
          <cell r="B67" t="str">
            <v/>
          </cell>
          <cell r="C67" t="str">
            <v/>
          </cell>
        </row>
        <row r="68">
          <cell r="B68" t="str">
            <v/>
          </cell>
          <cell r="C68" t="str">
            <v/>
          </cell>
        </row>
        <row r="69">
          <cell r="B69" t="str">
            <v/>
          </cell>
          <cell r="C69" t="str">
            <v/>
          </cell>
        </row>
        <row r="70">
          <cell r="B70" t="str">
            <v/>
          </cell>
          <cell r="C70" t="str">
            <v/>
          </cell>
        </row>
        <row r="71">
          <cell r="B71" t="str">
            <v/>
          </cell>
          <cell r="C71" t="str">
            <v/>
          </cell>
        </row>
        <row r="72">
          <cell r="B72" t="str">
            <v/>
          </cell>
          <cell r="C72" t="str">
            <v/>
          </cell>
        </row>
        <row r="73">
          <cell r="B73" t="str">
            <v/>
          </cell>
          <cell r="C73" t="str">
            <v/>
          </cell>
        </row>
        <row r="74">
          <cell r="B74" t="str">
            <v/>
          </cell>
          <cell r="C74" t="str">
            <v/>
          </cell>
        </row>
        <row r="75">
          <cell r="B75" t="str">
            <v/>
          </cell>
          <cell r="C75" t="str">
            <v/>
          </cell>
        </row>
        <row r="76">
          <cell r="B76" t="str">
            <v/>
          </cell>
          <cell r="C76" t="str">
            <v/>
          </cell>
        </row>
        <row r="77">
          <cell r="B77" t="str">
            <v/>
          </cell>
          <cell r="C77" t="str">
            <v/>
          </cell>
        </row>
        <row r="78">
          <cell r="B78" t="str">
            <v/>
          </cell>
          <cell r="C78" t="str">
            <v/>
          </cell>
        </row>
        <row r="79">
          <cell r="B79" t="str">
            <v/>
          </cell>
          <cell r="C79" t="str">
            <v/>
          </cell>
        </row>
        <row r="80">
          <cell r="B80" t="str">
            <v/>
          </cell>
          <cell r="C80" t="str">
            <v/>
          </cell>
        </row>
        <row r="81">
          <cell r="B81" t="str">
            <v/>
          </cell>
          <cell r="C81" t="str">
            <v/>
          </cell>
        </row>
        <row r="82">
          <cell r="B82" t="str">
            <v/>
          </cell>
          <cell r="C82" t="str">
            <v/>
          </cell>
        </row>
        <row r="83">
          <cell r="B83" t="str">
            <v/>
          </cell>
          <cell r="C83" t="str">
            <v/>
          </cell>
        </row>
        <row r="84">
          <cell r="B84" t="str">
            <v/>
          </cell>
          <cell r="C84" t="str">
            <v/>
          </cell>
        </row>
        <row r="85">
          <cell r="B85" t="str">
            <v/>
          </cell>
          <cell r="C85" t="str">
            <v/>
          </cell>
        </row>
        <row r="86">
          <cell r="B86" t="str">
            <v/>
          </cell>
          <cell r="C86" t="str">
            <v/>
          </cell>
        </row>
        <row r="87">
          <cell r="B87" t="str">
            <v/>
          </cell>
          <cell r="C87" t="str">
            <v/>
          </cell>
        </row>
        <row r="88">
          <cell r="B88" t="str">
            <v/>
          </cell>
          <cell r="C88" t="str">
            <v/>
          </cell>
        </row>
        <row r="89">
          <cell r="B89" t="str">
            <v/>
          </cell>
          <cell r="C89" t="str">
            <v/>
          </cell>
        </row>
        <row r="90">
          <cell r="B90" t="str">
            <v/>
          </cell>
          <cell r="C90" t="str">
            <v/>
          </cell>
        </row>
        <row r="91">
          <cell r="B91" t="str">
            <v/>
          </cell>
          <cell r="C91" t="str">
            <v/>
          </cell>
        </row>
        <row r="92">
          <cell r="B92" t="str">
            <v/>
          </cell>
          <cell r="C92" t="str">
            <v/>
          </cell>
        </row>
        <row r="93">
          <cell r="B93" t="str">
            <v/>
          </cell>
          <cell r="C93" t="str">
            <v/>
          </cell>
        </row>
        <row r="94">
          <cell r="B94" t="str">
            <v/>
          </cell>
          <cell r="C94" t="str">
            <v/>
          </cell>
        </row>
        <row r="95">
          <cell r="B95" t="str">
            <v/>
          </cell>
          <cell r="C95" t="str">
            <v/>
          </cell>
        </row>
        <row r="96">
          <cell r="B96" t="str">
            <v/>
          </cell>
          <cell r="C96" t="str">
            <v/>
          </cell>
        </row>
        <row r="97">
          <cell r="B97" t="str">
            <v/>
          </cell>
          <cell r="C97" t="str">
            <v/>
          </cell>
        </row>
        <row r="98">
          <cell r="B98" t="str">
            <v/>
          </cell>
          <cell r="C98" t="str">
            <v/>
          </cell>
        </row>
        <row r="99">
          <cell r="B99" t="str">
            <v/>
          </cell>
        </row>
        <row r="100">
          <cell r="B100" t="str">
            <v/>
          </cell>
        </row>
        <row r="101">
          <cell r="B101" t="str">
            <v/>
          </cell>
        </row>
        <row r="102">
          <cell r="B102" t="str">
            <v/>
          </cell>
        </row>
        <row r="103">
          <cell r="B103" t="str">
            <v/>
          </cell>
        </row>
        <row r="104">
          <cell r="B104" t="str">
            <v/>
          </cell>
        </row>
        <row r="105">
          <cell r="B105" t="str">
            <v/>
          </cell>
        </row>
        <row r="106">
          <cell r="B10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21D1-211F-694C-853F-335276F54229}">
  <dimension ref="A1:I152"/>
  <sheetViews>
    <sheetView tabSelected="1" zoomScale="70" zoomScaleNormal="70" workbookViewId="0">
      <selection activeCell="M30" sqref="M30"/>
    </sheetView>
  </sheetViews>
  <sheetFormatPr baseColWidth="10" defaultRowHeight="16" x14ac:dyDescent="0.2"/>
  <cols>
    <col min="1" max="1" width="32.5" customWidth="1"/>
    <col min="2" max="2" width="22" customWidth="1"/>
    <col min="3" max="3" width="32.6640625" customWidth="1"/>
    <col min="4" max="4" width="33" customWidth="1"/>
    <col min="5" max="5" width="35.33203125" customWidth="1"/>
    <col min="6" max="6" width="23" customWidth="1"/>
    <col min="7" max="7" width="29.1640625" customWidth="1"/>
    <col min="8" max="8" width="26.33203125" customWidth="1"/>
  </cols>
  <sheetData>
    <row r="1" spans="1:9" x14ac:dyDescent="0.2">
      <c r="A1" s="147" t="s">
        <v>154</v>
      </c>
      <c r="B1" s="145" t="s">
        <v>300</v>
      </c>
      <c r="C1" s="145" t="s">
        <v>298</v>
      </c>
      <c r="D1" s="145" t="s">
        <v>304</v>
      </c>
      <c r="E1" s="145" t="s">
        <v>299</v>
      </c>
      <c r="F1" s="146" t="s">
        <v>301</v>
      </c>
      <c r="G1" s="145" t="s">
        <v>302</v>
      </c>
      <c r="H1" s="145" t="s">
        <v>303</v>
      </c>
    </row>
    <row r="2" spans="1:9" ht="17" thickBot="1" x14ac:dyDescent="0.25">
      <c r="A2" s="148"/>
      <c r="B2" s="146"/>
      <c r="C2" s="146"/>
      <c r="D2" s="146"/>
      <c r="E2" s="146"/>
      <c r="F2" s="146"/>
      <c r="G2" s="146"/>
      <c r="H2" s="146"/>
    </row>
    <row r="3" spans="1:9" x14ac:dyDescent="0.2">
      <c r="A3" s="134" t="s">
        <v>128</v>
      </c>
      <c r="B3" s="133">
        <f>VLOOKUP(A3,SAR!A:K,11,0)</f>
        <v>1.4973628691983123E-2</v>
      </c>
      <c r="C3" s="123">
        <f>VLOOKUP(A3,'Extended Payload Diagram'!A:H,8,0)</f>
        <v>2.1225701943844488E-2</v>
      </c>
      <c r="D3" s="123">
        <f>VLOOKUP(A3,'Bathtub Curve'!A:H,8,0)</f>
        <v>1.8266666666666667E-2</v>
      </c>
      <c r="E3" s="123"/>
      <c r="F3" s="123"/>
      <c r="G3" s="123">
        <f>VLOOKUP(A3,'Handbook Method'!A:V,22,0)</f>
        <v>1.4454743795292326E-2</v>
      </c>
      <c r="H3" s="123">
        <f>VLOOKUP(A3,'Literature review'!A:J,10,0)</f>
        <v>1.9E-2</v>
      </c>
      <c r="I3" s="81"/>
    </row>
    <row r="4" spans="1:9" x14ac:dyDescent="0.2">
      <c r="A4" s="113" t="s">
        <v>121</v>
      </c>
      <c r="B4" s="133">
        <f>VLOOKUP(A4,SAR!A:K,11,0)</f>
        <v>1.7155601303825697E-2</v>
      </c>
      <c r="C4" s="123">
        <f>VLOOKUP(A4,'Extended Payload Diagram'!A:H,8,0)</f>
        <v>2.7400793011185975E-2</v>
      </c>
      <c r="D4" s="123">
        <f>VLOOKUP(A4,'Bathtub Curve'!A:H,8,0)</f>
        <v>2.2388059701492536E-2</v>
      </c>
      <c r="E4" s="123">
        <f>VLOOKUP(A4,'EEA Master Emission Calculator'!A:E,5,0)</f>
        <v>2.1596015602333905E-2</v>
      </c>
      <c r="F4" s="123"/>
      <c r="G4" s="123">
        <f>VLOOKUP(A4,'Handbook Method'!A:V,22,0)</f>
        <v>2.0842312585967006E-2</v>
      </c>
      <c r="H4" s="123">
        <f>VLOOKUP(A4,'Literature review'!A:J,10,0)</f>
        <v>2.3912834987313801E-2</v>
      </c>
    </row>
    <row r="5" spans="1:9" x14ac:dyDescent="0.2">
      <c r="A5" s="113" t="s">
        <v>120</v>
      </c>
      <c r="B5" s="133">
        <f>VLOOKUP(A5,SAR!A:K,11,0)</f>
        <v>1.8335862417804754E-2</v>
      </c>
      <c r="C5" s="123">
        <f>VLOOKUP(A5,'Extended Payload Diagram'!A:H,8,0)</f>
        <v>2.6618581487205903E-2</v>
      </c>
      <c r="D5" s="123">
        <f>VLOOKUP(A5,'Bathtub Curve'!A:H,8,0)</f>
        <v>2.0933333333333335E-2</v>
      </c>
      <c r="E5" s="123">
        <f>VLOOKUP(A5,'EEA Master Emission Calculator'!A:E,5,0)</f>
        <v>2.1738279237506441E-2</v>
      </c>
      <c r="F5" s="123">
        <f>VLOOKUP(A5,'BADA '!A:H,8,0)</f>
        <v>1.9310691354613139E-2</v>
      </c>
      <c r="G5" s="123">
        <f>VLOOKUP(A5,'Handbook Method'!A:V,22,0)</f>
        <v>1.9808164212606581E-2</v>
      </c>
      <c r="H5" s="123">
        <f>VLOOKUP(A5,'Literature review'!A:J,10,0)</f>
        <v>2.11365784332311E-2</v>
      </c>
    </row>
    <row r="6" spans="1:9" x14ac:dyDescent="0.2">
      <c r="A6" s="113" t="s">
        <v>119</v>
      </c>
      <c r="B6" s="133">
        <f>VLOOKUP(A6,SAR!A:K,11,0)</f>
        <v>1.3905139814485087E-2</v>
      </c>
      <c r="C6" s="123">
        <f>VLOOKUP(A6,'Extended Payload Diagram'!A:H,8,0)</f>
        <v>2.1683263732733694E-2</v>
      </c>
      <c r="D6" s="123">
        <f>VLOOKUP(A6,'Bathtub Curve'!A:H,8,0)</f>
        <v>1.7575757575757574E-2</v>
      </c>
      <c r="E6" s="123"/>
      <c r="F6" s="123"/>
      <c r="G6" s="123">
        <f>VLOOKUP(A6,'Handbook Method'!A:V,22,0)</f>
        <v>1.5173537318064468E-2</v>
      </c>
      <c r="H6" s="123">
        <f>VLOOKUP(A6,'Literature review'!A:J,10,0)</f>
        <v>1.8194732838307477E-2</v>
      </c>
    </row>
    <row r="7" spans="1:9" x14ac:dyDescent="0.2">
      <c r="A7" s="113" t="s">
        <v>118</v>
      </c>
      <c r="B7" s="133">
        <f>VLOOKUP(A7,SAR!A:K,11,0)</f>
        <v>1.7757516552697274E-2</v>
      </c>
      <c r="C7" s="123">
        <f>VLOOKUP(A7,'Extended Payload Diagram'!A:H,8,0)</f>
        <v>2.0134013016575303E-2</v>
      </c>
      <c r="D7" s="123">
        <f>VLOOKUP(A7,'Bathtub Curve'!A:H,8,0)</f>
        <v>1.6108108108108109E-2</v>
      </c>
      <c r="E7" s="123">
        <f>VLOOKUP(A7,'EEA Master Emission Calculator'!A:E,5,0)</f>
        <v>2.1769100060915009E-2</v>
      </c>
      <c r="F7" s="123"/>
      <c r="G7" s="123">
        <f>VLOOKUP(A7,'Handbook Method'!A:V,22,0)</f>
        <v>1.962226134258228E-2</v>
      </c>
      <c r="H7" s="123">
        <f>VLOOKUP(A7,'Literature review'!A:J,10,0)</f>
        <v>2.023519258185745E-2</v>
      </c>
    </row>
    <row r="8" spans="1:9" x14ac:dyDescent="0.2">
      <c r="A8" s="113" t="s">
        <v>117</v>
      </c>
      <c r="B8" s="133">
        <f>VLOOKUP(A8,SAR!A:K,11,0)</f>
        <v>1.514441951440002E-2</v>
      </c>
      <c r="C8" s="123">
        <f>VLOOKUP(A8,'Extended Payload Diagram'!A:H,8,0)</f>
        <v>2.0367620948433311E-2</v>
      </c>
      <c r="D8" s="123">
        <f>VLOOKUP(A8,'Bathtub Curve'!A:H,8,0)</f>
        <v>1.7184466019417477E-2</v>
      </c>
      <c r="E8" s="123"/>
      <c r="F8" s="123"/>
      <c r="G8" s="123">
        <f>VLOOKUP(A8,'Handbook Method'!A:V,22,0)</f>
        <v>1.4399446119038739E-2</v>
      </c>
      <c r="H8" s="123">
        <f>VLOOKUP(A8,'Literature review'!A:J,10,0)</f>
        <v>1.7742375727119331E-2</v>
      </c>
    </row>
    <row r="9" spans="1:9" x14ac:dyDescent="0.2">
      <c r="A9" s="113" t="s">
        <v>116</v>
      </c>
      <c r="B9" s="133">
        <f>VLOOKUP(A9,SAR!A:K,11,0)</f>
        <v>2.0380980712360799E-2</v>
      </c>
      <c r="C9" s="123">
        <f>VLOOKUP(A9,'Extended Payload Diagram'!A:H,8,0)</f>
        <v>3.409633350760348E-2</v>
      </c>
      <c r="D9" s="123">
        <f>VLOOKUP(A9,'Bathtub Curve'!A:H,8,0)</f>
        <v>3.0121951219512194E-2</v>
      </c>
      <c r="E9" s="123">
        <f>VLOOKUP(A9,'EEA Master Emission Calculator'!A:E,5,0)</f>
        <v>2.7488558785867451E-2</v>
      </c>
      <c r="F9" s="123">
        <f>VLOOKUP(A9,'BADA '!A:H,8,0)</f>
        <v>2.5004961622810521E-2</v>
      </c>
      <c r="G9" s="123">
        <f>VLOOKUP(A9,'Handbook Method'!A:V,22,0)</f>
        <v>3.1136511210591595E-2</v>
      </c>
      <c r="H9" s="123">
        <f>VLOOKUP(A9,'Literature review'!A:J,10,0)</f>
        <v>3.1099999999999999E-2</v>
      </c>
    </row>
    <row r="10" spans="1:9" x14ac:dyDescent="0.2">
      <c r="A10" s="113" t="s">
        <v>115</v>
      </c>
      <c r="B10" s="133">
        <f>VLOOKUP(A10,SAR!A:K,11,0)</f>
        <v>1.502087832973362E-2</v>
      </c>
      <c r="C10" s="123">
        <f>VLOOKUP(A10,'Extended Payload Diagram'!A:H,8,0)</f>
        <v>2.8917950710000428E-2</v>
      </c>
      <c r="D10" s="123">
        <f>VLOOKUP(A10,'Bathtub Curve'!A:H,8,0)</f>
        <v>2.5266666666666666E-2</v>
      </c>
      <c r="E10" s="123">
        <f>VLOOKUP(A10,'EEA Master Emission Calculator'!A:E,5,0)</f>
        <v>2.1721610773015668E-2</v>
      </c>
      <c r="F10" s="123">
        <f>VLOOKUP(A10,'BADA '!A:H,8,0)</f>
        <v>2.0504068530704626E-2</v>
      </c>
      <c r="G10" s="123">
        <f>VLOOKUP(A10,'Handbook Method'!A:V,22,0)</f>
        <v>2.6331405352900066E-2</v>
      </c>
      <c r="H10" s="123">
        <f>VLOOKUP(A10,'Literature review'!A:J,10,0)</f>
        <v>2.98E-2</v>
      </c>
    </row>
    <row r="11" spans="1:9" x14ac:dyDescent="0.2">
      <c r="A11" s="113" t="s">
        <v>109</v>
      </c>
      <c r="B11" s="133">
        <f>VLOOKUP(A11,SAR!A:K,11,0)</f>
        <v>1.8014143284121684E-2</v>
      </c>
      <c r="C11" s="123">
        <f>VLOOKUP(A11,'Extended Payload Diagram'!A:H,8,0)</f>
        <v>2.4786426564698302E-2</v>
      </c>
      <c r="D11" s="123">
        <f>VLOOKUP(A11,'Bathtub Curve'!A:H,8,0)</f>
        <v>2.2285714285714284E-2</v>
      </c>
      <c r="E11" s="123">
        <f>VLOOKUP(A11,'EEA Master Emission Calculator'!A:E,5,0)</f>
        <v>1.8797049738978052E-2</v>
      </c>
      <c r="F11" s="123"/>
      <c r="G11" s="123">
        <f>VLOOKUP(A11,'Handbook Method'!A:V,22,0)</f>
        <v>2.4326911959472754E-2</v>
      </c>
      <c r="H11" s="123">
        <f>VLOOKUP(A11,'Literature review'!A:J,10,0)</f>
        <v>2.4487041036717064E-2</v>
      </c>
    </row>
    <row r="12" spans="1:9" x14ac:dyDescent="0.2">
      <c r="A12" s="113" t="s">
        <v>106</v>
      </c>
      <c r="B12" s="133">
        <f>VLOOKUP(A12,SAR!A:K,11,0)</f>
        <v>2.0569484875992528E-2</v>
      </c>
      <c r="C12" s="123">
        <f>VLOOKUP(A12,'Extended Payload Diagram'!A:H,8,0)</f>
        <v>2.9532674104790813E-2</v>
      </c>
      <c r="D12" s="123">
        <f>VLOOKUP(A12,'Bathtub Curve'!A:H,8,0)</f>
        <v>2.6834782608695651E-2</v>
      </c>
      <c r="E12" s="123">
        <f>VLOOKUP(A12,'EEA Master Emission Calculator'!A:E,5,0)</f>
        <v>2.5951020203359699E-2</v>
      </c>
      <c r="F12" s="123"/>
      <c r="G12" s="123">
        <f>VLOOKUP(A12,'Handbook Method'!A:V,22,0)</f>
        <v>2.9207794641665907E-2</v>
      </c>
      <c r="H12" s="123">
        <f>VLOOKUP(A12,'Literature review'!A:J,10,0)</f>
        <v>2.5558935135541826E-2</v>
      </c>
    </row>
    <row r="13" spans="1:9" x14ac:dyDescent="0.2">
      <c r="A13" s="113" t="s">
        <v>104</v>
      </c>
      <c r="B13" s="133">
        <f>VLOOKUP(A13,SAR!A:K,11,0)</f>
        <v>2.6129943502824857E-2</v>
      </c>
      <c r="C13" s="123">
        <f>VLOOKUP(A13,'Extended Payload Diagram'!A:H,8,0)</f>
        <v>4.0849673202614387E-2</v>
      </c>
      <c r="D13" s="123">
        <f>VLOOKUP(A13,'Bathtub Curve'!A:H,8,0)</f>
        <v>3.1875000000000001E-2</v>
      </c>
      <c r="E13" s="123">
        <f>VLOOKUP(A13,'EEA Master Emission Calculator'!A:E,5,0)</f>
        <v>3.3870829033367737E-2</v>
      </c>
      <c r="F13" s="123">
        <f>VLOOKUP(A13,'BADA '!A:H,8,0)</f>
        <v>1.5885416666666669E-2</v>
      </c>
      <c r="G13" s="123"/>
      <c r="H13" s="123">
        <f>VLOOKUP(A13,'Literature review'!A:J,10,0)</f>
        <v>2.6249999999999999E-2</v>
      </c>
    </row>
    <row r="14" spans="1:9" x14ac:dyDescent="0.2">
      <c r="A14" s="113" t="s">
        <v>102</v>
      </c>
      <c r="B14" s="133">
        <f>VLOOKUP(A14,SAR!A:K,11,0)</f>
        <v>2.0415385034161744E-2</v>
      </c>
      <c r="C14" s="123">
        <f>VLOOKUP(A14,'Extended Payload Diagram'!A:H,8,0)</f>
        <v>3.1762164909160215E-2</v>
      </c>
      <c r="D14" s="123">
        <f>VLOOKUP(A14,'Bathtub Curve'!A:H,8,0)</f>
        <v>2.1911764705882353E-2</v>
      </c>
      <c r="E14" s="123">
        <f>VLOOKUP(A14,'EEA Master Emission Calculator'!A:E,5,0)</f>
        <v>2.7779189429551519E-2</v>
      </c>
      <c r="F14" s="123">
        <f>VLOOKUP(A14,'BADA '!A:H,8,0)</f>
        <v>1.076470588235294E-2</v>
      </c>
      <c r="G14" s="123"/>
      <c r="H14" s="123">
        <f>VLOOKUP(A14,'Literature review'!A:J,10,0)</f>
        <v>1.9722222222222221E-2</v>
      </c>
    </row>
    <row r="15" spans="1:9" x14ac:dyDescent="0.2">
      <c r="A15" s="113" t="s">
        <v>100</v>
      </c>
      <c r="B15" s="133">
        <f>VLOOKUP(A15,SAR!A:K,11,0)</f>
        <v>3.5087719298245612E-2</v>
      </c>
      <c r="C15" s="123">
        <f>VLOOKUP(A15,'Extended Payload Diagram'!A:H,8,0)</f>
        <v>7.9802069275753479E-2</v>
      </c>
      <c r="D15" s="123">
        <f>VLOOKUP(A15,'Bathtub Curve'!A:H,8,0)</f>
        <v>2.1052631578947368E-2</v>
      </c>
      <c r="E15" s="123"/>
      <c r="F15" s="123"/>
      <c r="G15" s="123"/>
      <c r="H15" s="123">
        <f>VLOOKUP(A15,'Literature review'!A:J,10,0)</f>
        <v>5.2777732668604554E-2</v>
      </c>
    </row>
    <row r="16" spans="1:9" x14ac:dyDescent="0.2">
      <c r="A16" s="113" t="s">
        <v>98</v>
      </c>
      <c r="B16" s="133">
        <f>VLOOKUP(A16,SAR!A:K,11,0)</f>
        <v>2.2289987206081458E-2</v>
      </c>
      <c r="C16" s="123">
        <f>VLOOKUP(A16,'Extended Payload Diagram'!A:H,8,0)</f>
        <v>4.0145071456327446E-2</v>
      </c>
      <c r="D16" s="123">
        <f>VLOOKUP(A16,'Bathtub Curve'!A:H,8,0)</f>
        <v>2.5754716981132075E-2</v>
      </c>
      <c r="E16" s="123">
        <f>VLOOKUP(A16,'EEA Master Emission Calculator'!A:E,5,0)</f>
        <v>3.1029748283752861E-2</v>
      </c>
      <c r="F16" s="123"/>
      <c r="G16" s="123">
        <f>VLOOKUP(A16,'Handbook Method'!A:V,22,0)</f>
        <v>1.277511049732645E-2</v>
      </c>
      <c r="H16" s="123"/>
    </row>
    <row r="17" spans="1:8" x14ac:dyDescent="0.2">
      <c r="A17" s="113" t="s">
        <v>157</v>
      </c>
      <c r="B17" s="133">
        <f>VLOOKUP(A17,SAR!A:K,11,0)</f>
        <v>1.5381437835141541E-2</v>
      </c>
      <c r="C17" s="123">
        <f>VLOOKUP(A17,'Extended Payload Diagram'!A:H,8,0)</f>
        <v>2.127985068918567E-2</v>
      </c>
      <c r="D17" s="123">
        <f>VLOOKUP(A17,'Bathtub Curve'!A:H,8,0)</f>
        <v>1.7469135802469136E-2</v>
      </c>
      <c r="E17" s="123">
        <f>VLOOKUP(A17,'EEA Master Emission Calculator'!A:E,5,0)</f>
        <v>2.0479472312736804E-2</v>
      </c>
      <c r="F17" s="123"/>
      <c r="G17" s="123">
        <f>VLOOKUP(A17,'Handbook Method'!A:V,22,0)</f>
        <v>1.7096347711813648E-2</v>
      </c>
      <c r="H17" s="123">
        <f>VLOOKUP(A17,'Literature review'!A:J,10,0)</f>
        <v>1.8466149558172211E-2</v>
      </c>
    </row>
    <row r="18" spans="1:8" x14ac:dyDescent="0.2">
      <c r="A18" s="113" t="s">
        <v>95</v>
      </c>
      <c r="B18" s="133">
        <f>VLOOKUP(A18,SAR!A:K,11,0)</f>
        <v>1.5166712466794907E-2</v>
      </c>
      <c r="C18" s="123">
        <f>VLOOKUP(A18,'Extended Payload Diagram'!A:H,8,0)</f>
        <v>2.079073674106071E-2</v>
      </c>
      <c r="D18" s="123">
        <f>VLOOKUP(A18,'Bathtub Curve'!A:H,8,0)</f>
        <v>1.6944444444444443E-2</v>
      </c>
      <c r="E18" s="123">
        <f>VLOOKUP(A18,'EEA Master Emission Calculator'!A:E,5,0)</f>
        <v>1.94016558675306E-2</v>
      </c>
      <c r="F18" s="123"/>
      <c r="G18" s="123">
        <f>VLOOKUP(A18,'Handbook Method'!A:V,22,0)</f>
        <v>1.654243077155056E-2</v>
      </c>
      <c r="H18" s="123">
        <f>VLOOKUP(A18,'Literature review'!A:J,10,0)</f>
        <v>1.84931822011879E-2</v>
      </c>
    </row>
    <row r="19" spans="1:8" x14ac:dyDescent="0.2">
      <c r="A19" s="113" t="s">
        <v>91</v>
      </c>
      <c r="B19" s="133">
        <f>VLOOKUP(A19,SAR!A:K,11,0)</f>
        <v>2.1640826873385012E-2</v>
      </c>
      <c r="C19" s="123">
        <f>VLOOKUP(A19,'Extended Payload Diagram'!A:H,8,0)</f>
        <v>2.9832869466483888E-2</v>
      </c>
      <c r="D19" s="123">
        <f>VLOOKUP(A19,'Bathtub Curve'!A:H,8,0)</f>
        <v>2.2777777777777779E-2</v>
      </c>
      <c r="E19" s="123">
        <f>VLOOKUP(A19,'EEA Master Emission Calculator'!A:E,5,0)</f>
        <v>2.7905398856256664E-2</v>
      </c>
      <c r="F19" s="123">
        <f>VLOOKUP(A19,'BADA '!A:H,8,0)</f>
        <v>2.3527383546380294E-2</v>
      </c>
      <c r="G19" s="123">
        <f>VLOOKUP(A19,'Handbook Method'!A:V,22,0)</f>
        <v>2.1505421768622586E-2</v>
      </c>
      <c r="H19" s="123">
        <f>VLOOKUP(A19,'Literature review'!A:J,10,0)</f>
        <v>2.7698412698412701E-2</v>
      </c>
    </row>
    <row r="20" spans="1:8" x14ac:dyDescent="0.2">
      <c r="A20" s="113" t="s">
        <v>87</v>
      </c>
      <c r="B20" s="133">
        <f>VLOOKUP(A20,SAR!A:K,11,0)</f>
        <v>2.2312131849824477E-2</v>
      </c>
      <c r="C20" s="123">
        <f>VLOOKUP(A20,'Extended Payload Diagram'!A:H,8,0)</f>
        <v>3.1255350513440486E-2</v>
      </c>
      <c r="D20" s="123">
        <f>VLOOKUP(A20,'Bathtub Curve'!A:H,8,0)</f>
        <v>2.3537414965986395E-2</v>
      </c>
      <c r="E20" s="123">
        <f>VLOOKUP(A20,'EEA Master Emission Calculator'!A:E,5,0)</f>
        <v>2.6013204545169817E-2</v>
      </c>
      <c r="F20" s="123">
        <f>VLOOKUP(A20,'BADA '!A:H,8,0)</f>
        <v>2.0166328754040251E-2</v>
      </c>
      <c r="G20" s="123">
        <f>VLOOKUP(A20,'Handbook Method'!A:V,22,0)</f>
        <v>2.0469488397419605E-2</v>
      </c>
      <c r="H20" s="123"/>
    </row>
    <row r="21" spans="1:8" x14ac:dyDescent="0.2">
      <c r="A21" s="113" t="s">
        <v>84</v>
      </c>
      <c r="B21" s="133">
        <f>VLOOKUP(A21,SAR!A:K,11,0)</f>
        <v>2.3268190542662711E-2</v>
      </c>
      <c r="C21" s="123">
        <f>VLOOKUP(A21,'Extended Payload Diagram'!A:H,8,0)</f>
        <v>4.3930021868166212E-2</v>
      </c>
      <c r="D21" s="123">
        <f>VLOOKUP(A21,'Bathtub Curve'!A:H,8,0)</f>
        <v>3.1909090909090908E-2</v>
      </c>
      <c r="E21" s="123">
        <f>VLOOKUP(A21,'EEA Master Emission Calculator'!A:E,5,0)</f>
        <v>3.1055295220243671E-2</v>
      </c>
      <c r="F21" s="123">
        <f>VLOOKUP(A21,'BADA '!A:H,8,0)</f>
        <v>2.694954842585379E-2</v>
      </c>
      <c r="G21" s="123">
        <f>VLOOKUP(A21,'Handbook Method'!A:V,22,0)</f>
        <v>2.4385836272180196E-2</v>
      </c>
      <c r="H21" s="123"/>
    </row>
    <row r="22" spans="1:8" x14ac:dyDescent="0.2">
      <c r="A22" s="113" t="s">
        <v>81</v>
      </c>
      <c r="B22" s="133">
        <f>VLOOKUP(A22,SAR!A:K,11,0)</f>
        <v>2.0794985497545739E-2</v>
      </c>
      <c r="C22" s="123">
        <f>VLOOKUP(A22,'Extended Payload Diagram'!A:H,8,0)</f>
        <v>2.9463719898605838E-2</v>
      </c>
      <c r="D22" s="123">
        <f>VLOOKUP(A22,'Bathtub Curve'!A:H,8,0)</f>
        <v>2.328125E-2</v>
      </c>
      <c r="E22" s="123">
        <f>VLOOKUP(A22,'EEA Master Emission Calculator'!A:E,5,0)</f>
        <v>2.4817411280101391E-2</v>
      </c>
      <c r="F22" s="123">
        <f>VLOOKUP(A22,'BADA '!A:H,8,0)</f>
        <v>3.0355530448458845E-2</v>
      </c>
      <c r="G22" s="123">
        <f>VLOOKUP(A22,'Handbook Method'!A:V,22,0)</f>
        <v>2.1102979634677506E-2</v>
      </c>
      <c r="H22" s="123">
        <f>VLOOKUP(A22,'Literature review'!A:J,10,0)</f>
        <v>2.2408207343412527E-2</v>
      </c>
    </row>
    <row r="23" spans="1:8" x14ac:dyDescent="0.2">
      <c r="A23" s="113" t="s">
        <v>79</v>
      </c>
      <c r="B23" s="133">
        <f>VLOOKUP(A23,SAR!A:K,11,0)</f>
        <v>1.8957909029192123E-2</v>
      </c>
      <c r="C23" s="123">
        <f>VLOOKUP(A23,'Extended Payload Diagram'!A:H,8,0)</f>
        <v>2.7139999999999991E-2</v>
      </c>
      <c r="D23" s="123">
        <f>VLOOKUP(A23,'Bathtub Curve'!A:H,8,0)</f>
        <v>2.1187500000000001E-2</v>
      </c>
      <c r="E23" s="123">
        <f>VLOOKUP(A23,'EEA Master Emission Calculator'!A:E,5,0)</f>
        <v>2.1632000000000002E-2</v>
      </c>
      <c r="F23" s="123">
        <f>VLOOKUP(A23,'BADA '!A:H,8,0)</f>
        <v>2.4284424358767077E-2</v>
      </c>
      <c r="G23" s="123">
        <f>VLOOKUP(A23,'Handbook Method'!A:V,22,0)</f>
        <v>1.9335959540771976E-2</v>
      </c>
      <c r="H23" s="123">
        <f>VLOOKUP(A23,'Literature review'!A:J,10,0)</f>
        <v>1.9546436285097193E-2</v>
      </c>
    </row>
    <row r="24" spans="1:8" x14ac:dyDescent="0.2">
      <c r="A24" s="113" t="s">
        <v>77</v>
      </c>
      <c r="B24" s="133">
        <f>VLOOKUP(A24,SAR!A:K,11,0)</f>
        <v>1.7824956503039901E-2</v>
      </c>
      <c r="C24" s="123">
        <f>VLOOKUP(A24,'Extended Payload Diagram'!A:H,8,0)</f>
        <v>1.7780441971421951E-2</v>
      </c>
      <c r="D24" s="123">
        <f>VLOOKUP(A24,'Bathtub Curve'!A:H,8,0)</f>
        <v>1.3785310734463277E-2</v>
      </c>
      <c r="E24" s="123">
        <f>VLOOKUP(A24,'EEA Master Emission Calculator'!A:E,5,0)</f>
        <v>2.0470158997449694E-2</v>
      </c>
      <c r="F24" s="123"/>
      <c r="G24" s="123">
        <f>VLOOKUP(A24,'Handbook Method'!A:V,22,0)</f>
        <v>1.6927057579567518E-2</v>
      </c>
      <c r="H24" s="123">
        <f>VLOOKUP(A24,'Literature review'!A:J,10,0)</f>
        <v>1.9006479481641469E-2</v>
      </c>
    </row>
    <row r="25" spans="1:8" x14ac:dyDescent="0.2">
      <c r="A25" s="113" t="s">
        <v>74</v>
      </c>
      <c r="B25" s="133">
        <f>VLOOKUP(A25,SAR!A:K,11,0)</f>
        <v>2.2613256308908484E-2</v>
      </c>
      <c r="C25" s="123">
        <f>VLOOKUP(A25,'Extended Payload Diagram'!A:H,8,0)</f>
        <v>3.4299723455352593E-2</v>
      </c>
      <c r="D25" s="123">
        <f>VLOOKUP(A25,'Bathtub Curve'!A:H,8,0)</f>
        <v>3.09375E-2</v>
      </c>
      <c r="E25" s="123">
        <f>VLOOKUP(A25,'EEA Master Emission Calculator'!A:E,5,0)</f>
        <v>2.675983370933702E-2</v>
      </c>
      <c r="F25" s="123">
        <f>VLOOKUP(A25,'BADA '!A:H,8,0)</f>
        <v>3.1292904344961785E-2</v>
      </c>
      <c r="G25" s="123">
        <f>VLOOKUP(A25,'Handbook Method'!A:V,22,0)</f>
        <v>3.0998428062404364E-2</v>
      </c>
      <c r="H25" s="123">
        <f>VLOOKUP(A25,'Literature review'!A:J,10,0)</f>
        <v>2.6700863930885527E-2</v>
      </c>
    </row>
    <row r="26" spans="1:8" x14ac:dyDescent="0.2">
      <c r="A26" s="113" t="s">
        <v>68</v>
      </c>
      <c r="B26" s="133">
        <f>VLOOKUP(A26,SAR!A:K,11,0)</f>
        <v>2.1864877371587231E-2</v>
      </c>
      <c r="C26" s="123">
        <f>VLOOKUP(A26,'Extended Payload Diagram'!A:H,8,0)</f>
        <v>2.9391344596158289E-2</v>
      </c>
      <c r="D26" s="123">
        <f>VLOOKUP(A26,'Bathtub Curve'!A:H,8,0)</f>
        <v>2.3700000000000002E-2</v>
      </c>
      <c r="E26" s="123">
        <f>VLOOKUP(A26,'EEA Master Emission Calculator'!A:E,5,0)</f>
        <v>2.4276556352696134E-2</v>
      </c>
      <c r="F26" s="123">
        <f>VLOOKUP(A26,'BADA '!A:H,8,0)</f>
        <v>2.0687181572734151E-2</v>
      </c>
      <c r="G26" s="123">
        <f>VLOOKUP(A26,'Handbook Method'!A:V,22,0)</f>
        <v>2.1869181912474379E-2</v>
      </c>
      <c r="H26" s="123">
        <f>VLOOKUP(A26,'Literature review'!A:J,10,0)</f>
        <v>1.8574514038876888E-2</v>
      </c>
    </row>
    <row r="27" spans="1:8" x14ac:dyDescent="0.2">
      <c r="A27" s="113" t="s">
        <v>0</v>
      </c>
      <c r="B27" s="133">
        <f>VLOOKUP(A27,SAR!A:K,11,0)</f>
        <v>1.8771550362775787E-2</v>
      </c>
      <c r="C27" s="123">
        <f>VLOOKUP(A27,'Extended Payload Diagram'!A:H,8,0)</f>
        <v>2.9373302394186319E-2</v>
      </c>
      <c r="D27" s="123">
        <f>VLOOKUP(A27,'Bathtub Curve'!A:H,8,0)</f>
        <v>2.3409961685823755E-2</v>
      </c>
      <c r="E27" s="123">
        <f>VLOOKUP(A27,'EEA Master Emission Calculator'!A:E,5,0)</f>
        <v>2.4249042145593872E-2</v>
      </c>
      <c r="F27" s="123">
        <f>VLOOKUP(A27,'BADA '!A:H,8,0)</f>
        <v>2.1776550110563196E-2</v>
      </c>
      <c r="G27" s="123">
        <f>VLOOKUP(A27,'Handbook Method'!A:V,22,0)</f>
        <v>2.550425584500297E-2</v>
      </c>
      <c r="H27" s="123">
        <f>VLOOKUP(A27,'Literature review'!A:J,10,0)</f>
        <v>2.0500359971202305E-2</v>
      </c>
    </row>
    <row r="28" spans="1:8" x14ac:dyDescent="0.2">
      <c r="A28" s="113" t="s">
        <v>61</v>
      </c>
      <c r="B28" s="133">
        <f>VLOOKUP(A28,SAR!A:K,11,0)</f>
        <v>2.0865347769781356E-2</v>
      </c>
      <c r="C28" s="123">
        <f>VLOOKUP(A28,'Extended Payload Diagram'!A:H,8,0)</f>
        <v>2.7980430864303487E-2</v>
      </c>
      <c r="D28" s="123">
        <f>VLOOKUP(A28,'Bathtub Curve'!A:H,8,0)</f>
        <v>2.3704918032786886E-2</v>
      </c>
      <c r="E28" s="123">
        <f>VLOOKUP(A28,'EEA Master Emission Calculator'!A:E,5,0)</f>
        <v>2.490612393785941E-2</v>
      </c>
      <c r="F28" s="123"/>
      <c r="G28" s="123">
        <f>VLOOKUP(A28,'Handbook Method'!A:V,22,0)</f>
        <v>2.7022516690302818E-2</v>
      </c>
      <c r="H28" s="123">
        <f>VLOOKUP(A28,'Literature review'!A:J,10,0)</f>
        <v>2.2393442622950819E-2</v>
      </c>
    </row>
    <row r="29" spans="1:8" x14ac:dyDescent="0.2">
      <c r="A29" s="113" t="s">
        <v>60</v>
      </c>
      <c r="B29" s="133">
        <f>VLOOKUP(A29,SAR!A:K,11,0)</f>
        <v>2.0947588654360551E-2</v>
      </c>
      <c r="C29" s="123">
        <f>VLOOKUP(A29,'Extended Payload Diagram'!A:H,8,0)</f>
        <v>2.4164068982530103E-2</v>
      </c>
      <c r="D29" s="123">
        <f>VLOOKUP(A29,'Bathtub Curve'!A:H,8,0)</f>
        <v>2.0295081967213115E-2</v>
      </c>
      <c r="E29" s="123">
        <f>VLOOKUP(A29,'EEA Master Emission Calculator'!A:E,5,0)</f>
        <v>2.5031396470139716E-2</v>
      </c>
      <c r="F29" s="123"/>
      <c r="G29" s="123">
        <f>VLOOKUP(A29,'Handbook Method'!A:V,22,0)</f>
        <v>2.6621315134700074E-2</v>
      </c>
      <c r="H29" s="123">
        <f>VLOOKUP(A29,'Literature review'!A:J,10,0)</f>
        <v>2.3122923588039867E-2</v>
      </c>
    </row>
    <row r="30" spans="1:8" x14ac:dyDescent="0.2">
      <c r="A30" s="113" t="s">
        <v>56</v>
      </c>
      <c r="B30" s="133">
        <f>VLOOKUP(A30,SAR!A:K,11,0)</f>
        <v>2.1158501129156581E-2</v>
      </c>
      <c r="C30" s="123">
        <f>VLOOKUP(A30,'Extended Payload Diagram'!A:H,8,0)</f>
        <v>2.9614167606309725E-2</v>
      </c>
      <c r="D30" s="123">
        <f>VLOOKUP(A30,'Bathtub Curve'!A:H,8,0)</f>
        <v>2.6602739726027398E-2</v>
      </c>
      <c r="E30" s="123">
        <f>VLOOKUP(A30,'EEA Master Emission Calculator'!A:E,5,0)</f>
        <v>2.6364108106420914E-2</v>
      </c>
      <c r="F30" s="123"/>
      <c r="G30" s="123">
        <f>VLOOKUP(A30,'Handbook Method'!A:V,22,0)</f>
        <v>2.7091113995536553E-2</v>
      </c>
      <c r="H30" s="123">
        <f>VLOOKUP(A30,'Literature review'!A:J,10,0)</f>
        <v>2.1814254859611231E-2</v>
      </c>
    </row>
    <row r="31" spans="1:8" x14ac:dyDescent="0.2">
      <c r="A31" s="113" t="s">
        <v>54</v>
      </c>
      <c r="B31" s="133">
        <f>VLOOKUP(A31,SAR!A:K,11,0)</f>
        <v>1.9124641592174061E-2</v>
      </c>
      <c r="C31" s="123">
        <f>VLOOKUP(A31,'Extended Payload Diagram'!A:H,8,0)</f>
        <v>2.7141855698876925E-2</v>
      </c>
      <c r="D31" s="123">
        <f>VLOOKUP(A31,'Bathtub Curve'!A:H,8,0)</f>
        <v>2.4297520661157024E-2</v>
      </c>
      <c r="E31" s="123">
        <f>VLOOKUP(A31,'EEA Master Emission Calculator'!A:E,5,0)</f>
        <v>2.2908286044854953E-2</v>
      </c>
      <c r="F31" s="123"/>
      <c r="G31" s="123">
        <f>VLOOKUP(A31,'Handbook Method'!A:V,22,0)</f>
        <v>2.435066770491438E-2</v>
      </c>
      <c r="H31" s="123">
        <f>VLOOKUP(A31,'Literature review'!A:J,10,0)</f>
        <v>2.1451372125524074E-2</v>
      </c>
    </row>
    <row r="32" spans="1:8" x14ac:dyDescent="0.2">
      <c r="A32" s="113" t="s">
        <v>53</v>
      </c>
      <c r="B32" s="133">
        <f>VLOOKUP(A32,SAR!A:K,11,0)</f>
        <v>1.822785285520246E-2</v>
      </c>
      <c r="C32" s="123">
        <f>VLOOKUP(A32,'Extended Payload Diagram'!A:H,8,0)</f>
        <v>2.5762319581407563E-2</v>
      </c>
      <c r="D32" s="123">
        <f>VLOOKUP(A32,'Bathtub Curve'!A:H,8,0)</f>
        <v>2.296551724137931E-2</v>
      </c>
      <c r="E32" s="123">
        <f>VLOOKUP(A32,'EEA Master Emission Calculator'!A:E,5,0)</f>
        <v>2.0555472726885477E-2</v>
      </c>
      <c r="F32" s="123"/>
      <c r="G32" s="123">
        <f>VLOOKUP(A32,'Handbook Method'!A:V,22,0)</f>
        <v>2.3010585738148896E-2</v>
      </c>
      <c r="H32" s="123">
        <f>VLOOKUP(A32,'Literature review'!A:J,10,0)</f>
        <v>2.4673599331252519E-2</v>
      </c>
    </row>
    <row r="33" spans="1:8" x14ac:dyDescent="0.2">
      <c r="A33" s="113" t="s">
        <v>48</v>
      </c>
      <c r="B33" s="133">
        <f>VLOOKUP(A33,SAR!A:K,11,0)</f>
        <v>1.937711609657311E-2</v>
      </c>
      <c r="C33" s="123">
        <f>VLOOKUP(A33,'Extended Payload Diagram'!A:H,8,0)</f>
        <v>3.3889803443408938E-2</v>
      </c>
      <c r="D33" s="123">
        <f>VLOOKUP(A33,'Bathtub Curve'!A:H,8,0)</f>
        <v>2.3636363636363636E-2</v>
      </c>
      <c r="E33" s="123">
        <f>VLOOKUP(A33,'EEA Master Emission Calculator'!A:E,5,0)</f>
        <v>3.0674194176674149E-2</v>
      </c>
      <c r="F33" s="123">
        <f>VLOOKUP(A33,'BADA '!A:H,8,0)</f>
        <v>2.4063292725679707E-2</v>
      </c>
      <c r="G33" s="123">
        <f>VLOOKUP(A33,'Handbook Method'!A:V,22,0)</f>
        <v>2.2928504088358195E-2</v>
      </c>
      <c r="H33" s="123"/>
    </row>
    <row r="34" spans="1:8" x14ac:dyDescent="0.2">
      <c r="A34" s="113" t="s">
        <v>159</v>
      </c>
      <c r="B34" s="133">
        <f>VLOOKUP(A34,SAR!A:K,11,0)</f>
        <v>2.1346886912325287E-2</v>
      </c>
      <c r="C34" s="123">
        <f>VLOOKUP(A34,'Extended Payload Diagram'!A:H,8,0)</f>
        <v>4.6732090284592728E-2</v>
      </c>
      <c r="D34" s="123">
        <f>VLOOKUP(A34,'Bathtub Curve'!A:H,8,0)</f>
        <v>1.1399999999999999E-2</v>
      </c>
      <c r="E34" s="123"/>
      <c r="F34" s="123"/>
      <c r="G34" s="123">
        <f>VLOOKUP(A34,'Handbook Method'!A:V,22,0)</f>
        <v>1.8964041321593437E-2</v>
      </c>
      <c r="H34" s="123">
        <f>VLOOKUP(A34,'Literature review'!A:J,10,0)</f>
        <v>3.7400000000000003E-2</v>
      </c>
    </row>
    <row r="35" spans="1:8" x14ac:dyDescent="0.2">
      <c r="A35" s="113" t="s">
        <v>158</v>
      </c>
      <c r="B35" s="133">
        <f>VLOOKUP(A35,SAR!A:K,11,0)</f>
        <v>2.4224299065420559E-2</v>
      </c>
      <c r="C35" s="123">
        <f>VLOOKUP(A35,'Extended Payload Diagram'!A:H,8,0)</f>
        <v>4.4882186616399616E-2</v>
      </c>
      <c r="D35" s="123">
        <f>VLOOKUP(A35,'Bathtub Curve'!A:H,8,0)</f>
        <v>1.24E-2</v>
      </c>
      <c r="E35" s="123"/>
      <c r="F35" s="123"/>
      <c r="G35" s="123">
        <f>VLOOKUP(A35,'Handbook Method'!A:V,22,0)</f>
        <v>1.8943503525986907E-2</v>
      </c>
      <c r="H35" s="123">
        <f>VLOOKUP(A35,'Literature review'!A:J,10,0)</f>
        <v>3.6000000000000004E-2</v>
      </c>
    </row>
    <row r="36" spans="1:8" x14ac:dyDescent="0.2">
      <c r="A36" s="113" t="s">
        <v>39</v>
      </c>
      <c r="B36" s="133">
        <f>VLOOKUP(A36,SAR!A:K,11,0)</f>
        <v>2.0345707870697873E-2</v>
      </c>
      <c r="C36" s="123">
        <f>VLOOKUP(A36,'Extended Payload Diagram'!A:H,8,0)</f>
        <v>3.4518447252955498E-2</v>
      </c>
      <c r="D36" s="123">
        <f>VLOOKUP(A36,'Bathtub Curve'!A:H,8,0)</f>
        <v>1.9358974358974358E-2</v>
      </c>
      <c r="E36" s="123"/>
      <c r="F36" s="123"/>
      <c r="G36" s="123">
        <f>VLOOKUP(A36,'Handbook Method'!A:V,22,0)</f>
        <v>1.8797915196435474E-2</v>
      </c>
      <c r="H36" s="123">
        <f>VLOOKUP(A36,'Literature review'!A:J,10,0)</f>
        <v>3.5230057223718962E-2</v>
      </c>
    </row>
    <row r="37" spans="1:8" x14ac:dyDescent="0.2">
      <c r="A37" s="113" t="s">
        <v>37</v>
      </c>
      <c r="B37" s="133">
        <f>VLOOKUP(A37,SAR!A:K,11,0)</f>
        <v>1.9816118935837245E-2</v>
      </c>
      <c r="C37" s="123">
        <f>VLOOKUP(A37,'Extended Payload Diagram'!A:H,8,0)</f>
        <v>3.7942771431868014E-2</v>
      </c>
      <c r="D37" s="123">
        <f>VLOOKUP(A37,'Bathtub Curve'!A:H,8,0)</f>
        <v>2.2555555555555554E-2</v>
      </c>
      <c r="E37" s="123">
        <f>VLOOKUP(A37,'EEA Master Emission Calculator'!A:E,5,0)</f>
        <v>2.859005422868351E-2</v>
      </c>
      <c r="F37" s="123"/>
      <c r="G37" s="123">
        <f>VLOOKUP(A37,'Handbook Method'!A:V,22,0)</f>
        <v>1.8626311532869602E-2</v>
      </c>
      <c r="H37" s="123">
        <f>VLOOKUP(A37,'Literature review'!A:J,10,0)</f>
        <v>3.3170583683490948E-2</v>
      </c>
    </row>
    <row r="38" spans="1:8" x14ac:dyDescent="0.2">
      <c r="A38" s="113" t="s">
        <v>35</v>
      </c>
      <c r="B38" s="133">
        <f>VLOOKUP(A38,SAR!A:K,11,0)</f>
        <v>1.743908265647396E-2</v>
      </c>
      <c r="C38" s="123">
        <f>VLOOKUP(A38,'Extended Payload Diagram'!A:H,8,0)</f>
        <v>2.8071557155715562E-2</v>
      </c>
      <c r="D38" s="123">
        <f>VLOOKUP(A38,'Bathtub Curve'!A:H,8,0)</f>
        <v>1.8173076923076924E-2</v>
      </c>
      <c r="E38" s="123"/>
      <c r="F38" s="123"/>
      <c r="G38" s="123">
        <f>VLOOKUP(A38,'Handbook Method'!A:V,22,0)</f>
        <v>1.7362786693673686E-2</v>
      </c>
      <c r="H38" s="123">
        <f>VLOOKUP(A38,'Literature review'!A:J,10,0)</f>
        <v>2.6600000000000002E-2</v>
      </c>
    </row>
    <row r="39" spans="1:8" x14ac:dyDescent="0.2">
      <c r="A39" s="113" t="s">
        <v>34</v>
      </c>
      <c r="B39" s="133">
        <f>VLOOKUP(A39,SAR!A:K,11,0)</f>
        <v>2.6976272046694581E-2</v>
      </c>
      <c r="C39" s="123">
        <f>VLOOKUP(A39,'Extended Payload Diagram'!A:H,8,0)</f>
        <v>4.6377911388710544E-2</v>
      </c>
      <c r="D39" s="123">
        <f>VLOOKUP(A39,'Bathtub Curve'!A:H,8,0)</f>
        <v>7.8378378378378376E-3</v>
      </c>
      <c r="E39" s="123"/>
      <c r="F39" s="123">
        <f>VLOOKUP(A39,'BADA '!A:H,8,0)</f>
        <v>1.6864864864864867E-2</v>
      </c>
      <c r="G39" s="123"/>
      <c r="H39" s="123"/>
    </row>
    <row r="40" spans="1:8" x14ac:dyDescent="0.2">
      <c r="A40" s="113" t="s">
        <v>44</v>
      </c>
      <c r="B40" s="133">
        <f>VLOOKUP(A40,SAR!A:K,11,0)</f>
        <v>1.8964467005076143E-2</v>
      </c>
      <c r="C40" s="123">
        <f>VLOOKUP(A40,'Extended Payload Diagram'!A:H,8,0)</f>
        <v>4.4195804195804191E-2</v>
      </c>
      <c r="D40" s="123">
        <f>VLOOKUP(A40,'Bathtub Curve'!A:H,8,0)</f>
        <v>3.4000000000000002E-3</v>
      </c>
      <c r="E40" s="123"/>
      <c r="F40" s="123">
        <f>VLOOKUP(A40,'BADA '!A:H,8,0)</f>
        <v>1.1818181818181821E-2</v>
      </c>
      <c r="G40" s="123"/>
      <c r="H40" s="123"/>
    </row>
    <row r="41" spans="1:8" x14ac:dyDescent="0.2">
      <c r="A41" s="113" t="s">
        <v>32</v>
      </c>
      <c r="B41" s="133">
        <f>VLOOKUP(A41,SAR!A:K,11,0)</f>
        <v>1.7078213511287424E-2</v>
      </c>
      <c r="C41" s="123">
        <f>VLOOKUP(A41,'Extended Payload Diagram'!A:H,8,0)</f>
        <v>2.9719057935565032E-2</v>
      </c>
      <c r="D41" s="123">
        <f>VLOOKUP(A41,'Bathtub Curve'!A:H,8,0)</f>
        <v>1.3414634146341465E-2</v>
      </c>
      <c r="E41" s="123"/>
      <c r="F41" s="123">
        <f>VLOOKUP(A41,'BADA '!A:H,8,0)</f>
        <v>5.6789224608664E-3</v>
      </c>
      <c r="G41" s="123"/>
      <c r="H41" s="123">
        <f>VLOOKUP(A41,'Literature review'!A:J,10,0)</f>
        <v>2.231707317073171E-2</v>
      </c>
    </row>
    <row r="42" spans="1:8" x14ac:dyDescent="0.2">
      <c r="A42" s="113" t="s">
        <v>30</v>
      </c>
      <c r="B42" s="133">
        <f>VLOOKUP(A42,SAR!A:K,11,0)</f>
        <v>5.1343260960175822E-2</v>
      </c>
      <c r="C42" s="123">
        <f>VLOOKUP(A42,'Extended Payload Diagram'!A:H,8,0)</f>
        <v>0.61896100943503474</v>
      </c>
      <c r="D42" s="123"/>
      <c r="E42" s="123"/>
      <c r="F42" s="123"/>
      <c r="G42" s="123"/>
      <c r="H42" s="123"/>
    </row>
    <row r="43" spans="1:8" x14ac:dyDescent="0.2">
      <c r="A43" s="113" t="s">
        <v>26</v>
      </c>
      <c r="B43" s="133">
        <f>VLOOKUP(A43,SAR!A:K,11,0)</f>
        <v>2.2850469069351172E-2</v>
      </c>
      <c r="C43" s="123">
        <f>VLOOKUP(A43,'Extended Payload Diagram'!A:H,8,0)</f>
        <v>4.4396581671645924E-2</v>
      </c>
      <c r="D43" s="123">
        <f>VLOOKUP(A43,'Bathtub Curve'!A:H,8,0)</f>
        <v>2.662162162162162E-2</v>
      </c>
      <c r="E43" s="123">
        <f>VLOOKUP(A43,'EEA Master Emission Calculator'!A:E,5,0)</f>
        <v>3.2640867088167859E-2</v>
      </c>
      <c r="F43" s="123"/>
      <c r="G43" s="123">
        <f>VLOOKUP(A43,'Handbook Method'!A:V,22,0)</f>
        <v>2.0893849574731151E-2</v>
      </c>
      <c r="H43" s="123">
        <f>VLOOKUP(A43,'Literature review'!A:J,10,0)</f>
        <v>3.3023342529235181E-2</v>
      </c>
    </row>
    <row r="44" spans="1:8" x14ac:dyDescent="0.2">
      <c r="A44" s="113" t="s">
        <v>25</v>
      </c>
      <c r="B44" s="133">
        <f>VLOOKUP(A44,SAR!A:K,11,0)</f>
        <v>2.2657754616517502E-2</v>
      </c>
      <c r="C44" s="123">
        <f>VLOOKUP(A44,'Extended Payload Diagram'!A:H,8,0)</f>
        <v>4.0969131878222771E-2</v>
      </c>
      <c r="D44" s="123">
        <f>VLOOKUP(A44,'Bathtub Curve'!A:H,8,0)</f>
        <v>2.3461538461538461E-2</v>
      </c>
      <c r="E44" s="123">
        <f>VLOOKUP(A44,'EEA Master Emission Calculator'!A:E,5,0)</f>
        <v>3.166066256975348E-2</v>
      </c>
      <c r="F44" s="123"/>
      <c r="G44" s="123">
        <f>VLOOKUP(A44,'Handbook Method'!A:V,22,0)</f>
        <v>2.0982137857828265E-2</v>
      </c>
      <c r="H44" s="123">
        <f>VLOOKUP(A44,'Literature review'!A:J,10,0)</f>
        <v>3.1662780679049679E-2</v>
      </c>
    </row>
    <row r="45" spans="1:8" x14ac:dyDescent="0.2">
      <c r="A45" s="113" t="s">
        <v>23</v>
      </c>
      <c r="B45" s="133">
        <f>VLOOKUP(A45,SAR!A:K,11,0)</f>
        <v>2.3912191297530382E-2</v>
      </c>
      <c r="C45" s="123">
        <f>VLOOKUP(A45,'Extended Payload Diagram'!A:H,8,0)</f>
        <v>3.8811771238200996E-2</v>
      </c>
      <c r="D45" s="123">
        <f>VLOOKUP(A45,'Bathtub Curve'!A:H,8,0)</f>
        <v>2.2099999999999998E-2</v>
      </c>
      <c r="E45" s="123">
        <f>VLOOKUP(A45,'EEA Master Emission Calculator'!A:E,5,0)</f>
        <v>3.2252082176568581E-2</v>
      </c>
      <c r="F45" s="123"/>
      <c r="G45" s="123">
        <f>VLOOKUP(A45,'Handbook Method'!A:V,22,0)</f>
        <v>1.6655375787836733E-2</v>
      </c>
      <c r="H45" s="123">
        <f>VLOOKUP(A45,'Literature review'!A:J,10,0)</f>
        <v>2.8615069399156777E-2</v>
      </c>
    </row>
    <row r="46" spans="1:8" x14ac:dyDescent="0.2">
      <c r="A46" s="113" t="s">
        <v>19</v>
      </c>
      <c r="B46" s="133">
        <f>VLOOKUP(A46,SAR!A:K,11,0)</f>
        <v>1.9107564347532878E-2</v>
      </c>
      <c r="C46" s="123">
        <f>VLOOKUP(A46,'Extended Payload Diagram'!A:H,8,0)</f>
        <v>3.4227939575987125E-2</v>
      </c>
      <c r="D46" s="123">
        <f>VLOOKUP(A46,'Bathtub Curve'!A:H,8,0)</f>
        <v>1.6451612903225808E-2</v>
      </c>
      <c r="E46" s="123">
        <f>VLOOKUP(A46,'EEA Master Emission Calculator'!A:E,5,0)</f>
        <v>2.7900396151669497E-2</v>
      </c>
      <c r="F46" s="123"/>
      <c r="G46" s="123">
        <f>VLOOKUP(A46,'Handbook Method'!A:V,22,0)</f>
        <v>1.3082963201166111E-2</v>
      </c>
      <c r="H46" s="123">
        <f>VLOOKUP(A46,'Literature review'!A:J,10,0)</f>
        <v>2.6515103919099139E-2</v>
      </c>
    </row>
    <row r="47" spans="1:8" x14ac:dyDescent="0.2">
      <c r="A47" s="113" t="s">
        <v>17</v>
      </c>
      <c r="B47" s="133">
        <f>VLOOKUP(A47,SAR!A:K,11,0)</f>
        <v>1.8508486818345972E-2</v>
      </c>
      <c r="C47" s="123">
        <f>VLOOKUP(A47,'Extended Payload Diagram'!A:H,8,0)</f>
        <v>2.6367849257874824E-2</v>
      </c>
      <c r="D47" s="123">
        <f>VLOOKUP(A47,'Bathtub Curve'!A:H,8,0)</f>
        <v>2.0192307692307693E-2</v>
      </c>
      <c r="E47" s="123">
        <f>VLOOKUP(A47,'EEA Master Emission Calculator'!A:E,5,0)</f>
        <v>2.5626981004218858E-2</v>
      </c>
      <c r="F47" s="123"/>
      <c r="G47" s="123">
        <f>VLOOKUP(A47,'Handbook Method'!A:V,22,0)</f>
        <v>1.8428636458143025E-2</v>
      </c>
      <c r="H47" s="123">
        <f>VLOOKUP(A47,'Literature review'!A:J,10,0)</f>
        <v>2.3257575757575755E-2</v>
      </c>
    </row>
    <row r="48" spans="1:8" x14ac:dyDescent="0.2">
      <c r="A48" s="113" t="s">
        <v>15</v>
      </c>
      <c r="B48" s="133">
        <f>VLOOKUP(A48,SAR!A:K,11,0)</f>
        <v>2.2059439095856007E-2</v>
      </c>
      <c r="C48" s="123">
        <f>VLOOKUP(A48,'Extended Payload Diagram'!A:H,8,0)</f>
        <v>6.2073246430788369E-2</v>
      </c>
      <c r="D48" s="123">
        <f>VLOOKUP(A48,'Bathtub Curve'!A:H,8,0)</f>
        <v>1.4333333333333333E-2</v>
      </c>
      <c r="E48" s="123">
        <f>VLOOKUP(A48,'EEA Master Emission Calculator'!A:E,5,0)</f>
        <v>5.822594661700807E-2</v>
      </c>
      <c r="F48" s="123">
        <f>VLOOKUP(A48,'BADA '!A:H,8,0)</f>
        <v>1.7770034843205582E-2</v>
      </c>
      <c r="G48" s="123"/>
      <c r="H48" s="123">
        <f>VLOOKUP(A48,'Literature review'!A:J,10,0)</f>
        <v>3.0912526997840167E-2</v>
      </c>
    </row>
    <row r="49" spans="1:8" x14ac:dyDescent="0.2">
      <c r="A49" s="113" t="s">
        <v>11</v>
      </c>
      <c r="B49" s="133">
        <f>VLOOKUP(A49,SAR!A:K,11,0)</f>
        <v>2.8077753779697626E-2</v>
      </c>
      <c r="C49" s="123">
        <f>VLOOKUP(A49,'Extended Payload Diagram'!A:H,8,0)</f>
        <v>3.9795338260375221E-2</v>
      </c>
      <c r="D49" s="123">
        <f>VLOOKUP(A49,'Bathtub Curve'!A:H,8,0)</f>
        <v>2.2200000000000001E-2</v>
      </c>
      <c r="E49" s="123">
        <f>VLOOKUP(A49,'EEA Master Emission Calculator'!A:E,5,0)</f>
        <v>3.6604889141557705E-2</v>
      </c>
      <c r="F49" s="123"/>
      <c r="G49" s="123">
        <f>VLOOKUP(A49,'Handbook Method'!A:V,22,0)</f>
        <v>1.9206750491913904E-2</v>
      </c>
      <c r="H49" s="123">
        <f>VLOOKUP(A49,'Literature review'!A:J,10,0)</f>
        <v>3.1229503662361938E-2</v>
      </c>
    </row>
    <row r="50" spans="1:8" x14ac:dyDescent="0.2">
      <c r="A50" s="113" t="s">
        <v>9</v>
      </c>
      <c r="B50" s="133">
        <f>VLOOKUP(A50,SAR!A:K,11,0)</f>
        <v>2.2077597957342241E-2</v>
      </c>
      <c r="C50" s="123">
        <f>VLOOKUP(A50,'Extended Payload Diagram'!A:H,8,0)</f>
        <v>3.9020390811229357E-2</v>
      </c>
      <c r="D50" s="123">
        <f>VLOOKUP(A50,'Bathtub Curve'!A:H,8,0)</f>
        <v>2.4020618556701033E-2</v>
      </c>
      <c r="E50" s="123">
        <f>VLOOKUP(A50,'EEA Master Emission Calculator'!A:E,5,0)</f>
        <v>3.3925471559651602E-2</v>
      </c>
      <c r="F50" s="123">
        <f>VLOOKUP(A50,'BADA '!A:H,8,0)</f>
        <v>2.219061544142191E-2</v>
      </c>
      <c r="G50" s="123">
        <f>VLOOKUP(A50,'Handbook Method'!A:V,22,0)</f>
        <v>2.3379662989747387E-2</v>
      </c>
      <c r="H50" s="123"/>
    </row>
    <row r="51" spans="1:8" x14ac:dyDescent="0.2">
      <c r="A51" s="113" t="s">
        <v>4</v>
      </c>
      <c r="B51" s="133">
        <f>VLOOKUP(A51,SAR!A:K,11,0)</f>
        <v>2.6780615158684833E-2</v>
      </c>
      <c r="C51" s="123">
        <f>VLOOKUP(A51,'Extended Payload Diagram'!A:H,8,0)</f>
        <v>1.313676835498466E-2</v>
      </c>
      <c r="D51" s="123">
        <f>VLOOKUP(A51,'Bathtub Curve'!A:H,8,0)</f>
        <v>1.4705882352941176E-3</v>
      </c>
      <c r="E51" s="123"/>
      <c r="F51" s="123"/>
      <c r="G51" s="123"/>
      <c r="H51" s="123">
        <f>VLOOKUP(A51,'Literature review'!A:J,10,0)</f>
        <v>2.9805615550755941E-2</v>
      </c>
    </row>
    <row r="52" spans="1:8" x14ac:dyDescent="0.2">
      <c r="A52" s="113" t="s">
        <v>2</v>
      </c>
      <c r="B52" s="133">
        <f>VLOOKUP(A52,SAR!A:K,11,0)</f>
        <v>1.7717478052673583E-2</v>
      </c>
      <c r="C52" s="123">
        <f>VLOOKUP(A52,'Extended Payload Diagram'!A:H,8,0)</f>
        <v>4.0692041522491333E-2</v>
      </c>
      <c r="D52" s="123">
        <f>VLOOKUP(A52,'Bathtub Curve'!A:H,8,0)</f>
        <v>1.9E-2</v>
      </c>
      <c r="E52" s="123"/>
      <c r="F52" s="123"/>
      <c r="G52" s="123">
        <f>VLOOKUP(A52,'Handbook Method'!A:V,22,0)</f>
        <v>1.9923066893285987E-2</v>
      </c>
      <c r="H52" s="123">
        <f>VLOOKUP(A52,'Literature review'!A:J,10,0)</f>
        <v>2.8673469387755102E-2</v>
      </c>
    </row>
    <row r="55" spans="1:8" x14ac:dyDescent="0.2">
      <c r="A55" s="76" t="s">
        <v>237</v>
      </c>
      <c r="B55" s="116">
        <f>AVERAGE(B3:B52)</f>
        <v>2.1095244648686919E-2</v>
      </c>
      <c r="C55" s="116">
        <f>AVERAGE(C3:C52)</f>
        <v>4.4826084806805451E-2</v>
      </c>
      <c r="D55" s="116">
        <f t="shared" ref="D55:H55" si="0">AVERAGE(D3:D52)</f>
        <v>2.053862952371668E-2</v>
      </c>
      <c r="E55" s="116">
        <f t="shared" si="0"/>
        <v>2.7129676734329946E-2</v>
      </c>
      <c r="F55" s="116">
        <f t="shared" si="0"/>
        <v>2.0468189882796188E-2</v>
      </c>
      <c r="G55" s="116">
        <f t="shared" si="0"/>
        <v>2.0977738814857708E-2</v>
      </c>
      <c r="H55" s="116">
        <f t="shared" si="0"/>
        <v>2.5932870133998889E-2</v>
      </c>
    </row>
    <row r="56" spans="1:8" x14ac:dyDescent="0.2">
      <c r="A56" s="76" t="s">
        <v>238</v>
      </c>
      <c r="B56" s="116">
        <f>_xlfn.STDEV.P(B3:B52)</f>
        <v>5.75543721607648E-3</v>
      </c>
      <c r="C56" s="116">
        <f t="shared" ref="C56:H56" si="1">_xlfn.STDEV.P(C3:C52)</f>
        <v>8.2788986515791529E-2</v>
      </c>
      <c r="D56" s="116">
        <f t="shared" si="1"/>
        <v>6.2856244271234669E-3</v>
      </c>
      <c r="E56" s="116">
        <f t="shared" si="1"/>
        <v>6.9442296627939106E-3</v>
      </c>
      <c r="F56" s="116">
        <f t="shared" si="1"/>
        <v>6.2807078344739569E-3</v>
      </c>
      <c r="G56" s="116">
        <f t="shared" si="1"/>
        <v>4.5335894404507394E-3</v>
      </c>
      <c r="H56" s="116">
        <f t="shared" si="1"/>
        <v>6.8222787963537019E-3</v>
      </c>
    </row>
    <row r="57" spans="1:8" x14ac:dyDescent="0.2">
      <c r="A57" s="76" t="s">
        <v>285</v>
      </c>
      <c r="B57" s="116">
        <f>B56/B55</f>
        <v>0.27283102480798815</v>
      </c>
      <c r="C57" s="116">
        <f t="shared" ref="C57:H57" si="2">C56/C55</f>
        <v>1.8468930952279505</v>
      </c>
      <c r="D57" s="116">
        <f t="shared" si="2"/>
        <v>0.30603913566215479</v>
      </c>
      <c r="E57" s="116">
        <f t="shared" si="2"/>
        <v>0.25596433495304677</v>
      </c>
      <c r="F57" s="116">
        <f t="shared" si="2"/>
        <v>0.30685213838830877</v>
      </c>
      <c r="G57" s="116">
        <f t="shared" si="2"/>
        <v>0.21611430480961924</v>
      </c>
      <c r="H57" s="116">
        <f t="shared" si="2"/>
        <v>0.2630745752823348</v>
      </c>
    </row>
    <row r="60" spans="1:8" x14ac:dyDescent="0.2">
      <c r="A60" s="76" t="s">
        <v>289</v>
      </c>
    </row>
    <row r="61" spans="1:8" x14ac:dyDescent="0.2">
      <c r="H61" s="125" t="s">
        <v>296</v>
      </c>
    </row>
    <row r="62" spans="1:8" ht="17" thickBot="1" x14ac:dyDescent="0.25">
      <c r="A62" s="84" t="s">
        <v>286</v>
      </c>
      <c r="B62" s="85"/>
      <c r="C62" s="94" t="s">
        <v>287</v>
      </c>
      <c r="H62" s="128">
        <v>2</v>
      </c>
    </row>
    <row r="63" spans="1:8" x14ac:dyDescent="0.2">
      <c r="A63" t="s">
        <v>307</v>
      </c>
      <c r="C63" s="126">
        <v>1</v>
      </c>
      <c r="H63" s="128">
        <v>4</v>
      </c>
    </row>
    <row r="64" spans="1:8" x14ac:dyDescent="0.2">
      <c r="A64" t="s">
        <v>309</v>
      </c>
      <c r="C64" s="126">
        <v>2</v>
      </c>
      <c r="H64" s="128">
        <v>7</v>
      </c>
    </row>
    <row r="65" spans="1:8" x14ac:dyDescent="0.2">
      <c r="A65" t="s">
        <v>321</v>
      </c>
      <c r="C65" s="126">
        <v>3</v>
      </c>
      <c r="H65" s="128">
        <v>1</v>
      </c>
    </row>
    <row r="66" spans="1:8" x14ac:dyDescent="0.2">
      <c r="A66" t="s">
        <v>308</v>
      </c>
      <c r="C66" s="126">
        <v>4</v>
      </c>
      <c r="H66" s="128">
        <v>6</v>
      </c>
    </row>
    <row r="67" spans="1:8" x14ac:dyDescent="0.2">
      <c r="A67" t="s">
        <v>312</v>
      </c>
      <c r="C67" s="126">
        <v>5</v>
      </c>
      <c r="H67" s="128">
        <v>3</v>
      </c>
    </row>
    <row r="68" spans="1:8" x14ac:dyDescent="0.2">
      <c r="A68" t="s">
        <v>310</v>
      </c>
      <c r="C68" s="126">
        <v>6</v>
      </c>
      <c r="H68" s="128">
        <v>5</v>
      </c>
    </row>
    <row r="69" spans="1:8" ht="17" thickBot="1" x14ac:dyDescent="0.25">
      <c r="A69" s="83" t="s">
        <v>311</v>
      </c>
      <c r="B69" s="85"/>
      <c r="C69" s="127">
        <v>7</v>
      </c>
    </row>
    <row r="71" spans="1:8" x14ac:dyDescent="0.2">
      <c r="A71" s="70" t="s">
        <v>288</v>
      </c>
    </row>
    <row r="72" spans="1:8" x14ac:dyDescent="0.2">
      <c r="A72">
        <f>Deviation!T42</f>
        <v>0.85449603467422108</v>
      </c>
      <c r="B72" t="s">
        <v>313</v>
      </c>
    </row>
    <row r="76" spans="1:8" x14ac:dyDescent="0.2">
      <c r="H76" s="125" t="s">
        <v>323</v>
      </c>
    </row>
    <row r="77" spans="1:8" x14ac:dyDescent="0.2">
      <c r="H77" s="128">
        <v>2</v>
      </c>
    </row>
    <row r="78" spans="1:8" x14ac:dyDescent="0.2">
      <c r="H78" s="128">
        <v>4</v>
      </c>
    </row>
    <row r="79" spans="1:8" x14ac:dyDescent="0.2">
      <c r="H79" s="128">
        <v>7</v>
      </c>
    </row>
    <row r="80" spans="1:8" x14ac:dyDescent="0.2">
      <c r="H80" s="128">
        <v>3</v>
      </c>
    </row>
    <row r="81" spans="8:8" x14ac:dyDescent="0.2">
      <c r="H81" s="128">
        <v>5</v>
      </c>
    </row>
    <row r="82" spans="8:8" x14ac:dyDescent="0.2">
      <c r="H82" s="128">
        <v>1</v>
      </c>
    </row>
    <row r="83" spans="8:8" x14ac:dyDescent="0.2">
      <c r="H83" s="128">
        <v>6</v>
      </c>
    </row>
    <row r="94" spans="8:8" x14ac:dyDescent="0.2">
      <c r="H94" s="125" t="s">
        <v>322</v>
      </c>
    </row>
    <row r="95" spans="8:8" x14ac:dyDescent="0.2">
      <c r="H95" s="128">
        <v>2</v>
      </c>
    </row>
    <row r="96" spans="8:8" x14ac:dyDescent="0.2">
      <c r="H96" s="128">
        <v>5</v>
      </c>
    </row>
    <row r="97" spans="8:8" x14ac:dyDescent="0.2">
      <c r="H97" s="128">
        <v>3</v>
      </c>
    </row>
    <row r="98" spans="8:8" x14ac:dyDescent="0.2">
      <c r="H98" s="128">
        <v>1</v>
      </c>
    </row>
    <row r="99" spans="8:8" x14ac:dyDescent="0.2">
      <c r="H99" s="128">
        <v>7</v>
      </c>
    </row>
    <row r="100" spans="8:8" x14ac:dyDescent="0.2">
      <c r="H100" s="128">
        <v>4</v>
      </c>
    </row>
    <row r="101" spans="8:8" x14ac:dyDescent="0.2">
      <c r="H101" s="128">
        <v>6</v>
      </c>
    </row>
    <row r="110" spans="8:8" x14ac:dyDescent="0.2">
      <c r="H110" s="142" t="s">
        <v>292</v>
      </c>
    </row>
    <row r="111" spans="8:8" x14ac:dyDescent="0.2">
      <c r="H111" s="128">
        <v>2</v>
      </c>
    </row>
    <row r="112" spans="8:8" x14ac:dyDescent="0.2">
      <c r="H112" s="128">
        <v>4</v>
      </c>
    </row>
    <row r="113" spans="4:8" x14ac:dyDescent="0.2">
      <c r="H113" s="128">
        <v>1</v>
      </c>
    </row>
    <row r="114" spans="4:8" x14ac:dyDescent="0.2">
      <c r="H114" s="128">
        <v>7</v>
      </c>
    </row>
    <row r="115" spans="4:8" x14ac:dyDescent="0.2">
      <c r="H115" s="128">
        <v>3</v>
      </c>
    </row>
    <row r="116" spans="4:8" x14ac:dyDescent="0.2">
      <c r="H116" s="128">
        <v>6</v>
      </c>
    </row>
    <row r="117" spans="4:8" x14ac:dyDescent="0.2">
      <c r="H117" s="128">
        <v>5</v>
      </c>
    </row>
    <row r="118" spans="4:8" x14ac:dyDescent="0.2">
      <c r="H118" t="s">
        <v>293</v>
      </c>
    </row>
    <row r="126" spans="4:8" x14ac:dyDescent="0.2">
      <c r="D126" t="s">
        <v>295</v>
      </c>
    </row>
    <row r="127" spans="4:8" x14ac:dyDescent="0.2">
      <c r="D127">
        <v>0.46189999999999998</v>
      </c>
    </row>
    <row r="128" spans="4:8" x14ac:dyDescent="0.2">
      <c r="D128">
        <v>0.58309999999999995</v>
      </c>
      <c r="H128" s="125" t="s">
        <v>291</v>
      </c>
    </row>
    <row r="129" spans="4:8" x14ac:dyDescent="0.2">
      <c r="D129">
        <v>2.1499999999999998E-2</v>
      </c>
      <c r="H129" s="128">
        <v>2</v>
      </c>
    </row>
    <row r="130" spans="4:8" x14ac:dyDescent="0.2">
      <c r="D130">
        <v>0.4834</v>
      </c>
      <c r="H130" s="128">
        <v>4</v>
      </c>
    </row>
    <row r="131" spans="4:8" x14ac:dyDescent="0.2">
      <c r="D131">
        <v>4.7100000000000003E-2</v>
      </c>
      <c r="H131" s="128">
        <v>1</v>
      </c>
    </row>
    <row r="132" spans="4:8" x14ac:dyDescent="0.2">
      <c r="D132">
        <v>3.4099999999999998E-2</v>
      </c>
      <c r="H132" s="128">
        <v>7</v>
      </c>
    </row>
    <row r="133" spans="4:8" x14ac:dyDescent="0.2">
      <c r="D133">
        <v>0.4572</v>
      </c>
      <c r="H133" s="128">
        <v>5</v>
      </c>
    </row>
    <row r="134" spans="4:8" x14ac:dyDescent="0.2">
      <c r="H134" s="128">
        <v>6</v>
      </c>
    </row>
    <row r="135" spans="4:8" x14ac:dyDescent="0.2">
      <c r="H135" s="128">
        <v>3</v>
      </c>
    </row>
    <row r="136" spans="4:8" x14ac:dyDescent="0.2">
      <c r="H136" t="s">
        <v>293</v>
      </c>
    </row>
    <row r="144" spans="4:8" x14ac:dyDescent="0.2">
      <c r="H144" s="125" t="s">
        <v>290</v>
      </c>
    </row>
    <row r="145" spans="8:8" x14ac:dyDescent="0.2">
      <c r="H145" s="128">
        <v>4</v>
      </c>
    </row>
    <row r="146" spans="8:8" x14ac:dyDescent="0.2">
      <c r="H146" s="128">
        <v>6</v>
      </c>
    </row>
    <row r="147" spans="8:8" x14ac:dyDescent="0.2">
      <c r="H147" s="128">
        <v>3</v>
      </c>
    </row>
    <row r="148" spans="8:8" x14ac:dyDescent="0.2">
      <c r="H148" s="128">
        <v>2</v>
      </c>
    </row>
    <row r="149" spans="8:8" x14ac:dyDescent="0.2">
      <c r="H149" s="128">
        <v>7</v>
      </c>
    </row>
    <row r="150" spans="8:8" x14ac:dyDescent="0.2">
      <c r="H150" s="128">
        <v>5</v>
      </c>
    </row>
    <row r="151" spans="8:8" x14ac:dyDescent="0.2">
      <c r="H151" s="128">
        <v>1</v>
      </c>
    </row>
    <row r="152" spans="8:8" x14ac:dyDescent="0.2">
      <c r="H152" t="s">
        <v>294</v>
      </c>
    </row>
  </sheetData>
  <autoFilter ref="A1:H52" xr:uid="{1A4D21D1-211F-694C-853F-335276F54229}"/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FA6D-4107-D349-889E-146A3318C765}">
  <dimension ref="A2:AL14"/>
  <sheetViews>
    <sheetView topLeftCell="A3" workbookViewId="0">
      <selection activeCell="B3" sqref="B3"/>
    </sheetView>
  </sheetViews>
  <sheetFormatPr baseColWidth="10" defaultRowHeight="16" x14ac:dyDescent="0.2"/>
  <cols>
    <col min="2" max="2" width="26.1640625" customWidth="1"/>
    <col min="3" max="3" width="23.6640625" customWidth="1"/>
    <col min="4" max="4" width="19.1640625" customWidth="1"/>
    <col min="5" max="5" width="21.5" customWidth="1"/>
    <col min="6" max="6" width="16.5" customWidth="1"/>
    <col min="7" max="7" width="24.6640625" customWidth="1"/>
    <col min="8" max="8" width="17.6640625" customWidth="1"/>
    <col min="9" max="9" width="16.1640625" customWidth="1"/>
    <col min="16" max="16" width="23.1640625" customWidth="1"/>
    <col min="17" max="17" width="23.6640625" customWidth="1"/>
    <col min="18" max="18" width="19.1640625" customWidth="1"/>
    <col min="19" max="19" width="21.5" customWidth="1"/>
    <col min="20" max="20" width="16.5" customWidth="1"/>
    <col min="21" max="21" width="24.6640625" customWidth="1"/>
    <col min="22" max="22" width="17.6640625" customWidth="1"/>
    <col min="23" max="23" width="16.1640625" customWidth="1"/>
    <col min="26" max="26" width="27.1640625" customWidth="1"/>
    <col min="28" max="28" width="16.83203125" customWidth="1"/>
    <col min="29" max="29" width="18" customWidth="1"/>
    <col min="30" max="30" width="22.83203125" customWidth="1"/>
    <col min="31" max="31" width="21.5" customWidth="1"/>
    <col min="32" max="32" width="24.33203125" customWidth="1"/>
    <col min="33" max="33" width="24.6640625" customWidth="1"/>
    <col min="34" max="34" width="26.33203125" customWidth="1"/>
    <col min="35" max="35" width="23" customWidth="1"/>
    <col min="36" max="36" width="20.6640625" customWidth="1"/>
    <col min="37" max="37" width="21" customWidth="1"/>
  </cols>
  <sheetData>
    <row r="2" spans="1:38" x14ac:dyDescent="0.2">
      <c r="B2" s="103"/>
      <c r="P2" s="103"/>
      <c r="AD2" s="103"/>
    </row>
    <row r="3" spans="1:38" ht="79" customHeight="1" x14ac:dyDescent="0.2">
      <c r="A3" s="102"/>
      <c r="B3" s="77" t="s">
        <v>236</v>
      </c>
      <c r="C3" s="73" t="s">
        <v>297</v>
      </c>
      <c r="D3" s="73" t="s">
        <v>317</v>
      </c>
      <c r="E3" s="73" t="s">
        <v>318</v>
      </c>
      <c r="F3" s="73" t="s">
        <v>314</v>
      </c>
      <c r="G3" s="73" t="s">
        <v>315</v>
      </c>
      <c r="H3" s="73" t="s">
        <v>302</v>
      </c>
      <c r="I3" s="73" t="s">
        <v>316</v>
      </c>
      <c r="J3" s="73" t="s">
        <v>237</v>
      </c>
      <c r="O3" s="102"/>
      <c r="P3" s="107" t="s">
        <v>229</v>
      </c>
      <c r="Q3" s="73" t="s">
        <v>297</v>
      </c>
      <c r="R3" s="73" t="s">
        <v>317</v>
      </c>
      <c r="S3" s="73" t="s">
        <v>318</v>
      </c>
      <c r="T3" s="73" t="s">
        <v>314</v>
      </c>
      <c r="U3" s="73" t="s">
        <v>315</v>
      </c>
      <c r="V3" s="73" t="s">
        <v>302</v>
      </c>
      <c r="W3" s="73" t="s">
        <v>316</v>
      </c>
      <c r="X3" s="73" t="s">
        <v>237</v>
      </c>
      <c r="AC3" s="102"/>
      <c r="AD3" s="78" t="s">
        <v>235</v>
      </c>
      <c r="AE3" s="73" t="s">
        <v>297</v>
      </c>
      <c r="AF3" s="73" t="s">
        <v>317</v>
      </c>
      <c r="AG3" s="73" t="s">
        <v>318</v>
      </c>
      <c r="AH3" s="73" t="s">
        <v>314</v>
      </c>
      <c r="AI3" s="73" t="s">
        <v>315</v>
      </c>
      <c r="AJ3" s="73" t="s">
        <v>302</v>
      </c>
      <c r="AK3" s="73" t="s">
        <v>316</v>
      </c>
    </row>
    <row r="4" spans="1:38" ht="50" customHeight="1" x14ac:dyDescent="0.2">
      <c r="B4" s="73" t="s">
        <v>297</v>
      </c>
      <c r="C4" s="74">
        <v>1</v>
      </c>
      <c r="D4" s="114">
        <f>Deviation!B56</f>
        <v>0.64803684380917925</v>
      </c>
      <c r="E4" s="114">
        <f>Deviation!Q55</f>
        <v>3.5890341221742044E-3</v>
      </c>
      <c r="F4" s="114">
        <f>Deviation!E42</f>
        <v>0.39468055174423317</v>
      </c>
      <c r="G4" s="114">
        <f>Deviation!H25</f>
        <v>2.2865841313669165E-2</v>
      </c>
      <c r="H4" s="114">
        <f>Deviation!K47</f>
        <v>6.4477643859618142E-2</v>
      </c>
      <c r="I4" s="115">
        <f>Deviation!N48</f>
        <v>0.51384860966671198</v>
      </c>
      <c r="J4" s="116">
        <f>AVERAGE(C4:I4)</f>
        <v>0.37821407493079801</v>
      </c>
      <c r="K4">
        <v>2</v>
      </c>
      <c r="P4" s="73" t="s">
        <v>297</v>
      </c>
      <c r="Q4" s="74">
        <v>0</v>
      </c>
      <c r="R4" s="114">
        <f>Deviation!C56</f>
        <v>0.83572315985713541</v>
      </c>
      <c r="S4" s="114">
        <f>Deviation!R55</f>
        <v>0.24238557258841725</v>
      </c>
      <c r="T4" s="114">
        <f>Deviation!F42</f>
        <v>0.32704048589447177</v>
      </c>
      <c r="U4" s="114">
        <f>Deviation!I25</f>
        <v>0.26581295447529113</v>
      </c>
      <c r="V4" s="114">
        <f>Deviation!L47</f>
        <v>0.18352580992061573</v>
      </c>
      <c r="W4" s="115">
        <f>Deviation!O48</f>
        <v>0.29702566918511114</v>
      </c>
      <c r="X4" s="116">
        <f>AVERAGE(R4:W4)</f>
        <v>0.35858560865350708</v>
      </c>
      <c r="AD4" s="73" t="s">
        <v>297</v>
      </c>
      <c r="AE4" s="74" t="s">
        <v>234</v>
      </c>
      <c r="AF4" s="75" t="str">
        <f>D4&amp;" "&amp;R4</f>
        <v>0,648036843809179 0,835723159857135</v>
      </c>
      <c r="AG4" s="75" t="str">
        <f t="shared" ref="AG4:AK4" si="0">E4&amp;" "&amp;S4</f>
        <v>0.0035890341221742 0.242385572588417</v>
      </c>
      <c r="AH4" s="75" t="str">
        <f t="shared" si="0"/>
        <v>0,394680551744233 0,327040485894472</v>
      </c>
      <c r="AI4" s="75" t="str">
        <f t="shared" si="0"/>
        <v>0.0228658413136692 0.265812954475291</v>
      </c>
      <c r="AJ4" s="75" t="str">
        <f t="shared" si="0"/>
        <v>0.0644776438596181 0.183525809920616</v>
      </c>
      <c r="AK4" s="121" t="str">
        <f t="shared" si="0"/>
        <v>0.513848609666712 0.297025669185111</v>
      </c>
    </row>
    <row r="5" spans="1:38" ht="51" customHeight="1" x14ac:dyDescent="0.2">
      <c r="B5" s="73" t="s">
        <v>317</v>
      </c>
      <c r="C5" s="114">
        <f>D4</f>
        <v>0.64803684380917925</v>
      </c>
      <c r="D5" s="74">
        <v>1</v>
      </c>
      <c r="E5" s="114">
        <f>Deviation!AF55</f>
        <v>4.2729780731921201E-3</v>
      </c>
      <c r="F5" s="114">
        <f>Deviation!T42</f>
        <v>0.85449603467422108</v>
      </c>
      <c r="G5" s="114">
        <f>Deviation!W25</f>
        <v>2.4153669147860442E-2</v>
      </c>
      <c r="H5" s="114">
        <f>Deviation!Z47</f>
        <v>7.0606248581140006E-3</v>
      </c>
      <c r="I5" s="117">
        <f>Deviation!AC48</f>
        <v>0.66660347679103571</v>
      </c>
      <c r="J5" s="116">
        <f t="shared" ref="J5:J10" si="1">AVERAGE(C5:I5)</f>
        <v>0.45780337533622895</v>
      </c>
      <c r="K5">
        <v>1</v>
      </c>
      <c r="P5" s="73" t="s">
        <v>317</v>
      </c>
      <c r="Q5" s="114">
        <f>R4</f>
        <v>0.83572315985713541</v>
      </c>
      <c r="R5" s="74">
        <v>0</v>
      </c>
      <c r="S5" s="114">
        <f>Deviation!AG55</f>
        <v>0.3336683998739729</v>
      </c>
      <c r="T5" s="114">
        <f>Deviation!U42</f>
        <v>0.1560274990119804</v>
      </c>
      <c r="U5" s="114">
        <f>Deviation!X25</f>
        <v>0.3919897400594109</v>
      </c>
      <c r="V5" s="114">
        <f>Deviation!AA47</f>
        <v>0.29516054166450578</v>
      </c>
      <c r="W5" s="117">
        <f>Deviation!AD48</f>
        <v>0.21051209850050634</v>
      </c>
      <c r="X5" s="116">
        <f t="shared" ref="X5:X10" si="2">AVERAGE(R5:W5)</f>
        <v>0.23122637985172942</v>
      </c>
      <c r="AD5" s="73" t="s">
        <v>317</v>
      </c>
      <c r="AE5" s="75" t="str">
        <f>AF4</f>
        <v>0,648036843809179 0,835723159857135</v>
      </c>
      <c r="AF5" s="74" t="s">
        <v>234</v>
      </c>
      <c r="AG5" s="75" t="str">
        <f>E5&amp;" "&amp;S5</f>
        <v>0.00427297807319212 0.333668399873973</v>
      </c>
      <c r="AH5" s="75" t="str">
        <f>F5&amp;" "&amp;T5</f>
        <v>0,854496034674221 0,15602749901198</v>
      </c>
      <c r="AI5" s="75" t="str">
        <f>G5&amp;" "&amp;U5</f>
        <v>0.0241536691478604 0.391989740059411</v>
      </c>
      <c r="AJ5" s="75" t="str">
        <f>H5&amp;" "&amp;V5</f>
        <v>0.007060624858114 0.295160541664506</v>
      </c>
      <c r="AK5" s="122" t="str">
        <f>I5&amp;" "&amp;W5</f>
        <v>0.666603476791036 0.210512098500506</v>
      </c>
    </row>
    <row r="6" spans="1:38" ht="78" customHeight="1" x14ac:dyDescent="0.2">
      <c r="B6" s="73" t="s">
        <v>318</v>
      </c>
      <c r="C6" s="114">
        <f>E4</f>
        <v>3.5890341221742044E-3</v>
      </c>
      <c r="D6" s="114">
        <f>E5</f>
        <v>4.2729780731921201E-3</v>
      </c>
      <c r="E6" s="74">
        <v>1</v>
      </c>
      <c r="F6" s="114">
        <f>Deviation!AR42</f>
        <v>1.3386944416902454E-3</v>
      </c>
      <c r="G6" s="114">
        <f>Deviation!BA25</f>
        <v>0.36724369730459738</v>
      </c>
      <c r="H6" s="114">
        <f>Deviation!BG47</f>
        <v>0.44782069230292804</v>
      </c>
      <c r="I6" s="117">
        <f>Deviation!BJ48</f>
        <v>5.8958088630726871E-4</v>
      </c>
      <c r="J6" s="116">
        <f t="shared" si="1"/>
        <v>0.26069352530441275</v>
      </c>
      <c r="K6">
        <v>3</v>
      </c>
      <c r="P6" s="73" t="s">
        <v>318</v>
      </c>
      <c r="Q6" s="114">
        <f>S4</f>
        <v>0.24238557258841725</v>
      </c>
      <c r="R6" s="114">
        <f>S5</f>
        <v>0.3336683998739729</v>
      </c>
      <c r="S6" s="74">
        <v>0</v>
      </c>
      <c r="T6" s="114">
        <f>Deviation!AS42</f>
        <v>0.17057943811041143</v>
      </c>
      <c r="U6" s="114">
        <f>Deviation!BB25</f>
        <v>0.33905282054816077</v>
      </c>
      <c r="V6" s="114">
        <f>Deviation!BH47</f>
        <v>0.14738779645164904</v>
      </c>
      <c r="W6" s="117">
        <f>Deviation!BK48</f>
        <v>0.23012778721880359</v>
      </c>
      <c r="X6" s="116">
        <f t="shared" si="2"/>
        <v>0.20346937370049964</v>
      </c>
      <c r="AD6" s="73" t="s">
        <v>318</v>
      </c>
      <c r="AE6" s="75" t="str">
        <f>AG4</f>
        <v>0.0035890341221742 0.242385572588417</v>
      </c>
      <c r="AF6" s="75" t="str">
        <f>AG5</f>
        <v>0.00427297807319212 0.333668399873973</v>
      </c>
      <c r="AG6" s="74" t="s">
        <v>234</v>
      </c>
      <c r="AH6" s="75" t="str">
        <f>F6&amp;" "&amp;T6</f>
        <v>0,00133869444169025 0,170579438110411</v>
      </c>
      <c r="AI6" s="75" t="str">
        <f>G6&amp;" "&amp;U6</f>
        <v>0.367243697304597 0.339052820548161</v>
      </c>
      <c r="AJ6" s="75" t="str">
        <f>H6&amp;" "&amp;V6</f>
        <v>0.447820692302928 0.147387796451649</v>
      </c>
      <c r="AK6" s="122" t="str">
        <f>I6&amp;" "&amp;W6</f>
        <v>0.000589580886307269 0.230127787218804</v>
      </c>
    </row>
    <row r="7" spans="1:38" ht="49" customHeight="1" x14ac:dyDescent="0.2">
      <c r="B7" s="73" t="s">
        <v>314</v>
      </c>
      <c r="C7" s="114">
        <f>F4</f>
        <v>0.39468055174423317</v>
      </c>
      <c r="D7" s="114">
        <f>F5</f>
        <v>0.85449603467422108</v>
      </c>
      <c r="E7" s="114">
        <f>F6</f>
        <v>1.3386944416902454E-3</v>
      </c>
      <c r="F7" s="74">
        <v>1</v>
      </c>
      <c r="G7" s="114">
        <f>Deviation!AI22</f>
        <v>5.6363845427371086E-2</v>
      </c>
      <c r="H7" s="114">
        <f>Deviation!AL39</f>
        <v>2.5981488017478567E-3</v>
      </c>
      <c r="I7" s="117">
        <f>Deviation!AO37</f>
        <v>0.35258605055753744</v>
      </c>
      <c r="J7" s="116">
        <f t="shared" si="1"/>
        <v>0.38029476080668578</v>
      </c>
      <c r="K7">
        <v>5</v>
      </c>
      <c r="P7" s="73" t="s">
        <v>314</v>
      </c>
      <c r="Q7" s="114">
        <f>T4</f>
        <v>0.32704048589447177</v>
      </c>
      <c r="R7" s="114">
        <f>T5</f>
        <v>0.1560274990119804</v>
      </c>
      <c r="S7" s="114">
        <f>T6</f>
        <v>0.17057943811041143</v>
      </c>
      <c r="T7" s="74">
        <v>0</v>
      </c>
      <c r="U7" s="114">
        <f>Deviation!AJ22</f>
        <v>0.24604011512903495</v>
      </c>
      <c r="V7" s="114">
        <f>Deviation!AM39</f>
        <v>0.21277523699759593</v>
      </c>
      <c r="W7" s="117">
        <f>Deviation!AP37</f>
        <v>0.12926567762411587</v>
      </c>
      <c r="X7" s="116">
        <f t="shared" si="2"/>
        <v>0.15244799447885646</v>
      </c>
      <c r="AD7" s="73" t="s">
        <v>314</v>
      </c>
      <c r="AE7" s="75" t="str">
        <f>AH4</f>
        <v>0,394680551744233 0,327040485894472</v>
      </c>
      <c r="AF7" s="75" t="str">
        <f>AH5</f>
        <v>0,854496034674221 0,15602749901198</v>
      </c>
      <c r="AG7" s="75" t="str">
        <f>AH6</f>
        <v>0,00133869444169025 0,170579438110411</v>
      </c>
      <c r="AH7" s="74" t="s">
        <v>234</v>
      </c>
      <c r="AI7" s="75" t="str">
        <f>G7&amp;" "&amp;U7</f>
        <v>0,0563638454273711 0,246040115129035</v>
      </c>
      <c r="AJ7" s="75" t="str">
        <f>H7&amp;" "&amp;V7</f>
        <v>0,00259814880174786 0,212775236997596</v>
      </c>
      <c r="AK7" s="122" t="str">
        <f>I7&amp;" "&amp;W7</f>
        <v>0,352586050557537 0,129265677624116</v>
      </c>
    </row>
    <row r="8" spans="1:38" ht="80" customHeight="1" x14ac:dyDescent="0.2">
      <c r="B8" s="73" t="s">
        <v>315</v>
      </c>
      <c r="C8" s="114">
        <f>G4</f>
        <v>2.2865841313669165E-2</v>
      </c>
      <c r="D8" s="114">
        <f>G5</f>
        <v>2.4153669147860442E-2</v>
      </c>
      <c r="E8" s="114">
        <f>G6</f>
        <v>0.36724369730459738</v>
      </c>
      <c r="F8" s="114">
        <f>G7</f>
        <v>5.6363845427371086E-2</v>
      </c>
      <c r="G8" s="74">
        <v>1</v>
      </c>
      <c r="H8" s="114">
        <f>Deviation!AU18</f>
        <v>0.159789649616909</v>
      </c>
      <c r="I8" s="117">
        <f>Deviation!AX19</f>
        <v>3.7283738608881581E-2</v>
      </c>
      <c r="J8" s="116">
        <f t="shared" si="1"/>
        <v>0.23824292020275553</v>
      </c>
      <c r="K8">
        <v>7</v>
      </c>
      <c r="P8" s="73" t="s">
        <v>315</v>
      </c>
      <c r="Q8" s="114">
        <f>U4</f>
        <v>0.26581295447529113</v>
      </c>
      <c r="R8" s="114">
        <f>U5</f>
        <v>0.3919897400594109</v>
      </c>
      <c r="S8" s="114">
        <f>U6</f>
        <v>0.33905282054816077</v>
      </c>
      <c r="T8" s="114">
        <f>U7</f>
        <v>0.24604011512903495</v>
      </c>
      <c r="U8" s="74">
        <v>0</v>
      </c>
      <c r="V8" s="114">
        <f>Deviation!AV18</f>
        <v>0.12872877392293727</v>
      </c>
      <c r="W8" s="117">
        <f>Deviation!AY19</f>
        <v>0.52979366888788559</v>
      </c>
      <c r="X8" s="116">
        <f t="shared" si="2"/>
        <v>0.27260085309123827</v>
      </c>
      <c r="AD8" s="73" t="s">
        <v>315</v>
      </c>
      <c r="AE8" s="75" t="str">
        <f>AI4</f>
        <v>0.0228658413136692 0.265812954475291</v>
      </c>
      <c r="AF8" s="75" t="str">
        <f>AI5</f>
        <v>0.0241536691478604 0.391989740059411</v>
      </c>
      <c r="AG8" s="75" t="str">
        <f>AI6</f>
        <v>0.367243697304597 0.339052820548161</v>
      </c>
      <c r="AH8" s="75" t="str">
        <f>AI7</f>
        <v>0,0563638454273711 0,246040115129035</v>
      </c>
      <c r="AI8" s="74" t="s">
        <v>234</v>
      </c>
      <c r="AJ8" s="75" t="str">
        <f>H8&amp;" "&amp;V8</f>
        <v>0.159789649616909 0.128728773922937</v>
      </c>
      <c r="AK8" s="122" t="str">
        <f>I8&amp;" "&amp;W8</f>
        <v>0.0372837386088816 0.529793668887886</v>
      </c>
      <c r="AL8" s="75"/>
    </row>
    <row r="9" spans="1:38" ht="47" customHeight="1" x14ac:dyDescent="0.2">
      <c r="B9" s="73" t="s">
        <v>302</v>
      </c>
      <c r="C9" s="114">
        <f>H4</f>
        <v>6.4477643859618142E-2</v>
      </c>
      <c r="D9" s="114">
        <f>H5</f>
        <v>7.0606248581140006E-3</v>
      </c>
      <c r="E9" s="114">
        <f>H6</f>
        <v>0.44782069230292804</v>
      </c>
      <c r="F9" s="114">
        <f>H7</f>
        <v>2.5981488017478567E-3</v>
      </c>
      <c r="G9" s="114">
        <f>H8</f>
        <v>0.159789649616909</v>
      </c>
      <c r="H9" s="74">
        <v>1</v>
      </c>
      <c r="I9" s="118">
        <f>Deviation!BD42</f>
        <v>1.5764267593410368E-2</v>
      </c>
      <c r="J9" s="116">
        <f t="shared" si="1"/>
        <v>0.24250157529038963</v>
      </c>
      <c r="K9">
        <v>4</v>
      </c>
      <c r="P9" s="73" t="s">
        <v>302</v>
      </c>
      <c r="Q9" s="114">
        <f>V4</f>
        <v>0.18352580992061573</v>
      </c>
      <c r="R9" s="114">
        <f>V5</f>
        <v>0.29516054166450578</v>
      </c>
      <c r="S9" s="114">
        <f>V6</f>
        <v>0.14738779645164904</v>
      </c>
      <c r="T9" s="114">
        <f>V7</f>
        <v>0.21277523699759593</v>
      </c>
      <c r="U9" s="114">
        <f>V8</f>
        <v>0.12872877392293727</v>
      </c>
      <c r="V9" s="74">
        <v>0</v>
      </c>
      <c r="W9" s="117">
        <f>Deviation!BE42</f>
        <v>0.31479863620314535</v>
      </c>
      <c r="X9" s="116">
        <f t="shared" si="2"/>
        <v>0.18314183087330557</v>
      </c>
      <c r="AD9" s="73" t="s">
        <v>302</v>
      </c>
      <c r="AE9" s="75" t="str">
        <f>AJ4</f>
        <v>0.0644776438596181 0.183525809920616</v>
      </c>
      <c r="AF9" s="75" t="str">
        <f>AJ5</f>
        <v>0.007060624858114 0.295160541664506</v>
      </c>
      <c r="AG9" s="75" t="str">
        <f>AJ6</f>
        <v>0.447820692302928 0.147387796451649</v>
      </c>
      <c r="AH9" s="75" t="str">
        <f>AJ7</f>
        <v>0,00259814880174786 0,212775236997596</v>
      </c>
      <c r="AI9" s="75" t="str">
        <f>AJ8</f>
        <v>0.159789649616909 0.128728773922937</v>
      </c>
      <c r="AJ9" s="74" t="s">
        <v>234</v>
      </c>
      <c r="AK9" s="122" t="str">
        <f>I9&amp;" "&amp;W9</f>
        <v>0.0157642675934104 0.314798636203145</v>
      </c>
    </row>
    <row r="10" spans="1:38" ht="58" customHeight="1" x14ac:dyDescent="0.2">
      <c r="B10" s="73" t="s">
        <v>316</v>
      </c>
      <c r="C10" s="119">
        <f>I4</f>
        <v>0.51384860966671198</v>
      </c>
      <c r="D10" s="120">
        <f>I5</f>
        <v>0.66660347679103571</v>
      </c>
      <c r="E10" s="120">
        <f>I6</f>
        <v>5.8958088630726871E-4</v>
      </c>
      <c r="F10" s="120">
        <f>I7</f>
        <v>0.35258605055753744</v>
      </c>
      <c r="G10" s="120">
        <f>I8</f>
        <v>3.7283738608881581E-2</v>
      </c>
      <c r="H10" s="120">
        <f>I9</f>
        <v>1.5764267593410368E-2</v>
      </c>
      <c r="I10" s="106">
        <v>1</v>
      </c>
      <c r="J10" s="116">
        <f t="shared" si="1"/>
        <v>0.36952510344341205</v>
      </c>
      <c r="K10">
        <v>6</v>
      </c>
      <c r="P10" s="73" t="s">
        <v>316</v>
      </c>
      <c r="Q10" s="119">
        <f>W4</f>
        <v>0.29702566918511114</v>
      </c>
      <c r="R10" s="120">
        <f>W5</f>
        <v>0.21051209850050634</v>
      </c>
      <c r="S10" s="120">
        <f>W6</f>
        <v>0.23012778721880359</v>
      </c>
      <c r="T10" s="120">
        <f>W7</f>
        <v>0.12926567762411587</v>
      </c>
      <c r="U10" s="120">
        <f>W8</f>
        <v>0.52979366888788559</v>
      </c>
      <c r="V10" s="120">
        <f>W9</f>
        <v>0.31479863620314535</v>
      </c>
      <c r="W10" s="106">
        <v>0</v>
      </c>
      <c r="X10" s="116">
        <f t="shared" si="2"/>
        <v>0.23574964473907611</v>
      </c>
      <c r="AD10" s="73" t="s">
        <v>316</v>
      </c>
      <c r="AE10" s="104" t="str">
        <f>AK4</f>
        <v>0.513848609666712 0.297025669185111</v>
      </c>
      <c r="AF10" s="105" t="str">
        <f>AK5</f>
        <v>0.666603476791036 0.210512098500506</v>
      </c>
      <c r="AG10" s="105" t="str">
        <f>AK6</f>
        <v>0.000589580886307269 0.230127787218804</v>
      </c>
      <c r="AH10" s="105" t="str">
        <f>AK7</f>
        <v>0,352586050557537 0,129265677624116</v>
      </c>
      <c r="AI10" s="105" t="str">
        <f>AK8</f>
        <v>0.0372837386088816 0.529793668887886</v>
      </c>
      <c r="AJ10" s="105" t="str">
        <f>AK9</f>
        <v>0.0157642675934104 0.314798636203145</v>
      </c>
      <c r="AK10" s="106" t="s">
        <v>234</v>
      </c>
    </row>
    <row r="12" spans="1:38" ht="17" x14ac:dyDescent="0.2">
      <c r="B12" s="79" t="s">
        <v>237</v>
      </c>
      <c r="C12" s="116">
        <f t="shared" ref="C12:I12" si="3">AVERAGE(C4:C10)</f>
        <v>0.37821407493079801</v>
      </c>
      <c r="D12" s="116">
        <f t="shared" si="3"/>
        <v>0.45780337533622895</v>
      </c>
      <c r="E12" s="116">
        <f t="shared" si="3"/>
        <v>0.26069352530441275</v>
      </c>
      <c r="F12" s="116">
        <f t="shared" si="3"/>
        <v>0.38029476080668578</v>
      </c>
      <c r="G12" s="116">
        <f t="shared" si="3"/>
        <v>0.23824292020275553</v>
      </c>
      <c r="H12" s="116">
        <f t="shared" si="3"/>
        <v>0.24250157529038963</v>
      </c>
      <c r="I12" s="116">
        <f t="shared" si="3"/>
        <v>0.36952510344341205</v>
      </c>
      <c r="P12" s="79" t="s">
        <v>237</v>
      </c>
      <c r="Q12" s="116">
        <f>X4</f>
        <v>0.35858560865350708</v>
      </c>
      <c r="R12" s="116">
        <f>X5</f>
        <v>0.23122637985172942</v>
      </c>
      <c r="S12" s="116">
        <f>X6</f>
        <v>0.20346937370049964</v>
      </c>
      <c r="T12" s="116">
        <f>X7</f>
        <v>0.15244799447885646</v>
      </c>
      <c r="U12" s="116">
        <f>X8</f>
        <v>0.27260085309123827</v>
      </c>
      <c r="V12" s="116">
        <f>X9</f>
        <v>0.18314183087330557</v>
      </c>
      <c r="W12" s="116">
        <f>X10</f>
        <v>0.23574964473907611</v>
      </c>
    </row>
    <row r="14" spans="1:38" ht="17" x14ac:dyDescent="0.2">
      <c r="B14" s="79" t="s">
        <v>284</v>
      </c>
      <c r="C14" s="116">
        <f>AVERAGE(C12:I12)</f>
        <v>0.33246790504495471</v>
      </c>
      <c r="P14" s="79" t="s">
        <v>284</v>
      </c>
      <c r="Q14" s="116">
        <f>AVERAGE(Q12:W12)</f>
        <v>0.23388881219831606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BCAB-C38F-1A4A-97BD-8AE7B86F6912}">
  <sheetPr filterMode="1"/>
  <dimension ref="A1:I51"/>
  <sheetViews>
    <sheetView topLeftCell="I1" workbookViewId="0">
      <selection activeCell="AA24" sqref="AA24"/>
    </sheetView>
  </sheetViews>
  <sheetFormatPr baseColWidth="10" defaultRowHeight="16" x14ac:dyDescent="0.2"/>
  <cols>
    <col min="1" max="1" width="33.6640625" customWidth="1"/>
    <col min="2" max="2" width="35.33203125" customWidth="1"/>
    <col min="3" max="3" width="38.83203125" customWidth="1"/>
    <col min="4" max="4" width="30.5" customWidth="1"/>
    <col min="5" max="5" width="34.6640625" customWidth="1"/>
    <col min="6" max="6" width="19.6640625" customWidth="1"/>
    <col min="7" max="7" width="28.83203125" customWidth="1"/>
    <col min="8" max="8" width="25.6640625" customWidth="1"/>
    <col min="9" max="9" width="42.5" customWidth="1"/>
  </cols>
  <sheetData>
    <row r="1" spans="1:9" ht="17" thickBot="1" x14ac:dyDescent="0.25">
      <c r="A1" s="147" t="s">
        <v>154</v>
      </c>
      <c r="B1" s="145" t="s">
        <v>300</v>
      </c>
      <c r="C1" s="145" t="s">
        <v>298</v>
      </c>
      <c r="D1" s="145" t="s">
        <v>304</v>
      </c>
      <c r="E1" s="145" t="s">
        <v>299</v>
      </c>
      <c r="F1" s="146" t="s">
        <v>301</v>
      </c>
      <c r="G1" s="145" t="s">
        <v>302</v>
      </c>
      <c r="H1" s="145" t="s">
        <v>303</v>
      </c>
      <c r="I1" s="145" t="s">
        <v>325</v>
      </c>
    </row>
    <row r="2" spans="1:9" ht="17" hidden="1" thickBot="1" x14ac:dyDescent="0.25">
      <c r="A2" s="148"/>
      <c r="B2" s="146"/>
      <c r="C2" s="146"/>
      <c r="D2" s="146"/>
      <c r="E2" s="146"/>
      <c r="F2" s="146"/>
      <c r="G2" s="146"/>
      <c r="H2" s="146"/>
      <c r="I2" s="146"/>
    </row>
    <row r="3" spans="1:9" x14ac:dyDescent="0.2">
      <c r="A3" s="143" t="s">
        <v>128</v>
      </c>
      <c r="B3" s="123">
        <v>1.4973628691983123E-2</v>
      </c>
      <c r="C3" s="123">
        <v>2.1225701943844488E-2</v>
      </c>
      <c r="D3" s="123">
        <v>1.8266666666666667E-2</v>
      </c>
      <c r="E3" s="123"/>
      <c r="F3" s="123"/>
      <c r="G3" s="123">
        <v>1.4454743795292326E-2</v>
      </c>
      <c r="H3" s="123">
        <v>1.9E-2</v>
      </c>
      <c r="I3" s="111" t="s">
        <v>327</v>
      </c>
    </row>
    <row r="4" spans="1:9" x14ac:dyDescent="0.2">
      <c r="A4" s="68" t="s">
        <v>121</v>
      </c>
      <c r="B4" s="123">
        <v>1.7155601303825697E-2</v>
      </c>
      <c r="C4" s="123">
        <v>2.7400793011185975E-2</v>
      </c>
      <c r="D4" s="123">
        <v>2.2388059701492536E-2</v>
      </c>
      <c r="E4" s="123">
        <v>2.1596015602333905E-2</v>
      </c>
      <c r="F4" s="123"/>
      <c r="G4" s="123">
        <v>2.0842312585967006E-2</v>
      </c>
      <c r="H4" s="123">
        <v>2.3912834987313801E-2</v>
      </c>
      <c r="I4" s="111" t="s">
        <v>327</v>
      </c>
    </row>
    <row r="5" spans="1:9" x14ac:dyDescent="0.2">
      <c r="A5" s="68" t="s">
        <v>120</v>
      </c>
      <c r="B5" s="123">
        <v>1.8335862417804754E-2</v>
      </c>
      <c r="C5" s="123">
        <v>2.6618581487205903E-2</v>
      </c>
      <c r="D5" s="123">
        <v>2.0933333333333335E-2</v>
      </c>
      <c r="E5" s="123">
        <v>2.1738279237506441E-2</v>
      </c>
      <c r="F5" s="123">
        <v>1.9310691354613139E-2</v>
      </c>
      <c r="G5" s="123">
        <v>1.9808164212606581E-2</v>
      </c>
      <c r="H5" s="123">
        <v>2.11365784332311E-2</v>
      </c>
      <c r="I5" s="111" t="s">
        <v>327</v>
      </c>
    </row>
    <row r="6" spans="1:9" x14ac:dyDescent="0.2">
      <c r="A6" s="68" t="s">
        <v>119</v>
      </c>
      <c r="B6" s="123">
        <v>1.3905139814485087E-2</v>
      </c>
      <c r="C6" s="123">
        <v>2.1683263732733694E-2</v>
      </c>
      <c r="D6" s="123">
        <v>1.7575757575757574E-2</v>
      </c>
      <c r="E6" s="123"/>
      <c r="F6" s="123"/>
      <c r="G6" s="123">
        <v>1.5173537318064468E-2</v>
      </c>
      <c r="H6" s="123">
        <v>1.8194732838307477E-2</v>
      </c>
      <c r="I6" s="111" t="s">
        <v>327</v>
      </c>
    </row>
    <row r="7" spans="1:9" x14ac:dyDescent="0.2">
      <c r="A7" s="68" t="s">
        <v>118</v>
      </c>
      <c r="B7" s="123">
        <v>1.7757516552697274E-2</v>
      </c>
      <c r="C7" s="123">
        <v>2.0134013016575303E-2</v>
      </c>
      <c r="D7" s="123">
        <v>1.6108108108108109E-2</v>
      </c>
      <c r="E7" s="123">
        <v>2.1769100060915009E-2</v>
      </c>
      <c r="F7" s="123"/>
      <c r="G7" s="123">
        <v>1.962226134258228E-2</v>
      </c>
      <c r="H7" s="123">
        <v>2.023519258185745E-2</v>
      </c>
      <c r="I7" s="111" t="s">
        <v>327</v>
      </c>
    </row>
    <row r="8" spans="1:9" x14ac:dyDescent="0.2">
      <c r="A8" s="68" t="s">
        <v>117</v>
      </c>
      <c r="B8" s="123">
        <v>1.514441951440002E-2</v>
      </c>
      <c r="C8" s="123">
        <v>2.0367620948433311E-2</v>
      </c>
      <c r="D8" s="123">
        <v>1.7184466019417477E-2</v>
      </c>
      <c r="E8" s="123"/>
      <c r="F8" s="123"/>
      <c r="G8" s="123">
        <v>1.4399446119038739E-2</v>
      </c>
      <c r="H8" s="123">
        <v>1.7742375727119331E-2</v>
      </c>
      <c r="I8" s="111" t="s">
        <v>327</v>
      </c>
    </row>
    <row r="9" spans="1:9" hidden="1" x14ac:dyDescent="0.2">
      <c r="A9" s="68" t="s">
        <v>116</v>
      </c>
      <c r="B9" s="123">
        <v>2.0380980712360799E-2</v>
      </c>
      <c r="C9" s="123">
        <v>3.409633350760348E-2</v>
      </c>
      <c r="D9" s="123">
        <v>3.0121951219512194E-2</v>
      </c>
      <c r="E9" s="123">
        <v>2.7488558785867451E-2</v>
      </c>
      <c r="F9" s="123">
        <v>2.5004961622810521E-2</v>
      </c>
      <c r="G9" s="123">
        <v>3.1136511210591595E-2</v>
      </c>
      <c r="H9" s="123">
        <v>3.1099999999999999E-2</v>
      </c>
      <c r="I9" s="111" t="s">
        <v>328</v>
      </c>
    </row>
    <row r="10" spans="1:9" hidden="1" x14ac:dyDescent="0.2">
      <c r="A10" s="68" t="s">
        <v>115</v>
      </c>
      <c r="B10" s="123">
        <v>1.502087832973362E-2</v>
      </c>
      <c r="C10" s="123">
        <v>2.8917950710000428E-2</v>
      </c>
      <c r="D10" s="123">
        <v>2.5266666666666666E-2</v>
      </c>
      <c r="E10" s="123">
        <v>2.1721610773015668E-2</v>
      </c>
      <c r="F10" s="123">
        <v>2.0504068530704626E-2</v>
      </c>
      <c r="G10" s="123">
        <v>2.6331405352900066E-2</v>
      </c>
      <c r="H10" s="123">
        <v>2.98E-2</v>
      </c>
      <c r="I10" s="111" t="s">
        <v>328</v>
      </c>
    </row>
    <row r="11" spans="1:9" hidden="1" x14ac:dyDescent="0.2">
      <c r="A11" s="68" t="s">
        <v>109</v>
      </c>
      <c r="B11" s="123">
        <v>1.8014143284121684E-2</v>
      </c>
      <c r="C11" s="123">
        <v>2.4786426564698302E-2</v>
      </c>
      <c r="D11" s="123">
        <v>2.2285714285714284E-2</v>
      </c>
      <c r="E11" s="123">
        <v>1.8797049738978052E-2</v>
      </c>
      <c r="F11" s="123"/>
      <c r="G11" s="123">
        <v>2.4326911959472754E-2</v>
      </c>
      <c r="H11" s="123">
        <v>2.4487041036717064E-2</v>
      </c>
      <c r="I11" s="111" t="s">
        <v>328</v>
      </c>
    </row>
    <row r="12" spans="1:9" hidden="1" x14ac:dyDescent="0.2">
      <c r="A12" s="68" t="s">
        <v>106</v>
      </c>
      <c r="B12" s="123">
        <v>2.0569484875992528E-2</v>
      </c>
      <c r="C12" s="123">
        <v>2.9532674104790813E-2</v>
      </c>
      <c r="D12" s="123">
        <v>2.6834782608695651E-2</v>
      </c>
      <c r="E12" s="123">
        <v>2.5951020203359699E-2</v>
      </c>
      <c r="F12" s="123"/>
      <c r="G12" s="123">
        <v>2.9207794641665907E-2</v>
      </c>
      <c r="H12" s="123">
        <v>2.5558935135541826E-2</v>
      </c>
      <c r="I12" s="111" t="s">
        <v>328</v>
      </c>
    </row>
    <row r="13" spans="1:9" hidden="1" x14ac:dyDescent="0.2">
      <c r="A13" s="68" t="s">
        <v>104</v>
      </c>
      <c r="B13" s="123">
        <v>2.6129943502824857E-2</v>
      </c>
      <c r="C13" s="123">
        <v>4.0849673202614387E-2</v>
      </c>
      <c r="D13" s="123">
        <v>3.1875000000000001E-2</v>
      </c>
      <c r="E13" s="123">
        <v>3.3870829033367737E-2</v>
      </c>
      <c r="F13" s="123">
        <v>1.5885416666666669E-2</v>
      </c>
      <c r="G13" s="123"/>
      <c r="H13" s="123">
        <v>2.6249999999999999E-2</v>
      </c>
      <c r="I13" s="111" t="s">
        <v>326</v>
      </c>
    </row>
    <row r="14" spans="1:9" hidden="1" x14ac:dyDescent="0.2">
      <c r="A14" s="68" t="s">
        <v>102</v>
      </c>
      <c r="B14" s="123">
        <v>2.0415385034161744E-2</v>
      </c>
      <c r="C14" s="123">
        <v>3.1762164909160215E-2</v>
      </c>
      <c r="D14" s="123">
        <v>2.1911764705882353E-2</v>
      </c>
      <c r="E14" s="123">
        <v>2.7779189429551519E-2</v>
      </c>
      <c r="F14" s="123">
        <v>1.076470588235294E-2</v>
      </c>
      <c r="G14" s="123"/>
      <c r="H14" s="123">
        <v>1.9722222222222221E-2</v>
      </c>
      <c r="I14" s="111" t="s">
        <v>326</v>
      </c>
    </row>
    <row r="15" spans="1:9" hidden="1" x14ac:dyDescent="0.2">
      <c r="A15" s="68" t="s">
        <v>100</v>
      </c>
      <c r="B15" s="123">
        <v>3.5087719298245612E-2</v>
      </c>
      <c r="C15" s="123">
        <v>7.9802069275753479E-2</v>
      </c>
      <c r="D15" s="123">
        <v>2.1052631578947368E-2</v>
      </c>
      <c r="E15" s="123"/>
      <c r="F15" s="123"/>
      <c r="G15" s="123"/>
      <c r="H15" s="123">
        <v>5.2777732668604554E-2</v>
      </c>
      <c r="I15" s="111" t="s">
        <v>326</v>
      </c>
    </row>
    <row r="16" spans="1:9" x14ac:dyDescent="0.2">
      <c r="A16" s="68" t="s">
        <v>98</v>
      </c>
      <c r="B16" s="123">
        <v>2.2289987206081458E-2</v>
      </c>
      <c r="C16" s="123">
        <v>4.0145071456327446E-2</v>
      </c>
      <c r="D16" s="123">
        <v>2.5754716981132075E-2</v>
      </c>
      <c r="E16" s="123">
        <v>3.1029748283752861E-2</v>
      </c>
      <c r="F16" s="123"/>
      <c r="G16" s="123">
        <v>1.277511049732645E-2</v>
      </c>
      <c r="H16" s="123"/>
      <c r="I16" s="111" t="s">
        <v>327</v>
      </c>
    </row>
    <row r="17" spans="1:9" x14ac:dyDescent="0.2">
      <c r="A17" s="68" t="s">
        <v>157</v>
      </c>
      <c r="B17" s="123">
        <v>1.5381437835141541E-2</v>
      </c>
      <c r="C17" s="123">
        <v>2.127985068918567E-2</v>
      </c>
      <c r="D17" s="123">
        <v>1.7469135802469136E-2</v>
      </c>
      <c r="E17" s="123">
        <v>2.0479472312736804E-2</v>
      </c>
      <c r="F17" s="123"/>
      <c r="G17" s="123">
        <v>1.7096347711813648E-2</v>
      </c>
      <c r="H17" s="123">
        <v>1.8466149558172211E-2</v>
      </c>
      <c r="I17" s="111" t="s">
        <v>327</v>
      </c>
    </row>
    <row r="18" spans="1:9" x14ac:dyDescent="0.2">
      <c r="A18" s="68" t="s">
        <v>95</v>
      </c>
      <c r="B18" s="123">
        <v>1.5166712466794907E-2</v>
      </c>
      <c r="C18" s="123">
        <v>2.079073674106071E-2</v>
      </c>
      <c r="D18" s="123">
        <v>1.6944444444444443E-2</v>
      </c>
      <c r="E18" s="123">
        <v>1.94016558675306E-2</v>
      </c>
      <c r="F18" s="123"/>
      <c r="G18" s="123">
        <v>1.654243077155056E-2</v>
      </c>
      <c r="H18" s="123">
        <v>1.84931822011879E-2</v>
      </c>
      <c r="I18" s="111" t="s">
        <v>327</v>
      </c>
    </row>
    <row r="19" spans="1:9" x14ac:dyDescent="0.2">
      <c r="A19" s="68" t="s">
        <v>91</v>
      </c>
      <c r="B19" s="123">
        <v>2.1640826873385012E-2</v>
      </c>
      <c r="C19" s="123">
        <v>2.9832869466483888E-2</v>
      </c>
      <c r="D19" s="123">
        <v>2.2777777777777779E-2</v>
      </c>
      <c r="E19" s="123">
        <v>2.7905398856256664E-2</v>
      </c>
      <c r="F19" s="123">
        <v>2.3527383546380294E-2</v>
      </c>
      <c r="G19" s="123">
        <v>2.1505421768622586E-2</v>
      </c>
      <c r="H19" s="123">
        <v>2.7698412698412701E-2</v>
      </c>
      <c r="I19" s="111" t="s">
        <v>327</v>
      </c>
    </row>
    <row r="20" spans="1:9" x14ac:dyDescent="0.2">
      <c r="A20" s="68" t="s">
        <v>87</v>
      </c>
      <c r="B20" s="123">
        <v>2.2312131849824477E-2</v>
      </c>
      <c r="C20" s="123">
        <v>3.1255350513440486E-2</v>
      </c>
      <c r="D20" s="123">
        <v>2.3537414965986395E-2</v>
      </c>
      <c r="E20" s="123">
        <v>2.6013204545169817E-2</v>
      </c>
      <c r="F20" s="123">
        <v>2.0166328754040251E-2</v>
      </c>
      <c r="G20" s="123">
        <v>2.0469488397419605E-2</v>
      </c>
      <c r="H20" s="123"/>
      <c r="I20" s="111" t="s">
        <v>327</v>
      </c>
    </row>
    <row r="21" spans="1:9" x14ac:dyDescent="0.2">
      <c r="A21" s="68" t="s">
        <v>84</v>
      </c>
      <c r="B21" s="123">
        <v>2.3268190542662711E-2</v>
      </c>
      <c r="C21" s="123">
        <v>4.3930021868166212E-2</v>
      </c>
      <c r="D21" s="123">
        <v>3.1909090909090908E-2</v>
      </c>
      <c r="E21" s="123">
        <v>3.1055295220243671E-2</v>
      </c>
      <c r="F21" s="123">
        <v>2.694954842585379E-2</v>
      </c>
      <c r="G21" s="123">
        <v>2.4385836272180196E-2</v>
      </c>
      <c r="H21" s="123"/>
      <c r="I21" s="111" t="s">
        <v>327</v>
      </c>
    </row>
    <row r="22" spans="1:9" x14ac:dyDescent="0.2">
      <c r="A22" s="68" t="s">
        <v>81</v>
      </c>
      <c r="B22" s="123">
        <v>2.0794985497545739E-2</v>
      </c>
      <c r="C22" s="123">
        <v>2.9463719898605838E-2</v>
      </c>
      <c r="D22" s="123">
        <v>2.328125E-2</v>
      </c>
      <c r="E22" s="123">
        <v>2.4817411280101391E-2</v>
      </c>
      <c r="F22" s="123">
        <v>3.0355530448458845E-2</v>
      </c>
      <c r="G22" s="123">
        <v>2.1102979634677506E-2</v>
      </c>
      <c r="H22" s="123">
        <v>2.2408207343412527E-2</v>
      </c>
      <c r="I22" s="111" t="s">
        <v>327</v>
      </c>
    </row>
    <row r="23" spans="1:9" x14ac:dyDescent="0.2">
      <c r="A23" s="68" t="s">
        <v>79</v>
      </c>
      <c r="B23" s="123">
        <v>1.8957909029192123E-2</v>
      </c>
      <c r="C23" s="123">
        <v>2.7139999999999991E-2</v>
      </c>
      <c r="D23" s="123">
        <v>2.1187500000000001E-2</v>
      </c>
      <c r="E23" s="123">
        <v>2.1632000000000002E-2</v>
      </c>
      <c r="F23" s="123">
        <v>2.4284424358767077E-2</v>
      </c>
      <c r="G23" s="123">
        <v>1.9335959540771976E-2</v>
      </c>
      <c r="H23" s="123">
        <v>1.9546436285097193E-2</v>
      </c>
      <c r="I23" s="111" t="s">
        <v>327</v>
      </c>
    </row>
    <row r="24" spans="1:9" x14ac:dyDescent="0.2">
      <c r="A24" s="68" t="s">
        <v>77</v>
      </c>
      <c r="B24" s="123">
        <v>1.7824956503039901E-2</v>
      </c>
      <c r="C24" s="123">
        <v>1.7780441971421951E-2</v>
      </c>
      <c r="D24" s="123">
        <v>1.3785310734463277E-2</v>
      </c>
      <c r="E24" s="123">
        <v>2.0470158997449694E-2</v>
      </c>
      <c r="F24" s="123"/>
      <c r="G24" s="123">
        <v>1.6927057579567518E-2</v>
      </c>
      <c r="H24" s="123">
        <v>1.9006479481641469E-2</v>
      </c>
      <c r="I24" s="111" t="s">
        <v>327</v>
      </c>
    </row>
    <row r="25" spans="1:9" hidden="1" x14ac:dyDescent="0.2">
      <c r="A25" s="68" t="s">
        <v>74</v>
      </c>
      <c r="B25" s="123">
        <v>2.2613256308908484E-2</v>
      </c>
      <c r="C25" s="123">
        <v>3.4299723455352593E-2</v>
      </c>
      <c r="D25" s="123">
        <v>3.09375E-2</v>
      </c>
      <c r="E25" s="123">
        <v>2.675983370933702E-2</v>
      </c>
      <c r="F25" s="123">
        <v>3.1292904344961785E-2</v>
      </c>
      <c r="G25" s="123">
        <v>3.0998428062404364E-2</v>
      </c>
      <c r="H25" s="123">
        <v>2.6700863930885527E-2</v>
      </c>
      <c r="I25" s="111" t="s">
        <v>328</v>
      </c>
    </row>
    <row r="26" spans="1:9" x14ac:dyDescent="0.2">
      <c r="A26" s="68" t="s">
        <v>68</v>
      </c>
      <c r="B26" s="123">
        <v>2.1864877371587231E-2</v>
      </c>
      <c r="C26" s="123">
        <v>2.9391344596158289E-2</v>
      </c>
      <c r="D26" s="123">
        <v>2.3700000000000002E-2</v>
      </c>
      <c r="E26" s="123">
        <v>2.4276556352696134E-2</v>
      </c>
      <c r="F26" s="123">
        <v>2.0687181572734151E-2</v>
      </c>
      <c r="G26" s="123">
        <v>2.1869181912474379E-2</v>
      </c>
      <c r="H26" s="123">
        <v>1.8574514038876888E-2</v>
      </c>
      <c r="I26" s="111" t="s">
        <v>327</v>
      </c>
    </row>
    <row r="27" spans="1:9" hidden="1" x14ac:dyDescent="0.2">
      <c r="A27" s="68" t="s">
        <v>0</v>
      </c>
      <c r="B27" s="123">
        <v>1.8771550362775787E-2</v>
      </c>
      <c r="C27" s="123">
        <v>2.9373302394186319E-2</v>
      </c>
      <c r="D27" s="123">
        <v>2.3409961685823755E-2</v>
      </c>
      <c r="E27" s="123">
        <v>2.4249042145593872E-2</v>
      </c>
      <c r="F27" s="123">
        <v>2.1776550110563196E-2</v>
      </c>
      <c r="G27" s="123">
        <v>2.550425584500297E-2</v>
      </c>
      <c r="H27" s="123">
        <v>2.0500359971202305E-2</v>
      </c>
      <c r="I27" s="111" t="s">
        <v>328</v>
      </c>
    </row>
    <row r="28" spans="1:9" hidden="1" x14ac:dyDescent="0.2">
      <c r="A28" s="68" t="s">
        <v>61</v>
      </c>
      <c r="B28" s="123">
        <v>2.0865347769781356E-2</v>
      </c>
      <c r="C28" s="123">
        <v>2.7980430864303487E-2</v>
      </c>
      <c r="D28" s="123">
        <v>2.3704918032786886E-2</v>
      </c>
      <c r="E28" s="123">
        <v>2.490612393785941E-2</v>
      </c>
      <c r="F28" s="123"/>
      <c r="G28" s="123">
        <v>2.7022516690302818E-2</v>
      </c>
      <c r="H28" s="123">
        <v>2.2393442622950819E-2</v>
      </c>
      <c r="I28" s="111" t="s">
        <v>328</v>
      </c>
    </row>
    <row r="29" spans="1:9" hidden="1" x14ac:dyDescent="0.2">
      <c r="A29" s="68" t="s">
        <v>60</v>
      </c>
      <c r="B29" s="123">
        <v>2.0947588654360551E-2</v>
      </c>
      <c r="C29" s="123">
        <v>2.4164068982530103E-2</v>
      </c>
      <c r="D29" s="123">
        <v>2.0295081967213115E-2</v>
      </c>
      <c r="E29" s="123">
        <v>2.5031396470139716E-2</v>
      </c>
      <c r="F29" s="123"/>
      <c r="G29" s="123">
        <v>2.6621315134700074E-2</v>
      </c>
      <c r="H29" s="123">
        <v>2.3122923588039867E-2</v>
      </c>
      <c r="I29" s="111" t="s">
        <v>328</v>
      </c>
    </row>
    <row r="30" spans="1:9" hidden="1" x14ac:dyDescent="0.2">
      <c r="A30" s="68" t="s">
        <v>56</v>
      </c>
      <c r="B30" s="123">
        <v>2.1158501129156581E-2</v>
      </c>
      <c r="C30" s="123">
        <v>2.9614167606309725E-2</v>
      </c>
      <c r="D30" s="123">
        <v>2.6602739726027398E-2</v>
      </c>
      <c r="E30" s="123">
        <v>2.6364108106420914E-2</v>
      </c>
      <c r="F30" s="123"/>
      <c r="G30" s="123">
        <v>2.7091113995536553E-2</v>
      </c>
      <c r="H30" s="123">
        <v>2.1814254859611231E-2</v>
      </c>
      <c r="I30" s="111" t="s">
        <v>328</v>
      </c>
    </row>
    <row r="31" spans="1:9" hidden="1" x14ac:dyDescent="0.2">
      <c r="A31" s="68" t="s">
        <v>54</v>
      </c>
      <c r="B31" s="123">
        <v>1.9124641592174061E-2</v>
      </c>
      <c r="C31" s="123">
        <v>2.7141855698876925E-2</v>
      </c>
      <c r="D31" s="123">
        <v>2.4297520661157024E-2</v>
      </c>
      <c r="E31" s="123">
        <v>2.2908286044854953E-2</v>
      </c>
      <c r="F31" s="123"/>
      <c r="G31" s="123">
        <v>2.435066770491438E-2</v>
      </c>
      <c r="H31" s="123">
        <v>2.1451372125524074E-2</v>
      </c>
      <c r="I31" s="111" t="s">
        <v>328</v>
      </c>
    </row>
    <row r="32" spans="1:9" hidden="1" x14ac:dyDescent="0.2">
      <c r="A32" s="68" t="s">
        <v>53</v>
      </c>
      <c r="B32" s="123">
        <v>1.822785285520246E-2</v>
      </c>
      <c r="C32" s="123">
        <v>2.5762319581407563E-2</v>
      </c>
      <c r="D32" s="123">
        <v>2.296551724137931E-2</v>
      </c>
      <c r="E32" s="123">
        <v>2.0555472726885477E-2</v>
      </c>
      <c r="F32" s="123"/>
      <c r="G32" s="123">
        <v>2.3010585738148896E-2</v>
      </c>
      <c r="H32" s="123">
        <v>2.4673599331252519E-2</v>
      </c>
      <c r="I32" s="111" t="s">
        <v>328</v>
      </c>
    </row>
    <row r="33" spans="1:9" x14ac:dyDescent="0.2">
      <c r="A33" s="68" t="s">
        <v>48</v>
      </c>
      <c r="B33" s="123">
        <v>1.937711609657311E-2</v>
      </c>
      <c r="C33" s="123">
        <v>3.3889803443408938E-2</v>
      </c>
      <c r="D33" s="123">
        <v>2.3636363636363636E-2</v>
      </c>
      <c r="E33" s="123">
        <v>3.0674194176674149E-2</v>
      </c>
      <c r="F33" s="123">
        <v>2.4063292725679707E-2</v>
      </c>
      <c r="G33" s="123">
        <v>2.2928504088358195E-2</v>
      </c>
      <c r="H33" s="123"/>
      <c r="I33" s="111" t="s">
        <v>327</v>
      </c>
    </row>
    <row r="34" spans="1:9" x14ac:dyDescent="0.2">
      <c r="A34" s="68" t="s">
        <v>159</v>
      </c>
      <c r="B34" s="123">
        <v>2.1346886912325287E-2</v>
      </c>
      <c r="C34" s="123">
        <v>4.6732090284592728E-2</v>
      </c>
      <c r="D34" s="123">
        <v>1.1399999999999999E-2</v>
      </c>
      <c r="E34" s="123"/>
      <c r="F34" s="123"/>
      <c r="G34" s="123">
        <v>1.8964041321593437E-2</v>
      </c>
      <c r="H34" s="123">
        <v>3.7400000000000003E-2</v>
      </c>
      <c r="I34" s="111" t="s">
        <v>327</v>
      </c>
    </row>
    <row r="35" spans="1:9" x14ac:dyDescent="0.2">
      <c r="A35" s="68" t="s">
        <v>158</v>
      </c>
      <c r="B35" s="123">
        <v>2.4224299065420559E-2</v>
      </c>
      <c r="C35" s="123">
        <v>4.4882186616399616E-2</v>
      </c>
      <c r="D35" s="123">
        <v>1.24E-2</v>
      </c>
      <c r="E35" s="123"/>
      <c r="F35" s="123"/>
      <c r="G35" s="123">
        <v>1.8943503525986907E-2</v>
      </c>
      <c r="H35" s="123">
        <v>3.6000000000000004E-2</v>
      </c>
      <c r="I35" s="111" t="s">
        <v>327</v>
      </c>
    </row>
    <row r="36" spans="1:9" x14ac:dyDescent="0.2">
      <c r="A36" s="68" t="s">
        <v>39</v>
      </c>
      <c r="B36" s="123">
        <v>2.0345707870697873E-2</v>
      </c>
      <c r="C36" s="123">
        <v>3.4518447252955498E-2</v>
      </c>
      <c r="D36" s="123">
        <v>1.9358974358974358E-2</v>
      </c>
      <c r="E36" s="123"/>
      <c r="F36" s="123"/>
      <c r="G36" s="123">
        <v>1.8797915196435474E-2</v>
      </c>
      <c r="H36" s="123">
        <v>3.5230057223718962E-2</v>
      </c>
      <c r="I36" s="111" t="s">
        <v>327</v>
      </c>
    </row>
    <row r="37" spans="1:9" x14ac:dyDescent="0.2">
      <c r="A37" s="68" t="s">
        <v>37</v>
      </c>
      <c r="B37" s="123">
        <v>1.9816118935837245E-2</v>
      </c>
      <c r="C37" s="123">
        <v>3.7942771431868014E-2</v>
      </c>
      <c r="D37" s="123">
        <v>2.2555555555555554E-2</v>
      </c>
      <c r="E37" s="123">
        <v>2.859005422868351E-2</v>
      </c>
      <c r="F37" s="123"/>
      <c r="G37" s="123">
        <v>1.8626311532869602E-2</v>
      </c>
      <c r="H37" s="123">
        <v>3.3170583683490948E-2</v>
      </c>
      <c r="I37" s="111" t="s">
        <v>327</v>
      </c>
    </row>
    <row r="38" spans="1:9" x14ac:dyDescent="0.2">
      <c r="A38" s="68" t="s">
        <v>35</v>
      </c>
      <c r="B38" s="123">
        <v>1.743908265647396E-2</v>
      </c>
      <c r="C38" s="123">
        <v>2.8071557155715562E-2</v>
      </c>
      <c r="D38" s="123">
        <v>1.8173076923076924E-2</v>
      </c>
      <c r="E38" s="123"/>
      <c r="F38" s="123"/>
      <c r="G38" s="123">
        <v>1.7362786693673686E-2</v>
      </c>
      <c r="H38" s="123">
        <v>2.6600000000000002E-2</v>
      </c>
      <c r="I38" s="111" t="s">
        <v>327</v>
      </c>
    </row>
    <row r="39" spans="1:9" hidden="1" x14ac:dyDescent="0.2">
      <c r="A39" s="68" t="s">
        <v>34</v>
      </c>
      <c r="B39" s="123">
        <v>2.6976272046694581E-2</v>
      </c>
      <c r="C39" s="123">
        <v>4.6377911388710544E-2</v>
      </c>
      <c r="D39" s="123">
        <v>7.8378378378378376E-3</v>
      </c>
      <c r="E39" s="123"/>
      <c r="F39" s="123">
        <v>1.6864864864864867E-2</v>
      </c>
      <c r="G39" s="123"/>
      <c r="H39" s="123"/>
      <c r="I39" s="111" t="s">
        <v>326</v>
      </c>
    </row>
    <row r="40" spans="1:9" hidden="1" x14ac:dyDescent="0.2">
      <c r="A40" s="68" t="s">
        <v>44</v>
      </c>
      <c r="B40" s="123">
        <v>1.8964467005076143E-2</v>
      </c>
      <c r="C40" s="123">
        <v>4.4195804195804191E-2</v>
      </c>
      <c r="D40" s="123">
        <v>3.4000000000000002E-3</v>
      </c>
      <c r="E40" s="123"/>
      <c r="F40" s="123">
        <v>1.1818181818181821E-2</v>
      </c>
      <c r="G40" s="123"/>
      <c r="H40" s="123"/>
      <c r="I40" s="111" t="s">
        <v>326</v>
      </c>
    </row>
    <row r="41" spans="1:9" hidden="1" x14ac:dyDescent="0.2">
      <c r="A41" s="68" t="s">
        <v>32</v>
      </c>
      <c r="B41" s="123">
        <v>1.7078213511287424E-2</v>
      </c>
      <c r="C41" s="123">
        <v>2.9719057935565032E-2</v>
      </c>
      <c r="D41" s="123">
        <v>1.3414634146341465E-2</v>
      </c>
      <c r="E41" s="123"/>
      <c r="F41" s="123">
        <v>5.6789224608664E-3</v>
      </c>
      <c r="G41" s="123"/>
      <c r="H41" s="123">
        <v>2.231707317073171E-2</v>
      </c>
      <c r="I41" s="111" t="s">
        <v>326</v>
      </c>
    </row>
    <row r="42" spans="1:9" x14ac:dyDescent="0.2">
      <c r="A42" s="68" t="s">
        <v>26</v>
      </c>
      <c r="B42" s="123">
        <v>2.2850469069351172E-2</v>
      </c>
      <c r="C42" s="123">
        <v>4.4396581671645924E-2</v>
      </c>
      <c r="D42" s="123">
        <v>2.662162162162162E-2</v>
      </c>
      <c r="E42" s="123">
        <v>3.2640867088167859E-2</v>
      </c>
      <c r="F42" s="123"/>
      <c r="G42" s="123">
        <v>2.0893849574731151E-2</v>
      </c>
      <c r="H42" s="123">
        <v>3.3023342529235181E-2</v>
      </c>
      <c r="I42" s="111" t="s">
        <v>327</v>
      </c>
    </row>
    <row r="43" spans="1:9" x14ac:dyDescent="0.2">
      <c r="A43" s="68" t="s">
        <v>25</v>
      </c>
      <c r="B43" s="123">
        <v>2.2657754616517502E-2</v>
      </c>
      <c r="C43" s="123">
        <v>4.0969131878222771E-2</v>
      </c>
      <c r="D43" s="123">
        <v>2.3461538461538461E-2</v>
      </c>
      <c r="E43" s="123">
        <v>3.166066256975348E-2</v>
      </c>
      <c r="F43" s="123"/>
      <c r="G43" s="123">
        <v>2.0982137857828265E-2</v>
      </c>
      <c r="H43" s="123">
        <v>3.1662780679049679E-2</v>
      </c>
      <c r="I43" s="111" t="s">
        <v>327</v>
      </c>
    </row>
    <row r="44" spans="1:9" x14ac:dyDescent="0.2">
      <c r="A44" s="68" t="s">
        <v>23</v>
      </c>
      <c r="B44" s="123">
        <v>2.3912191297530382E-2</v>
      </c>
      <c r="C44" s="123">
        <v>3.8811771238200996E-2</v>
      </c>
      <c r="D44" s="123">
        <v>2.2099999999999998E-2</v>
      </c>
      <c r="E44" s="123">
        <v>3.2252082176568581E-2</v>
      </c>
      <c r="F44" s="123"/>
      <c r="G44" s="123">
        <v>1.6655375787836733E-2</v>
      </c>
      <c r="H44" s="123">
        <v>2.8615069399156777E-2</v>
      </c>
      <c r="I44" s="111" t="s">
        <v>327</v>
      </c>
    </row>
    <row r="45" spans="1:9" x14ac:dyDescent="0.2">
      <c r="A45" s="68" t="s">
        <v>19</v>
      </c>
      <c r="B45" s="123">
        <v>1.9107564347532878E-2</v>
      </c>
      <c r="C45" s="123">
        <v>3.4227939575987125E-2</v>
      </c>
      <c r="D45" s="123">
        <v>1.6451612903225808E-2</v>
      </c>
      <c r="E45" s="123">
        <v>2.7900396151669497E-2</v>
      </c>
      <c r="F45" s="123"/>
      <c r="G45" s="123">
        <v>1.3082963201166111E-2</v>
      </c>
      <c r="H45" s="123">
        <v>2.6515103919099139E-2</v>
      </c>
      <c r="I45" s="111" t="s">
        <v>327</v>
      </c>
    </row>
    <row r="46" spans="1:9" x14ac:dyDescent="0.2">
      <c r="A46" s="68" t="s">
        <v>17</v>
      </c>
      <c r="B46" s="123">
        <v>1.8508486818345972E-2</v>
      </c>
      <c r="C46" s="123">
        <v>2.6367849257874824E-2</v>
      </c>
      <c r="D46" s="123">
        <v>2.0192307692307693E-2</v>
      </c>
      <c r="E46" s="123">
        <v>2.5626981004218858E-2</v>
      </c>
      <c r="F46" s="123"/>
      <c r="G46" s="123">
        <v>1.8428636458143025E-2</v>
      </c>
      <c r="H46" s="123">
        <v>2.3257575757575755E-2</v>
      </c>
      <c r="I46" s="111" t="s">
        <v>327</v>
      </c>
    </row>
    <row r="47" spans="1:9" hidden="1" x14ac:dyDescent="0.2">
      <c r="A47" s="68" t="s">
        <v>15</v>
      </c>
      <c r="B47" s="123">
        <v>2.2059439095856007E-2</v>
      </c>
      <c r="C47" s="123">
        <v>6.2073246430788369E-2</v>
      </c>
      <c r="D47" s="123">
        <v>1.4333333333333333E-2</v>
      </c>
      <c r="E47" s="123">
        <v>5.822594661700807E-2</v>
      </c>
      <c r="F47" s="123">
        <v>1.7770034843205582E-2</v>
      </c>
      <c r="G47" s="123"/>
      <c r="H47" s="123">
        <v>3.0912526997840167E-2</v>
      </c>
      <c r="I47" s="111" t="s">
        <v>326</v>
      </c>
    </row>
    <row r="48" spans="1:9" x14ac:dyDescent="0.2">
      <c r="A48" s="68" t="s">
        <v>11</v>
      </c>
      <c r="B48" s="123">
        <v>2.8077753779697626E-2</v>
      </c>
      <c r="C48" s="123">
        <v>3.9795338260375221E-2</v>
      </c>
      <c r="D48" s="123">
        <v>2.2200000000000001E-2</v>
      </c>
      <c r="E48" s="123">
        <v>3.6604889141557705E-2</v>
      </c>
      <c r="F48" s="123"/>
      <c r="G48" s="123">
        <v>1.9206750491913904E-2</v>
      </c>
      <c r="H48" s="123">
        <v>3.1229503662361938E-2</v>
      </c>
      <c r="I48" s="111" t="s">
        <v>327</v>
      </c>
    </row>
    <row r="49" spans="1:9" x14ac:dyDescent="0.2">
      <c r="A49" s="68" t="s">
        <v>9</v>
      </c>
      <c r="B49" s="123">
        <v>2.2077597957342241E-2</v>
      </c>
      <c r="C49" s="123">
        <v>3.9020390811229357E-2</v>
      </c>
      <c r="D49" s="123">
        <v>2.4020618556701033E-2</v>
      </c>
      <c r="E49" s="123">
        <v>3.3925471559651602E-2</v>
      </c>
      <c r="F49" s="123">
        <v>2.219061544142191E-2</v>
      </c>
      <c r="G49" s="123">
        <v>2.3379662989747387E-2</v>
      </c>
      <c r="H49" s="123"/>
      <c r="I49" s="111" t="s">
        <v>327</v>
      </c>
    </row>
    <row r="50" spans="1:9" hidden="1" x14ac:dyDescent="0.2">
      <c r="A50" s="68" t="s">
        <v>4</v>
      </c>
      <c r="B50" s="123">
        <v>2.6780615158684833E-2</v>
      </c>
      <c r="C50" s="123">
        <v>1.313676835498466E-2</v>
      </c>
      <c r="D50" s="123">
        <v>1.4705882352941176E-3</v>
      </c>
      <c r="E50" s="123"/>
      <c r="F50" s="123"/>
      <c r="G50" s="123"/>
      <c r="H50" s="123">
        <v>2.9805615550755941E-2</v>
      </c>
      <c r="I50" s="111" t="s">
        <v>326</v>
      </c>
    </row>
    <row r="51" spans="1:9" x14ac:dyDescent="0.2">
      <c r="A51" s="68" t="s">
        <v>2</v>
      </c>
      <c r="B51" s="123">
        <v>1.7717478052673583E-2</v>
      </c>
      <c r="C51" s="123">
        <v>4.0692041522491333E-2</v>
      </c>
      <c r="D51" s="123">
        <v>1.9E-2</v>
      </c>
      <c r="E51" s="123"/>
      <c r="F51" s="123"/>
      <c r="G51" s="123">
        <v>1.9923066893285987E-2</v>
      </c>
      <c r="H51" s="123">
        <v>2.8673469387755102E-2</v>
      </c>
      <c r="I51" s="111" t="s">
        <v>327</v>
      </c>
    </row>
  </sheetData>
  <autoFilter ref="A1:I51" xr:uid="{F41FBCAB-C38F-1A4A-97BD-8AE7B86F6912}">
    <filterColumn colId="8">
      <filters>
        <filter val="N"/>
      </filters>
    </filterColumn>
  </autoFilter>
  <mergeCells count="9">
    <mergeCell ref="G1:G2"/>
    <mergeCell ref="H1:H2"/>
    <mergeCell ref="I1:I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71DE-85D5-344C-8973-696D1BC7E648}">
  <dimension ref="A1:J31"/>
  <sheetViews>
    <sheetView zoomScaleNormal="100" workbookViewId="0">
      <selection activeCell="H10" sqref="H10"/>
    </sheetView>
  </sheetViews>
  <sheetFormatPr baseColWidth="10" defaultRowHeight="16" x14ac:dyDescent="0.2"/>
  <cols>
    <col min="1" max="1" width="23.6640625" customWidth="1"/>
    <col min="2" max="2" width="20.83203125" customWidth="1"/>
    <col min="3" max="3" width="20.6640625" customWidth="1"/>
    <col min="4" max="4" width="17.1640625" customWidth="1"/>
    <col min="5" max="5" width="24.6640625" customWidth="1"/>
    <col min="6" max="6" width="15.1640625" customWidth="1"/>
    <col min="7" max="7" width="25.5" customWidth="1"/>
    <col min="8" max="8" width="14.1640625" customWidth="1"/>
    <col min="9" max="9" width="21.5" customWidth="1"/>
  </cols>
  <sheetData>
    <row r="1" spans="1:9" ht="17" thickBot="1" x14ac:dyDescent="0.25">
      <c r="A1" s="156" t="s">
        <v>172</v>
      </c>
      <c r="B1" s="156"/>
      <c r="C1" s="156"/>
      <c r="D1" s="156"/>
      <c r="E1" s="156"/>
      <c r="F1" s="156"/>
    </row>
    <row r="2" spans="1:9" ht="17" thickBot="1" x14ac:dyDescent="0.25">
      <c r="A2" s="151" t="s">
        <v>165</v>
      </c>
      <c r="B2" s="152"/>
      <c r="D2" s="69"/>
      <c r="E2" s="153" t="s">
        <v>166</v>
      </c>
      <c r="F2" s="152"/>
      <c r="I2" s="144" t="s">
        <v>330</v>
      </c>
    </row>
    <row r="3" spans="1:9" x14ac:dyDescent="0.2">
      <c r="A3" s="88" t="s">
        <v>167</v>
      </c>
      <c r="B3" s="92">
        <v>58.82</v>
      </c>
      <c r="D3" s="69"/>
      <c r="E3" s="95" t="s">
        <v>167</v>
      </c>
      <c r="F3" s="69">
        <v>63.66</v>
      </c>
      <c r="I3" t="s">
        <v>329</v>
      </c>
    </row>
    <row r="4" spans="1:9" x14ac:dyDescent="0.2">
      <c r="A4" s="88" t="s">
        <v>168</v>
      </c>
      <c r="B4" s="92">
        <v>5.64</v>
      </c>
      <c r="D4" s="69"/>
      <c r="E4" s="96" t="s">
        <v>168</v>
      </c>
      <c r="F4" s="69">
        <v>5.64</v>
      </c>
    </row>
    <row r="5" spans="1:9" x14ac:dyDescent="0.2">
      <c r="A5" s="88" t="s">
        <v>169</v>
      </c>
      <c r="B5" s="92">
        <v>257</v>
      </c>
      <c r="D5" s="69"/>
      <c r="E5" s="96" t="s">
        <v>169</v>
      </c>
      <c r="F5" s="69">
        <v>280</v>
      </c>
    </row>
    <row r="6" spans="1:9" x14ac:dyDescent="0.2">
      <c r="A6" s="88" t="s">
        <v>239</v>
      </c>
      <c r="B6" s="92">
        <f>B4/2</f>
        <v>2.82</v>
      </c>
      <c r="D6" s="69"/>
      <c r="E6" s="96" t="s">
        <v>239</v>
      </c>
      <c r="F6" s="69">
        <f>F4/2</f>
        <v>2.82</v>
      </c>
    </row>
    <row r="7" spans="1:9" x14ac:dyDescent="0.2">
      <c r="A7" s="88" t="s">
        <v>240</v>
      </c>
      <c r="B7" s="92">
        <f>B6-1</f>
        <v>1.8199999999999998</v>
      </c>
      <c r="D7" s="69"/>
      <c r="E7" s="96" t="s">
        <v>240</v>
      </c>
      <c r="F7" s="69">
        <f>F6-1</f>
        <v>1.8199999999999998</v>
      </c>
    </row>
    <row r="8" spans="1:9" ht="16" customHeight="1" x14ac:dyDescent="0.2">
      <c r="A8" s="88" t="s">
        <v>241</v>
      </c>
      <c r="B8" s="98">
        <f>2*(2*B6*B7-B7^2)^0.5</f>
        <v>5.2734808238961106</v>
      </c>
      <c r="D8" s="69"/>
      <c r="E8" s="96" t="s">
        <v>241</v>
      </c>
      <c r="F8" s="99">
        <f>2*(2*F6*F7-F7^2)^0.5</f>
        <v>5.2734808238961106</v>
      </c>
    </row>
    <row r="9" spans="1:9" ht="17" thickBot="1" x14ac:dyDescent="0.25">
      <c r="A9" s="90" t="s">
        <v>242</v>
      </c>
      <c r="B9" s="100">
        <f>B3-4-1.6*B4</f>
        <v>45.795999999999999</v>
      </c>
      <c r="D9" s="69"/>
      <c r="E9" s="97" t="s">
        <v>242</v>
      </c>
      <c r="F9" s="101">
        <f>F3-4-1.6*F4</f>
        <v>50.635999999999996</v>
      </c>
    </row>
    <row r="10" spans="1:9" ht="17" thickBot="1" x14ac:dyDescent="0.25"/>
    <row r="11" spans="1:9" ht="17" thickBot="1" x14ac:dyDescent="0.25">
      <c r="A11" s="154" t="s">
        <v>243</v>
      </c>
      <c r="B11" s="154"/>
      <c r="C11" s="154"/>
      <c r="D11" s="154"/>
      <c r="E11" s="155"/>
    </row>
    <row r="12" spans="1:9" x14ac:dyDescent="0.2">
      <c r="A12" s="86"/>
      <c r="B12" s="91"/>
      <c r="C12" s="91"/>
      <c r="D12" s="91"/>
      <c r="E12" s="69"/>
    </row>
    <row r="13" spans="1:9" x14ac:dyDescent="0.2">
      <c r="A13" s="88" t="s">
        <v>170</v>
      </c>
      <c r="B13" s="92">
        <f>B3*B4</f>
        <v>331.7448</v>
      </c>
      <c r="C13" s="92">
        <f>B9*B4</f>
        <v>258.28943999999996</v>
      </c>
      <c r="D13" s="92">
        <f>B3*B8</f>
        <v>310.18614206156923</v>
      </c>
      <c r="E13" s="69">
        <f>B9*B8</f>
        <v>241.50432781114628</v>
      </c>
    </row>
    <row r="14" spans="1:9" ht="17" thickBot="1" x14ac:dyDescent="0.25">
      <c r="A14" s="90" t="s">
        <v>171</v>
      </c>
      <c r="B14" s="93">
        <f>F3*F4</f>
        <v>359.04239999999999</v>
      </c>
      <c r="C14" s="93">
        <f>F9*F4</f>
        <v>285.58703999999994</v>
      </c>
      <c r="D14" s="93">
        <f>F3*F8</f>
        <v>335.70978924922639</v>
      </c>
      <c r="E14" s="85">
        <f>F9*F8</f>
        <v>267.02797499880342</v>
      </c>
    </row>
    <row r="15" spans="1:9" ht="17" thickBot="1" x14ac:dyDescent="0.25"/>
    <row r="16" spans="1:9" ht="17" thickBot="1" x14ac:dyDescent="0.25">
      <c r="A16" s="154" t="s">
        <v>174</v>
      </c>
      <c r="B16" s="154"/>
      <c r="C16" s="155"/>
    </row>
    <row r="17" spans="1:10" x14ac:dyDescent="0.2">
      <c r="A17" s="86"/>
      <c r="B17" s="89" t="s">
        <v>319</v>
      </c>
      <c r="C17" s="88" t="s">
        <v>173</v>
      </c>
    </row>
    <row r="18" spans="1:10" x14ac:dyDescent="0.2">
      <c r="A18" s="88" t="s">
        <v>170</v>
      </c>
      <c r="B18" s="69">
        <v>1.5169999999999999</v>
      </c>
      <c r="C18" s="69">
        <v>1.57</v>
      </c>
    </row>
    <row r="19" spans="1:10" ht="17" thickBot="1" x14ac:dyDescent="0.25">
      <c r="A19" s="90" t="s">
        <v>171</v>
      </c>
      <c r="B19" s="85">
        <v>1.4890000000000001</v>
      </c>
      <c r="C19" s="85">
        <v>1.5269999999999999</v>
      </c>
    </row>
    <row r="20" spans="1:10" ht="17" thickBot="1" x14ac:dyDescent="0.25"/>
    <row r="21" spans="1:10" ht="17" thickBot="1" x14ac:dyDescent="0.25">
      <c r="A21" s="154" t="s">
        <v>175</v>
      </c>
      <c r="B21" s="154"/>
      <c r="C21" s="154"/>
      <c r="D21" s="154"/>
      <c r="E21" s="154"/>
      <c r="F21" s="154"/>
      <c r="G21" s="154"/>
      <c r="H21" s="154"/>
      <c r="I21" s="154"/>
      <c r="J21" s="80"/>
    </row>
    <row r="22" spans="1:10" ht="17" thickBot="1" x14ac:dyDescent="0.25">
      <c r="A22" s="151" t="s">
        <v>320</v>
      </c>
      <c r="B22" s="151"/>
      <c r="C22" s="151"/>
      <c r="D22" s="151"/>
      <c r="E22" s="152"/>
      <c r="F22" s="153" t="s">
        <v>173</v>
      </c>
      <c r="G22" s="151"/>
      <c r="H22" s="151"/>
      <c r="I22" s="152"/>
    </row>
    <row r="23" spans="1:10" x14ac:dyDescent="0.2">
      <c r="E23" s="69"/>
      <c r="F23" s="87"/>
      <c r="G23" s="82"/>
      <c r="H23" s="82"/>
      <c r="I23" s="86"/>
    </row>
    <row r="24" spans="1:10" x14ac:dyDescent="0.2">
      <c r="A24" s="70" t="s">
        <v>170</v>
      </c>
      <c r="B24">
        <f>B18*B13^0.24</f>
        <v>6.1091187990377458</v>
      </c>
      <c r="C24">
        <f>B18*C13^0.24</f>
        <v>5.7529576492301091</v>
      </c>
      <c r="D24">
        <f>B18*D13^0.24</f>
        <v>6.0113906942681066</v>
      </c>
      <c r="E24" s="69">
        <f>B18*E13^0.24</f>
        <v>5.6609270853511058</v>
      </c>
      <c r="F24">
        <f>C18*B13^0.24</f>
        <v>6.3225553819968763</v>
      </c>
      <c r="G24">
        <f>C18*C13^0.24</f>
        <v>5.9539508960390721</v>
      </c>
      <c r="H24">
        <f>C18*D13^0.24</f>
        <v>6.221412913645965</v>
      </c>
      <c r="I24" s="69">
        <f>C18*E13^0.24</f>
        <v>5.8587050257094511</v>
      </c>
    </row>
    <row r="25" spans="1:10" ht="17" thickBot="1" x14ac:dyDescent="0.25">
      <c r="A25" s="84" t="s">
        <v>171</v>
      </c>
      <c r="B25" s="83">
        <f>B19*B14^0.24</f>
        <v>6.1112447184063736</v>
      </c>
      <c r="C25" s="83">
        <f>B19*C14^0.24</f>
        <v>5.7845813972995517</v>
      </c>
      <c r="D25" s="83">
        <f>B19*D14^0.24</f>
        <v>6.0134826051196919</v>
      </c>
      <c r="E25" s="85">
        <f>B19*E14^0.24</f>
        <v>5.6920449455722011</v>
      </c>
      <c r="F25" s="83">
        <f>C19*B14^0.24</f>
        <v>6.2672066386880667</v>
      </c>
      <c r="G25" s="83">
        <f>C19*C14^0.24</f>
        <v>5.9322067116698545</v>
      </c>
      <c r="H25" s="83">
        <f>C19*D14^0.24</f>
        <v>6.166949588997829</v>
      </c>
      <c r="I25" s="85">
        <f>C19*E14^0.24</f>
        <v>5.8373086849487912</v>
      </c>
    </row>
    <row r="26" spans="1:10" ht="17" thickBot="1" x14ac:dyDescent="0.25"/>
    <row r="27" spans="1:10" ht="16" customHeight="1" thickBot="1" x14ac:dyDescent="0.25">
      <c r="A27" s="154" t="s">
        <v>306</v>
      </c>
      <c r="B27" s="154"/>
      <c r="C27" s="154"/>
      <c r="D27" s="154"/>
      <c r="E27" s="154"/>
      <c r="F27" s="154"/>
      <c r="G27" s="154"/>
      <c r="H27" s="154"/>
      <c r="I27" s="155"/>
      <c r="J27" s="80"/>
    </row>
    <row r="28" spans="1:10" ht="16" customHeight="1" thickBot="1" x14ac:dyDescent="0.25">
      <c r="A28" s="151" t="s">
        <v>320</v>
      </c>
      <c r="B28" s="151"/>
      <c r="C28" s="151"/>
      <c r="D28" s="151"/>
      <c r="E28" s="152"/>
      <c r="F28" s="153" t="s">
        <v>173</v>
      </c>
      <c r="G28" s="151"/>
      <c r="H28" s="151"/>
      <c r="I28" s="152"/>
    </row>
    <row r="29" spans="1:10" x14ac:dyDescent="0.2">
      <c r="E29" s="69"/>
      <c r="I29" s="69"/>
    </row>
    <row r="30" spans="1:10" x14ac:dyDescent="0.2">
      <c r="A30" s="70" t="s">
        <v>170</v>
      </c>
      <c r="B30">
        <f>B24/$B$5</f>
        <v>2.3770890268629361E-2</v>
      </c>
      <c r="C30">
        <f t="shared" ref="C30:I30" si="0">C24/$B$5</f>
        <v>2.2385049218794199E-2</v>
      </c>
      <c r="D30">
        <f t="shared" si="0"/>
        <v>2.3390625269525706E-2</v>
      </c>
      <c r="E30" s="69">
        <f t="shared" si="0"/>
        <v>2.2026953639498466E-2</v>
      </c>
      <c r="F30">
        <f t="shared" si="0"/>
        <v>2.4601382809326368E-2</v>
      </c>
      <c r="G30">
        <f t="shared" si="0"/>
        <v>2.3167124109101447E-2</v>
      </c>
      <c r="H30">
        <f t="shared" si="0"/>
        <v>2.4207832348816984E-2</v>
      </c>
      <c r="I30" s="69">
        <f t="shared" si="0"/>
        <v>2.2796517609764401E-2</v>
      </c>
    </row>
    <row r="31" spans="1:10" ht="17" thickBot="1" x14ac:dyDescent="0.25">
      <c r="A31" s="84" t="s">
        <v>171</v>
      </c>
      <c r="B31" s="83">
        <f>B25/$F$5</f>
        <v>2.1825873994308478E-2</v>
      </c>
      <c r="C31" s="83">
        <f t="shared" ref="C31:I31" si="1">C25/$F$5</f>
        <v>2.0659219276069826E-2</v>
      </c>
      <c r="D31" s="83">
        <f t="shared" si="1"/>
        <v>2.1476723589713184E-2</v>
      </c>
      <c r="E31" s="85">
        <f t="shared" si="1"/>
        <v>2.0328731948472147E-2</v>
      </c>
      <c r="F31" s="83">
        <f t="shared" si="1"/>
        <v>2.238288085245738E-2</v>
      </c>
      <c r="G31" s="83">
        <f t="shared" si="1"/>
        <v>2.1186452541678051E-2</v>
      </c>
      <c r="H31" s="83">
        <f t="shared" si="1"/>
        <v>2.2024819960706533E-2</v>
      </c>
      <c r="I31" s="85">
        <f t="shared" si="1"/>
        <v>2.0847531017674253E-2</v>
      </c>
    </row>
  </sheetData>
  <mergeCells count="11">
    <mergeCell ref="A1:F1"/>
    <mergeCell ref="A22:E22"/>
    <mergeCell ref="F22:I22"/>
    <mergeCell ref="A21:I21"/>
    <mergeCell ref="A16:C16"/>
    <mergeCell ref="A28:E28"/>
    <mergeCell ref="F28:I28"/>
    <mergeCell ref="A2:B2"/>
    <mergeCell ref="E2:F2"/>
    <mergeCell ref="A27:I27"/>
    <mergeCell ref="A11:E11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AI8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2" sqref="A12:XFD12"/>
    </sheetView>
  </sheetViews>
  <sheetFormatPr baseColWidth="10" defaultColWidth="7.6640625" defaultRowHeight="14" x14ac:dyDescent="0.2"/>
  <cols>
    <col min="1" max="1" width="27.33203125" style="1" bestFit="1" customWidth="1"/>
    <col min="2" max="2" width="13.83203125" style="1" bestFit="1" customWidth="1"/>
    <col min="3" max="3" width="12.6640625" style="1" customWidth="1"/>
    <col min="4" max="4" width="12.5" style="1" customWidth="1"/>
    <col min="5" max="5" width="11" style="1" customWidth="1"/>
    <col min="6" max="6" width="26.83203125" style="1" customWidth="1"/>
    <col min="7" max="7" width="9.33203125" style="1" customWidth="1"/>
    <col min="8" max="8" width="7.6640625" style="1" customWidth="1"/>
    <col min="9" max="9" width="12.33203125" style="1" customWidth="1"/>
    <col min="10" max="13" width="7.6640625" style="1"/>
    <col min="14" max="14" width="17.6640625" style="1" customWidth="1"/>
    <col min="15" max="15" width="24" style="1" customWidth="1"/>
    <col min="16" max="16" width="10.1640625" style="1" bestFit="1" customWidth="1"/>
    <col min="17" max="17" width="26.5" style="1" bestFit="1" customWidth="1"/>
    <col min="18" max="18" width="14.33203125" style="1" bestFit="1" customWidth="1"/>
    <col min="19" max="19" width="14" style="1" bestFit="1" customWidth="1"/>
    <col min="20" max="20" width="9.1640625" style="1" customWidth="1"/>
    <col min="21" max="21" width="7.6640625" style="1"/>
    <col min="22" max="22" width="12.33203125" style="1" customWidth="1"/>
    <col min="23" max="23" width="9" style="1" customWidth="1"/>
    <col min="24" max="24" width="10.83203125" style="1" customWidth="1"/>
    <col min="25" max="25" width="11.33203125" style="1" customWidth="1"/>
    <col min="26" max="26" width="8.33203125" style="1" customWidth="1"/>
    <col min="27" max="16384" width="7.6640625" style="1"/>
  </cols>
  <sheetData>
    <row r="1" spans="1:26" ht="19" x14ac:dyDescent="0.25">
      <c r="A1" s="66" t="s">
        <v>156</v>
      </c>
    </row>
    <row r="2" spans="1:26" x14ac:dyDescent="0.2">
      <c r="A2" s="65" t="s">
        <v>155</v>
      </c>
      <c r="B2" s="64"/>
      <c r="C2" s="159"/>
      <c r="D2" s="159"/>
      <c r="H2" s="63"/>
    </row>
    <row r="3" spans="1:26" ht="15" thickBot="1" x14ac:dyDescent="0.25">
      <c r="J3" s="62"/>
      <c r="K3" s="62"/>
      <c r="L3" s="62"/>
      <c r="M3" s="62"/>
    </row>
    <row r="4" spans="1:26" s="54" customFormat="1" ht="47.5" customHeight="1" thickBot="1" x14ac:dyDescent="0.25">
      <c r="A4" s="56" t="s">
        <v>154</v>
      </c>
      <c r="B4" s="58" t="s">
        <v>153</v>
      </c>
      <c r="C4" s="61" t="s">
        <v>152</v>
      </c>
      <c r="D4" s="60" t="s">
        <v>151</v>
      </c>
      <c r="E4" s="60" t="s">
        <v>150</v>
      </c>
      <c r="F4" s="59" t="s">
        <v>149</v>
      </c>
      <c r="G4" s="61" t="s">
        <v>148</v>
      </c>
      <c r="H4" s="60" t="s">
        <v>147</v>
      </c>
      <c r="I4" s="60" t="s">
        <v>146</v>
      </c>
      <c r="J4" s="60" t="s">
        <v>145</v>
      </c>
      <c r="K4" s="60" t="s">
        <v>144</v>
      </c>
      <c r="L4" s="60" t="s">
        <v>143</v>
      </c>
      <c r="M4" s="59" t="s">
        <v>142</v>
      </c>
      <c r="N4" s="56" t="s">
        <v>141</v>
      </c>
      <c r="O4" s="58" t="s">
        <v>140</v>
      </c>
      <c r="P4" s="57" t="s">
        <v>139</v>
      </c>
      <c r="Q4" s="56" t="s">
        <v>138</v>
      </c>
      <c r="R4" s="56" t="s">
        <v>137</v>
      </c>
      <c r="S4" s="56" t="s">
        <v>136</v>
      </c>
      <c r="T4" s="56" t="s">
        <v>135</v>
      </c>
      <c r="U4" s="56" t="s">
        <v>90</v>
      </c>
      <c r="V4" s="56" t="s">
        <v>134</v>
      </c>
      <c r="W4" s="56" t="s">
        <v>133</v>
      </c>
      <c r="X4" s="55" t="s">
        <v>132</v>
      </c>
      <c r="Y4" s="56" t="s">
        <v>131</v>
      </c>
      <c r="Z4" s="55" t="s">
        <v>130</v>
      </c>
    </row>
    <row r="5" spans="1:26" x14ac:dyDescent="0.2">
      <c r="A5" s="53"/>
      <c r="B5" s="51"/>
      <c r="C5" s="52"/>
      <c r="D5" s="45"/>
      <c r="E5" s="45"/>
      <c r="F5" s="51"/>
      <c r="G5" s="52"/>
      <c r="H5" s="45"/>
      <c r="I5" s="45"/>
      <c r="J5" s="45"/>
      <c r="K5" s="45"/>
      <c r="L5" s="45"/>
      <c r="M5" s="51"/>
      <c r="N5" s="52"/>
      <c r="O5" s="51"/>
      <c r="P5" s="19"/>
      <c r="Q5" s="45">
        <f xml:space="preserve"> COUNT(P6:P101)</f>
        <v>61</v>
      </c>
      <c r="R5" s="50">
        <f xml:space="preserve"> MAX(P6:P101)</f>
        <v>7.9802069275753479E-2</v>
      </c>
      <c r="S5" s="50">
        <f>MIN(P6:P100)</f>
        <v>1.313676835498466E-2</v>
      </c>
      <c r="T5" s="49">
        <f>(R5-S5)/30</f>
        <v>2.2221766973589607E-3</v>
      </c>
      <c r="U5" s="45">
        <v>0</v>
      </c>
      <c r="V5" s="45">
        <f t="shared" ref="V5:V41" si="0">COUNTIFS($P$6:$P$100,"&gt;="&amp;U5,$P$6:$P$100,"&lt;"&amp;U6)</f>
        <v>0</v>
      </c>
      <c r="W5" s="48">
        <v>7</v>
      </c>
      <c r="X5" s="47">
        <f>Q5/W5</f>
        <v>8.7142857142857135</v>
      </c>
      <c r="Y5" s="46">
        <v>1.313676835498466E-2</v>
      </c>
      <c r="Z5" s="45">
        <v>1</v>
      </c>
    </row>
    <row r="6" spans="1:26" x14ac:dyDescent="0.2">
      <c r="A6" s="18" t="s">
        <v>129</v>
      </c>
      <c r="B6" s="14" t="s">
        <v>127</v>
      </c>
      <c r="C6" s="16">
        <v>135</v>
      </c>
      <c r="D6" s="15">
        <v>120</v>
      </c>
      <c r="E6" s="17">
        <f t="shared" ref="E6:E37" si="1" xml:space="preserve"> IF(AND(ISNUMBER(D6),ISNUMBER(C6)),D6/C6,"")</f>
        <v>0.88888888888888884</v>
      </c>
      <c r="F6" s="14">
        <f t="shared" ref="F6:F37" si="2">D6</f>
        <v>120</v>
      </c>
      <c r="G6" s="16">
        <v>60781</v>
      </c>
      <c r="H6" s="15">
        <v>50349</v>
      </c>
      <c r="I6" s="15">
        <v>17117</v>
      </c>
      <c r="J6" s="15">
        <v>3602</v>
      </c>
      <c r="K6" s="15">
        <v>50349</v>
      </c>
      <c r="L6" s="15">
        <v>7158</v>
      </c>
      <c r="M6" s="14">
        <v>43164</v>
      </c>
      <c r="N6" s="13">
        <f t="shared" ref="N6:N37" si="3">G6*(1-H6/G6)/J6</f>
        <v>2.8961687951138262</v>
      </c>
      <c r="O6" s="12">
        <f t="shared" ref="O6:O37" si="4">N6/F6</f>
        <v>2.4134739959281885E-2</v>
      </c>
      <c r="P6" s="11">
        <f>IF(ISNUMBER(O6),O6,"")</f>
        <v>2.4134739959281885E-2</v>
      </c>
      <c r="U6" s="22">
        <f t="shared" ref="U6:U41" si="5">U5+$T$5</f>
        <v>2.2221766973589607E-3</v>
      </c>
      <c r="V6" s="15">
        <f t="shared" si="0"/>
        <v>0</v>
      </c>
      <c r="W6" s="10"/>
      <c r="X6" s="44"/>
      <c r="Y6" s="22">
        <v>1.7780441971421951E-2</v>
      </c>
      <c r="Z6" s="15">
        <v>2</v>
      </c>
    </row>
    <row r="7" spans="1:26" x14ac:dyDescent="0.2">
      <c r="A7" s="18" t="s">
        <v>128</v>
      </c>
      <c r="B7" s="14" t="s">
        <v>127</v>
      </c>
      <c r="C7" s="16">
        <v>160</v>
      </c>
      <c r="D7" s="15">
        <v>150</v>
      </c>
      <c r="E7" s="17">
        <f t="shared" si="1"/>
        <v>0.9375</v>
      </c>
      <c r="F7" s="14">
        <f t="shared" si="2"/>
        <v>150</v>
      </c>
      <c r="G7" s="16">
        <v>67585</v>
      </c>
      <c r="H7" s="15">
        <v>55792</v>
      </c>
      <c r="I7" s="15">
        <v>16884</v>
      </c>
      <c r="J7" s="15">
        <v>3704</v>
      </c>
      <c r="K7" s="15">
        <v>55691</v>
      </c>
      <c r="L7" s="15">
        <v>6232</v>
      </c>
      <c r="M7" s="14">
        <v>50013</v>
      </c>
      <c r="N7" s="13">
        <f t="shared" si="3"/>
        <v>3.1838552915766734</v>
      </c>
      <c r="O7" s="12">
        <f t="shared" si="4"/>
        <v>2.1225701943844488E-2</v>
      </c>
      <c r="P7" s="11">
        <f>IF(ISNUMBER(O7),O7,"")</f>
        <v>2.1225701943844488E-2</v>
      </c>
      <c r="U7" s="22">
        <f t="shared" si="5"/>
        <v>4.4443533947179214E-3</v>
      </c>
      <c r="V7" s="15">
        <f t="shared" si="0"/>
        <v>0</v>
      </c>
      <c r="W7" s="10"/>
      <c r="X7" s="44"/>
      <c r="Y7" s="22">
        <v>2.0134013016575303E-2</v>
      </c>
      <c r="Z7" s="15">
        <v>3</v>
      </c>
    </row>
    <row r="8" spans="1:26" x14ac:dyDescent="0.2">
      <c r="A8" s="18" t="s">
        <v>126</v>
      </c>
      <c r="B8" s="14" t="s">
        <v>125</v>
      </c>
      <c r="C8" s="16">
        <v>345</v>
      </c>
      <c r="D8" s="15">
        <v>269</v>
      </c>
      <c r="E8" s="17">
        <f t="shared" si="1"/>
        <v>0.77971014492753621</v>
      </c>
      <c r="F8" s="14">
        <f t="shared" si="2"/>
        <v>269</v>
      </c>
      <c r="G8" s="16">
        <v>165000</v>
      </c>
      <c r="H8" s="15">
        <v>124000</v>
      </c>
      <c r="I8" s="15">
        <v>48470</v>
      </c>
      <c r="J8" s="15">
        <v>3985</v>
      </c>
      <c r="K8" s="15">
        <v>37800</v>
      </c>
      <c r="L8" s="15">
        <v>4865</v>
      </c>
      <c r="M8" s="14">
        <v>30000</v>
      </c>
      <c r="N8" s="13">
        <f t="shared" si="3"/>
        <v>10.288582183186954</v>
      </c>
      <c r="O8" s="12">
        <f t="shared" si="4"/>
        <v>3.8247517409616925E-2</v>
      </c>
      <c r="P8" s="19"/>
      <c r="R8" s="19"/>
      <c r="S8" s="19"/>
      <c r="U8" s="22">
        <f t="shared" si="5"/>
        <v>6.6665300920768821E-3</v>
      </c>
      <c r="V8" s="15">
        <f t="shared" si="0"/>
        <v>0</v>
      </c>
      <c r="W8" s="10"/>
      <c r="X8" s="44"/>
      <c r="Y8" s="22">
        <v>2.0367620948433311E-2</v>
      </c>
      <c r="Z8" s="15">
        <v>4</v>
      </c>
    </row>
    <row r="9" spans="1:26" x14ac:dyDescent="0.2">
      <c r="A9" s="18" t="s">
        <v>124</v>
      </c>
      <c r="B9" s="14" t="s">
        <v>123</v>
      </c>
      <c r="C9" s="16">
        <v>280</v>
      </c>
      <c r="D9" s="15">
        <v>230</v>
      </c>
      <c r="E9" s="17">
        <f t="shared" si="1"/>
        <v>0.8214285714285714</v>
      </c>
      <c r="F9" s="14">
        <f t="shared" si="2"/>
        <v>230</v>
      </c>
      <c r="G9" s="16">
        <v>138600</v>
      </c>
      <c r="H9" s="15">
        <v>122000</v>
      </c>
      <c r="I9" s="15">
        <v>47940</v>
      </c>
      <c r="J9" s="15">
        <v>3500</v>
      </c>
      <c r="K9" s="15">
        <v>34473</v>
      </c>
      <c r="L9" s="15">
        <v>6723</v>
      </c>
      <c r="M9" s="14">
        <v>17690</v>
      </c>
      <c r="N9" s="13">
        <f t="shared" si="3"/>
        <v>4.742857142857142</v>
      </c>
      <c r="O9" s="12">
        <f t="shared" si="4"/>
        <v>2.0621118012422356E-2</v>
      </c>
      <c r="P9" s="19"/>
      <c r="R9" s="19"/>
      <c r="S9" s="19"/>
      <c r="U9" s="22">
        <f t="shared" si="5"/>
        <v>8.8887067894358428E-3</v>
      </c>
      <c r="V9" s="15">
        <f t="shared" si="0"/>
        <v>0</v>
      </c>
      <c r="W9" s="10"/>
      <c r="X9" s="44"/>
      <c r="Y9" s="22">
        <v>2.1225701943844488E-2</v>
      </c>
      <c r="Z9" s="15">
        <v>5</v>
      </c>
    </row>
    <row r="10" spans="1:26" x14ac:dyDescent="0.2">
      <c r="A10" s="18" t="s">
        <v>122</v>
      </c>
      <c r="B10" s="14"/>
      <c r="C10" s="16">
        <v>132</v>
      </c>
      <c r="D10" s="15">
        <v>117</v>
      </c>
      <c r="E10" s="17">
        <f t="shared" si="1"/>
        <v>0.88636363636363635</v>
      </c>
      <c r="F10" s="14">
        <f t="shared" si="2"/>
        <v>117</v>
      </c>
      <c r="G10" s="16">
        <v>68000</v>
      </c>
      <c r="H10" s="15">
        <v>58500</v>
      </c>
      <c r="I10" s="15">
        <v>18729</v>
      </c>
      <c r="J10" s="15">
        <v>3704</v>
      </c>
      <c r="K10" s="15">
        <v>14760</v>
      </c>
      <c r="L10" s="15">
        <v>6149</v>
      </c>
      <c r="M10" s="14">
        <v>8920</v>
      </c>
      <c r="N10" s="13">
        <f t="shared" si="3"/>
        <v>2.5647948164146857</v>
      </c>
      <c r="O10" s="12">
        <f t="shared" si="4"/>
        <v>2.1921323217219537E-2</v>
      </c>
      <c r="P10" s="19"/>
      <c r="R10" s="19"/>
      <c r="S10" s="19"/>
      <c r="U10" s="22">
        <f t="shared" si="5"/>
        <v>1.1110883486794804E-2</v>
      </c>
      <c r="V10" s="15">
        <f t="shared" si="0"/>
        <v>1</v>
      </c>
      <c r="W10" s="10"/>
      <c r="X10" s="44"/>
      <c r="Y10" s="22">
        <v>2.127985068918567E-2</v>
      </c>
      <c r="Z10" s="15">
        <v>6</v>
      </c>
    </row>
    <row r="11" spans="1:26" x14ac:dyDescent="0.2">
      <c r="A11" s="18" t="s">
        <v>121</v>
      </c>
      <c r="B11" s="14"/>
      <c r="C11" s="16">
        <v>156</v>
      </c>
      <c r="D11" s="15">
        <v>134</v>
      </c>
      <c r="E11" s="17">
        <f t="shared" si="1"/>
        <v>0.85897435897435892</v>
      </c>
      <c r="F11" s="14">
        <f t="shared" si="2"/>
        <v>134</v>
      </c>
      <c r="G11" s="16">
        <v>75500</v>
      </c>
      <c r="H11" s="15">
        <v>58500</v>
      </c>
      <c r="I11" s="15">
        <v>18729</v>
      </c>
      <c r="J11" s="15">
        <v>4630</v>
      </c>
      <c r="K11" s="15">
        <v>17400</v>
      </c>
      <c r="L11" s="15">
        <v>5413</v>
      </c>
      <c r="M11" s="14">
        <v>15600</v>
      </c>
      <c r="N11" s="13">
        <f t="shared" si="3"/>
        <v>3.6717062634989208</v>
      </c>
      <c r="O11" s="12">
        <f t="shared" si="4"/>
        <v>2.7400793011185975E-2</v>
      </c>
      <c r="P11" s="11">
        <f t="shared" ref="P11:P20" si="6">IF(ISNUMBER(O11),O11,"")</f>
        <v>2.7400793011185975E-2</v>
      </c>
      <c r="U11" s="22">
        <f t="shared" si="5"/>
        <v>1.3333060184153766E-2</v>
      </c>
      <c r="V11" s="15">
        <f t="shared" si="0"/>
        <v>0</v>
      </c>
      <c r="Y11" s="22">
        <v>2.1683263732733694E-2</v>
      </c>
      <c r="Z11" s="15">
        <v>7</v>
      </c>
    </row>
    <row r="12" spans="1:26" x14ac:dyDescent="0.2">
      <c r="A12" s="18" t="s">
        <v>120</v>
      </c>
      <c r="B12" s="14"/>
      <c r="C12" s="16">
        <v>180</v>
      </c>
      <c r="D12" s="15">
        <v>150</v>
      </c>
      <c r="E12" s="17">
        <f t="shared" si="1"/>
        <v>0.83333333333333337</v>
      </c>
      <c r="F12" s="14">
        <f t="shared" si="2"/>
        <v>150</v>
      </c>
      <c r="G12" s="16">
        <v>78000</v>
      </c>
      <c r="H12" s="15">
        <v>62500</v>
      </c>
      <c r="I12" s="15">
        <v>18729</v>
      </c>
      <c r="J12" s="15">
        <v>3882</v>
      </c>
      <c r="K12" s="15">
        <v>19750</v>
      </c>
      <c r="L12" s="15">
        <v>5200</v>
      </c>
      <c r="M12" s="14">
        <v>16125</v>
      </c>
      <c r="N12" s="13">
        <f t="shared" si="3"/>
        <v>3.9927872230808852</v>
      </c>
      <c r="O12" s="12">
        <f t="shared" si="4"/>
        <v>2.6618581487205903E-2</v>
      </c>
      <c r="P12" s="11">
        <f t="shared" si="6"/>
        <v>2.6618581487205903E-2</v>
      </c>
      <c r="U12" s="22">
        <f t="shared" si="5"/>
        <v>1.5555236881512727E-2</v>
      </c>
      <c r="V12" s="15">
        <f t="shared" si="0"/>
        <v>0</v>
      </c>
      <c r="Y12" s="22">
        <v>2.4086267661034021E-2</v>
      </c>
      <c r="Z12" s="15">
        <v>8</v>
      </c>
    </row>
    <row r="13" spans="1:26" x14ac:dyDescent="0.2">
      <c r="A13" s="18" t="s">
        <v>119</v>
      </c>
      <c r="B13" s="14"/>
      <c r="C13" s="16">
        <v>194</v>
      </c>
      <c r="D13" s="15">
        <v>165</v>
      </c>
      <c r="E13" s="17">
        <f t="shared" si="1"/>
        <v>0.85051546391752575</v>
      </c>
      <c r="F13" s="14">
        <f t="shared" si="2"/>
        <v>165</v>
      </c>
      <c r="G13" s="16">
        <v>79000</v>
      </c>
      <c r="H13" s="15">
        <v>62800</v>
      </c>
      <c r="I13" s="15">
        <v>21005</v>
      </c>
      <c r="J13" s="24">
        <v>4528</v>
      </c>
      <c r="K13" s="24">
        <v>19250</v>
      </c>
      <c r="L13" s="24">
        <v>6315</v>
      </c>
      <c r="M13" s="23">
        <v>15150</v>
      </c>
      <c r="N13" s="13">
        <f t="shared" si="3"/>
        <v>3.5777385159010597</v>
      </c>
      <c r="O13" s="12">
        <f t="shared" si="4"/>
        <v>2.1683263732733694E-2</v>
      </c>
      <c r="P13" s="11">
        <f t="shared" si="6"/>
        <v>2.1683263732733694E-2</v>
      </c>
      <c r="U13" s="22">
        <f t="shared" si="5"/>
        <v>1.7777413578871689E-2</v>
      </c>
      <c r="V13" s="15">
        <f t="shared" si="0"/>
        <v>1</v>
      </c>
      <c r="W13" s="10"/>
      <c r="X13" s="44"/>
      <c r="Y13" s="22">
        <v>2.4134739959281885E-2</v>
      </c>
      <c r="Z13" s="15">
        <v>9</v>
      </c>
    </row>
    <row r="14" spans="1:26" x14ac:dyDescent="0.2">
      <c r="A14" s="18" t="s">
        <v>118</v>
      </c>
      <c r="B14" s="14"/>
      <c r="C14" s="16">
        <v>236</v>
      </c>
      <c r="D14" s="15">
        <v>185</v>
      </c>
      <c r="E14" s="17">
        <f t="shared" si="1"/>
        <v>0.78389830508474578</v>
      </c>
      <c r="F14" s="14">
        <f t="shared" si="2"/>
        <v>185</v>
      </c>
      <c r="G14" s="16">
        <v>93500</v>
      </c>
      <c r="H14" s="15">
        <v>77800</v>
      </c>
      <c r="I14" s="15">
        <v>23301</v>
      </c>
      <c r="J14" s="15">
        <v>4215</v>
      </c>
      <c r="K14" s="15">
        <v>24242</v>
      </c>
      <c r="L14" s="15">
        <v>5460</v>
      </c>
      <c r="M14" s="14">
        <v>20152</v>
      </c>
      <c r="N14" s="13">
        <f t="shared" si="3"/>
        <v>3.7247924080664307</v>
      </c>
      <c r="O14" s="12">
        <f t="shared" si="4"/>
        <v>2.0134013016575303E-2</v>
      </c>
      <c r="P14" s="11">
        <f t="shared" si="6"/>
        <v>2.0134013016575303E-2</v>
      </c>
      <c r="U14" s="22">
        <f t="shared" si="5"/>
        <v>1.9999590276230651E-2</v>
      </c>
      <c r="V14" s="15">
        <f t="shared" si="0"/>
        <v>5</v>
      </c>
      <c r="Y14" s="22">
        <v>2.4164068982530103E-2</v>
      </c>
      <c r="Z14" s="15">
        <v>10</v>
      </c>
    </row>
    <row r="15" spans="1:26" x14ac:dyDescent="0.2">
      <c r="A15" s="18" t="s">
        <v>117</v>
      </c>
      <c r="B15" s="14"/>
      <c r="C15" s="16">
        <v>244</v>
      </c>
      <c r="D15" s="15">
        <v>206</v>
      </c>
      <c r="E15" s="17">
        <f t="shared" si="1"/>
        <v>0.84426229508196726</v>
      </c>
      <c r="F15" s="14">
        <f t="shared" si="2"/>
        <v>206</v>
      </c>
      <c r="G15" s="16">
        <v>97000</v>
      </c>
      <c r="H15" s="15">
        <v>73300</v>
      </c>
      <c r="I15" s="15">
        <v>26484</v>
      </c>
      <c r="J15" s="15">
        <v>5648.6</v>
      </c>
      <c r="K15" s="15">
        <v>23950</v>
      </c>
      <c r="L15" s="15">
        <v>6482</v>
      </c>
      <c r="M15" s="14">
        <v>21350</v>
      </c>
      <c r="N15" s="13">
        <f t="shared" si="3"/>
        <v>4.195729915377262</v>
      </c>
      <c r="O15" s="12">
        <f t="shared" si="4"/>
        <v>2.0367620948433311E-2</v>
      </c>
      <c r="P15" s="11">
        <f t="shared" si="6"/>
        <v>2.0367620948433311E-2</v>
      </c>
      <c r="U15" s="22">
        <f t="shared" si="5"/>
        <v>2.2221766973589612E-2</v>
      </c>
      <c r="V15" s="15">
        <f t="shared" si="0"/>
        <v>3</v>
      </c>
      <c r="Y15" s="22">
        <v>2.4786426564698302E-2</v>
      </c>
      <c r="Z15" s="15">
        <v>11</v>
      </c>
    </row>
    <row r="16" spans="1:26" x14ac:dyDescent="0.2">
      <c r="A16" s="18" t="s">
        <v>116</v>
      </c>
      <c r="B16" s="14" t="s">
        <v>114</v>
      </c>
      <c r="C16" s="16">
        <v>406</v>
      </c>
      <c r="D16" s="15">
        <v>246</v>
      </c>
      <c r="E16" s="17">
        <f t="shared" si="1"/>
        <v>0.60591133004926112</v>
      </c>
      <c r="F16" s="14">
        <f t="shared" si="2"/>
        <v>246</v>
      </c>
      <c r="G16" s="16">
        <v>242000</v>
      </c>
      <c r="H16" s="15">
        <v>170000</v>
      </c>
      <c r="I16" s="15">
        <v>109186</v>
      </c>
      <c r="J16" s="15">
        <v>8584</v>
      </c>
      <c r="K16" s="15">
        <v>45813</v>
      </c>
      <c r="L16" s="15">
        <v>16455</v>
      </c>
      <c r="M16" s="14">
        <v>6350</v>
      </c>
      <c r="N16" s="13">
        <f t="shared" si="3"/>
        <v>8.387698042870456</v>
      </c>
      <c r="O16" s="12">
        <f t="shared" si="4"/>
        <v>3.409633350760348E-2</v>
      </c>
      <c r="P16" s="11">
        <f t="shared" si="6"/>
        <v>3.409633350760348E-2</v>
      </c>
      <c r="U16" s="22">
        <f t="shared" si="5"/>
        <v>2.4443943670948574E-2</v>
      </c>
      <c r="V16" s="15">
        <f t="shared" si="0"/>
        <v>6</v>
      </c>
      <c r="Y16" s="22">
        <v>2.5085584960564671E-2</v>
      </c>
      <c r="Z16" s="15">
        <v>12</v>
      </c>
    </row>
    <row r="17" spans="1:35" x14ac:dyDescent="0.2">
      <c r="A17" s="18" t="s">
        <v>115</v>
      </c>
      <c r="B17" s="14" t="s">
        <v>114</v>
      </c>
      <c r="C17" s="16">
        <v>440</v>
      </c>
      <c r="D17" s="15">
        <v>300</v>
      </c>
      <c r="E17" s="17">
        <f t="shared" si="1"/>
        <v>0.68181818181818177</v>
      </c>
      <c r="F17" s="14">
        <f t="shared" si="2"/>
        <v>300</v>
      </c>
      <c r="G17" s="16">
        <v>242000</v>
      </c>
      <c r="H17" s="15">
        <v>175000</v>
      </c>
      <c r="I17" s="15">
        <v>76561</v>
      </c>
      <c r="J17" s="15">
        <v>7723</v>
      </c>
      <c r="K17" s="15">
        <v>45359</v>
      </c>
      <c r="L17" s="15">
        <v>10038</v>
      </c>
      <c r="M17" s="14">
        <v>34927</v>
      </c>
      <c r="N17" s="13">
        <f t="shared" si="3"/>
        <v>8.6753852130001281</v>
      </c>
      <c r="O17" s="12">
        <f t="shared" si="4"/>
        <v>2.8917950710000428E-2</v>
      </c>
      <c r="P17" s="11">
        <f t="shared" si="6"/>
        <v>2.8917950710000428E-2</v>
      </c>
      <c r="U17" s="22">
        <f t="shared" si="5"/>
        <v>2.6666120368307535E-2</v>
      </c>
      <c r="V17" s="15">
        <f t="shared" si="0"/>
        <v>5</v>
      </c>
      <c r="Y17" s="22">
        <v>2.5762319581407563E-2</v>
      </c>
      <c r="Z17" s="15">
        <v>13</v>
      </c>
    </row>
    <row r="18" spans="1:35" x14ac:dyDescent="0.2">
      <c r="A18" s="18" t="s">
        <v>113</v>
      </c>
      <c r="B18" s="14" t="s">
        <v>112</v>
      </c>
      <c r="C18" s="16">
        <v>440</v>
      </c>
      <c r="D18" s="15">
        <v>335</v>
      </c>
      <c r="E18" s="17">
        <f t="shared" si="1"/>
        <v>0.76136363636363635</v>
      </c>
      <c r="F18" s="14">
        <f t="shared" si="2"/>
        <v>335</v>
      </c>
      <c r="G18" s="16">
        <v>271000</v>
      </c>
      <c r="H18" s="15">
        <v>178000</v>
      </c>
      <c r="I18" s="15">
        <v>110402</v>
      </c>
      <c r="J18" s="15">
        <v>9074.7999999999993</v>
      </c>
      <c r="K18" s="15">
        <v>50938</v>
      </c>
      <c r="L18" s="15">
        <v>13565.9</v>
      </c>
      <c r="M18" s="14">
        <v>22906</v>
      </c>
      <c r="N18" s="13">
        <f t="shared" si="3"/>
        <v>10.248159739057611</v>
      </c>
      <c r="O18" s="12">
        <f t="shared" si="4"/>
        <v>3.0591521609127197E-2</v>
      </c>
      <c r="P18" s="11">
        <f t="shared" si="6"/>
        <v>3.0591521609127197E-2</v>
      </c>
      <c r="U18" s="22">
        <f t="shared" si="5"/>
        <v>2.8888297065666497E-2</v>
      </c>
      <c r="V18" s="15">
        <f t="shared" si="0"/>
        <v>10</v>
      </c>
      <c r="Y18" s="22">
        <v>2.6328283482239204E-2</v>
      </c>
      <c r="Z18" s="15">
        <v>14</v>
      </c>
    </row>
    <row r="19" spans="1:35" x14ac:dyDescent="0.2">
      <c r="A19" s="18" t="s">
        <v>111</v>
      </c>
      <c r="B19" s="14" t="s">
        <v>110</v>
      </c>
      <c r="C19" s="16">
        <v>475</v>
      </c>
      <c r="D19" s="15">
        <v>380</v>
      </c>
      <c r="E19" s="17">
        <f t="shared" si="1"/>
        <v>0.8</v>
      </c>
      <c r="F19" s="14">
        <f t="shared" si="2"/>
        <v>380</v>
      </c>
      <c r="G19" s="16">
        <v>365000</v>
      </c>
      <c r="H19" s="15">
        <v>242000</v>
      </c>
      <c r="I19" s="15">
        <v>153082</v>
      </c>
      <c r="J19" s="15">
        <v>10778</v>
      </c>
      <c r="K19" s="15">
        <v>65625</v>
      </c>
      <c r="L19" s="15">
        <v>14444</v>
      </c>
      <c r="M19" s="14">
        <v>31875</v>
      </c>
      <c r="N19" s="13">
        <f t="shared" si="3"/>
        <v>11.412135832250881</v>
      </c>
      <c r="O19" s="12">
        <f t="shared" si="4"/>
        <v>3.0031936400660212E-2</v>
      </c>
      <c r="P19" s="11">
        <f t="shared" si="6"/>
        <v>3.0031936400660212E-2</v>
      </c>
      <c r="U19" s="22">
        <f t="shared" si="5"/>
        <v>3.1110473763025458E-2</v>
      </c>
      <c r="V19" s="15">
        <f t="shared" si="0"/>
        <v>4</v>
      </c>
      <c r="Y19" s="22">
        <v>2.6403043773160884E-2</v>
      </c>
      <c r="Z19" s="15">
        <v>15</v>
      </c>
    </row>
    <row r="20" spans="1:35" ht="12.75" customHeight="1" x14ac:dyDescent="0.2">
      <c r="A20" s="18" t="s">
        <v>109</v>
      </c>
      <c r="B20" s="14"/>
      <c r="C20" s="16">
        <v>440</v>
      </c>
      <c r="D20" s="15">
        <v>315</v>
      </c>
      <c r="E20" s="17">
        <f t="shared" si="1"/>
        <v>0.71590909090909094</v>
      </c>
      <c r="F20" s="14">
        <f t="shared" si="2"/>
        <v>315</v>
      </c>
      <c r="G20" s="16">
        <v>280000</v>
      </c>
      <c r="H20" s="15">
        <v>195700</v>
      </c>
      <c r="I20" s="15">
        <v>108330</v>
      </c>
      <c r="J20" s="15">
        <v>10797</v>
      </c>
      <c r="K20" s="15">
        <v>53700</v>
      </c>
      <c r="L20" s="15">
        <v>15890</v>
      </c>
      <c r="M20" s="14">
        <v>24800</v>
      </c>
      <c r="N20" s="13">
        <f t="shared" si="3"/>
        <v>7.807724367879965</v>
      </c>
      <c r="O20" s="12">
        <f t="shared" si="4"/>
        <v>2.4786426564698302E-2</v>
      </c>
      <c r="P20" s="11">
        <f t="shared" si="6"/>
        <v>2.4786426564698302E-2</v>
      </c>
      <c r="U20" s="22">
        <f t="shared" si="5"/>
        <v>3.3332650460384416E-2</v>
      </c>
      <c r="V20" s="15">
        <f t="shared" si="0"/>
        <v>5</v>
      </c>
      <c r="Y20" s="22">
        <v>2.6618581487205903E-2</v>
      </c>
      <c r="Z20" s="15">
        <v>16</v>
      </c>
    </row>
    <row r="21" spans="1:35" ht="12.75" customHeight="1" x14ac:dyDescent="0.2">
      <c r="A21" s="18" t="s">
        <v>108</v>
      </c>
      <c r="B21" s="14"/>
      <c r="C21" s="16">
        <v>440</v>
      </c>
      <c r="D21" s="15">
        <v>315</v>
      </c>
      <c r="E21" s="17">
        <f t="shared" si="1"/>
        <v>0.71590909090909094</v>
      </c>
      <c r="F21" s="14">
        <f t="shared" si="2"/>
        <v>315</v>
      </c>
      <c r="G21" s="16">
        <v>280000</v>
      </c>
      <c r="H21" s="15">
        <v>192000</v>
      </c>
      <c r="I21" s="15">
        <v>129525</v>
      </c>
      <c r="J21" s="15">
        <v>10797</v>
      </c>
      <c r="K21" s="15">
        <v>53700</v>
      </c>
      <c r="L21" s="15">
        <v>20020</v>
      </c>
      <c r="M21" s="14">
        <v>4100</v>
      </c>
      <c r="N21" s="13">
        <f t="shared" si="3"/>
        <v>8.1504121515235717</v>
      </c>
      <c r="O21" s="12">
        <f t="shared" si="4"/>
        <v>2.5874324290551021E-2</v>
      </c>
      <c r="P21" s="19"/>
      <c r="U21" s="22">
        <f t="shared" si="5"/>
        <v>3.5554827157743378E-2</v>
      </c>
      <c r="V21" s="15">
        <f t="shared" si="0"/>
        <v>1</v>
      </c>
      <c r="Y21" s="22">
        <v>2.7139999999999991E-2</v>
      </c>
      <c r="Z21" s="15">
        <v>17</v>
      </c>
    </row>
    <row r="22" spans="1:35" x14ac:dyDescent="0.2">
      <c r="A22" s="18" t="s">
        <v>107</v>
      </c>
      <c r="B22" s="14"/>
      <c r="C22" s="16">
        <v>440</v>
      </c>
      <c r="D22" s="15">
        <v>369</v>
      </c>
      <c r="E22" s="17">
        <f t="shared" si="1"/>
        <v>0.83863636363636362</v>
      </c>
      <c r="F22" s="14">
        <f t="shared" si="2"/>
        <v>369</v>
      </c>
      <c r="G22" s="16">
        <v>316000</v>
      </c>
      <c r="H22" s="15">
        <v>220000</v>
      </c>
      <c r="I22" s="15">
        <v>122460</v>
      </c>
      <c r="J22" s="15">
        <v>10371</v>
      </c>
      <c r="K22" s="15">
        <v>67200</v>
      </c>
      <c r="L22" s="15">
        <v>15742</v>
      </c>
      <c r="M22" s="14">
        <v>32600</v>
      </c>
      <c r="N22" s="13">
        <f t="shared" si="3"/>
        <v>9.2565808504483638</v>
      </c>
      <c r="O22" s="12">
        <f t="shared" si="4"/>
        <v>2.5085584960564671E-2</v>
      </c>
      <c r="P22" s="11">
        <f t="shared" ref="P22:P28" si="7">IF(ISNUMBER(O22),O22,"")</f>
        <v>2.5085584960564671E-2</v>
      </c>
      <c r="U22" s="22">
        <f t="shared" si="5"/>
        <v>3.777700385510234E-2</v>
      </c>
      <c r="V22" s="15">
        <f t="shared" si="0"/>
        <v>4</v>
      </c>
      <c r="Y22" s="22">
        <v>2.7141855698876925E-2</v>
      </c>
      <c r="Z22" s="15">
        <v>18</v>
      </c>
    </row>
    <row r="23" spans="1:35" ht="12.75" customHeight="1" x14ac:dyDescent="0.2">
      <c r="A23" s="18" t="s">
        <v>106</v>
      </c>
      <c r="B23" s="14" t="s">
        <v>105</v>
      </c>
      <c r="C23" s="16">
        <v>853</v>
      </c>
      <c r="D23" s="15">
        <v>575</v>
      </c>
      <c r="E23" s="17">
        <f t="shared" si="1"/>
        <v>0.67409144196951931</v>
      </c>
      <c r="F23" s="14">
        <f t="shared" si="2"/>
        <v>575</v>
      </c>
      <c r="G23" s="16">
        <v>575000</v>
      </c>
      <c r="H23" s="15">
        <v>369000</v>
      </c>
      <c r="I23" s="15">
        <v>323546</v>
      </c>
      <c r="J23" s="15">
        <v>12131</v>
      </c>
      <c r="K23" s="15">
        <v>83571</v>
      </c>
      <c r="L23" s="15">
        <v>16298</v>
      </c>
      <c r="M23" s="14">
        <v>34286</v>
      </c>
      <c r="N23" s="13">
        <f t="shared" si="3"/>
        <v>16.981287610254718</v>
      </c>
      <c r="O23" s="12">
        <f t="shared" si="4"/>
        <v>2.9532674104790813E-2</v>
      </c>
      <c r="P23" s="11">
        <f t="shared" si="7"/>
        <v>2.9532674104790813E-2</v>
      </c>
      <c r="U23" s="22">
        <f t="shared" si="5"/>
        <v>3.9999180552461301E-2</v>
      </c>
      <c r="V23" s="15">
        <f t="shared" si="0"/>
        <v>5</v>
      </c>
      <c r="Y23" s="22">
        <v>2.7400793011185975E-2</v>
      </c>
      <c r="Z23" s="15">
        <v>19</v>
      </c>
    </row>
    <row r="24" spans="1:35" ht="12.75" customHeight="1" x14ac:dyDescent="0.2">
      <c r="A24" s="20" t="s">
        <v>104</v>
      </c>
      <c r="B24" s="14" t="s">
        <v>103</v>
      </c>
      <c r="C24" s="16">
        <v>50</v>
      </c>
      <c r="D24" s="15">
        <v>48</v>
      </c>
      <c r="E24" s="17">
        <f t="shared" si="1"/>
        <v>0.96</v>
      </c>
      <c r="F24" s="14">
        <f t="shared" si="2"/>
        <v>48</v>
      </c>
      <c r="G24" s="16">
        <v>18600</v>
      </c>
      <c r="H24" s="15">
        <v>16700</v>
      </c>
      <c r="I24" s="15">
        <v>4500</v>
      </c>
      <c r="J24" s="15">
        <v>969</v>
      </c>
      <c r="K24" s="15">
        <v>5045</v>
      </c>
      <c r="L24" s="15">
        <v>3034</v>
      </c>
      <c r="M24" s="14">
        <v>2455</v>
      </c>
      <c r="N24" s="13">
        <f t="shared" si="3"/>
        <v>1.9607843137254906</v>
      </c>
      <c r="O24" s="12">
        <f t="shared" si="4"/>
        <v>4.0849673202614387E-2</v>
      </c>
      <c r="P24" s="11">
        <f t="shared" si="7"/>
        <v>4.0849673202614387E-2</v>
      </c>
      <c r="U24" s="22">
        <f t="shared" si="5"/>
        <v>4.2221357249820263E-2</v>
      </c>
      <c r="V24" s="15">
        <f t="shared" si="0"/>
        <v>3</v>
      </c>
      <c r="Y24" s="22">
        <v>2.7980430864303487E-2</v>
      </c>
      <c r="Z24" s="15">
        <v>20</v>
      </c>
    </row>
    <row r="25" spans="1:35" x14ac:dyDescent="0.2">
      <c r="A25" s="20" t="s">
        <v>102</v>
      </c>
      <c r="B25" s="14" t="s">
        <v>101</v>
      </c>
      <c r="C25" s="16">
        <v>74</v>
      </c>
      <c r="D25" s="15">
        <v>68</v>
      </c>
      <c r="E25" s="17">
        <f t="shared" si="1"/>
        <v>0.91891891891891897</v>
      </c>
      <c r="F25" s="14">
        <f t="shared" si="2"/>
        <v>68</v>
      </c>
      <c r="G25" s="16">
        <v>22500</v>
      </c>
      <c r="H25" s="15">
        <v>20500</v>
      </c>
      <c r="I25" s="15">
        <v>5000</v>
      </c>
      <c r="J25" s="15">
        <v>926</v>
      </c>
      <c r="K25" s="15">
        <v>7000</v>
      </c>
      <c r="L25" s="15">
        <v>3087</v>
      </c>
      <c r="M25" s="14">
        <v>4000</v>
      </c>
      <c r="N25" s="13">
        <f t="shared" si="3"/>
        <v>2.1598272138228944</v>
      </c>
      <c r="O25" s="12">
        <f t="shared" si="4"/>
        <v>3.1762164909160215E-2</v>
      </c>
      <c r="P25" s="11">
        <f t="shared" si="7"/>
        <v>3.1762164909160215E-2</v>
      </c>
      <c r="U25" s="22">
        <f t="shared" si="5"/>
        <v>4.4443533947179224E-2</v>
      </c>
      <c r="V25" s="15">
        <f t="shared" si="0"/>
        <v>2</v>
      </c>
      <c r="Y25" s="22">
        <v>2.8071557155715562E-2</v>
      </c>
      <c r="Z25" s="15">
        <v>21</v>
      </c>
    </row>
    <row r="26" spans="1:35" x14ac:dyDescent="0.2">
      <c r="A26" s="20" t="s">
        <v>100</v>
      </c>
      <c r="B26" s="14" t="s">
        <v>99</v>
      </c>
      <c r="C26" s="16">
        <v>19</v>
      </c>
      <c r="D26" s="15">
        <v>19</v>
      </c>
      <c r="E26" s="17">
        <f t="shared" si="1"/>
        <v>1</v>
      </c>
      <c r="F26" s="14">
        <f t="shared" si="2"/>
        <v>19</v>
      </c>
      <c r="G26" s="16">
        <v>7766</v>
      </c>
      <c r="H26" s="15">
        <v>6879</v>
      </c>
      <c r="I26" s="15">
        <v>2022</v>
      </c>
      <c r="J26" s="15">
        <v>585</v>
      </c>
      <c r="K26" s="15">
        <v>1984</v>
      </c>
      <c r="L26" s="15">
        <v>975</v>
      </c>
      <c r="M26" s="14">
        <v>1724</v>
      </c>
      <c r="N26" s="13">
        <f t="shared" si="3"/>
        <v>1.5162393162393162</v>
      </c>
      <c r="O26" s="12">
        <f t="shared" si="4"/>
        <v>7.9802069275753479E-2</v>
      </c>
      <c r="P26" s="11">
        <f t="shared" si="7"/>
        <v>7.9802069275753479E-2</v>
      </c>
      <c r="U26" s="22">
        <f t="shared" si="5"/>
        <v>4.6665710644538186E-2</v>
      </c>
      <c r="V26" s="15">
        <f t="shared" si="0"/>
        <v>1</v>
      </c>
      <c r="Y26" s="22">
        <v>2.8917950710000428E-2</v>
      </c>
      <c r="Z26" s="15">
        <v>22</v>
      </c>
    </row>
    <row r="27" spans="1:35" x14ac:dyDescent="0.2">
      <c r="A27" s="18" t="s">
        <v>98</v>
      </c>
      <c r="B27" s="14" t="s">
        <v>97</v>
      </c>
      <c r="C27" s="16">
        <v>106</v>
      </c>
      <c r="D27" s="15">
        <v>106</v>
      </c>
      <c r="E27" s="17">
        <f t="shared" si="1"/>
        <v>1</v>
      </c>
      <c r="F27" s="14">
        <f t="shared" si="2"/>
        <v>106</v>
      </c>
      <c r="G27" s="16">
        <v>54884</v>
      </c>
      <c r="H27" s="15">
        <v>45586</v>
      </c>
      <c r="I27" s="15">
        <v>13382</v>
      </c>
      <c r="J27" s="15">
        <v>2185</v>
      </c>
      <c r="K27" s="15">
        <v>45589</v>
      </c>
      <c r="L27" s="15">
        <v>3704</v>
      </c>
      <c r="M27" s="14">
        <v>42000</v>
      </c>
      <c r="N27" s="13">
        <f t="shared" si="3"/>
        <v>4.2553775743707094</v>
      </c>
      <c r="O27" s="12">
        <f t="shared" si="4"/>
        <v>4.0145071456327446E-2</v>
      </c>
      <c r="P27" s="11">
        <f t="shared" si="7"/>
        <v>4.0145071456327446E-2</v>
      </c>
      <c r="U27" s="22">
        <f t="shared" si="5"/>
        <v>4.8887887341897147E-2</v>
      </c>
      <c r="V27" s="15">
        <f t="shared" si="0"/>
        <v>2</v>
      </c>
      <c r="Y27" s="22">
        <v>2.9391344596158289E-2</v>
      </c>
      <c r="Z27" s="15">
        <v>23</v>
      </c>
    </row>
    <row r="28" spans="1:35" ht="15" thickBot="1" x14ac:dyDescent="0.25">
      <c r="A28" s="18" t="s">
        <v>96</v>
      </c>
      <c r="B28" s="14"/>
      <c r="C28" s="16">
        <v>189</v>
      </c>
      <c r="D28" s="15">
        <v>162</v>
      </c>
      <c r="E28" s="17">
        <f t="shared" si="1"/>
        <v>0.8571428571428571</v>
      </c>
      <c r="F28" s="14">
        <f t="shared" si="2"/>
        <v>162</v>
      </c>
      <c r="G28" s="16">
        <v>82644</v>
      </c>
      <c r="H28" s="15">
        <v>65952</v>
      </c>
      <c r="I28" s="15">
        <v>20730</v>
      </c>
      <c r="J28" s="24">
        <v>4842</v>
      </c>
      <c r="K28" s="24">
        <v>65930</v>
      </c>
      <c r="L28" s="24">
        <v>6426</v>
      </c>
      <c r="M28" s="23">
        <v>61983</v>
      </c>
      <c r="N28" s="13">
        <f t="shared" si="3"/>
        <v>3.4473358116480783</v>
      </c>
      <c r="O28" s="12">
        <f t="shared" si="4"/>
        <v>2.127985068918567E-2</v>
      </c>
      <c r="P28" s="11">
        <f t="shared" si="7"/>
        <v>2.127985068918567E-2</v>
      </c>
      <c r="U28" s="22">
        <f t="shared" si="5"/>
        <v>5.1110064039256109E-2</v>
      </c>
      <c r="V28" s="15">
        <f t="shared" si="0"/>
        <v>0</v>
      </c>
      <c r="Y28" s="22">
        <v>2.9463719898605838E-2</v>
      </c>
      <c r="Z28" s="15">
        <v>24</v>
      </c>
    </row>
    <row r="29" spans="1:35" ht="16" x14ac:dyDescent="0.2">
      <c r="A29" s="18" t="s">
        <v>95</v>
      </c>
      <c r="B29" s="14"/>
      <c r="C29" s="16">
        <v>220</v>
      </c>
      <c r="D29" s="15">
        <v>180</v>
      </c>
      <c r="E29" s="17">
        <f t="shared" si="1"/>
        <v>0.81818181818181823</v>
      </c>
      <c r="F29" s="14">
        <f t="shared" si="2"/>
        <v>180</v>
      </c>
      <c r="G29" s="16">
        <v>88314</v>
      </c>
      <c r="H29" s="15">
        <v>70987</v>
      </c>
      <c r="I29" s="15">
        <v>20730</v>
      </c>
      <c r="J29" s="24">
        <v>4630</v>
      </c>
      <c r="K29" s="24">
        <v>70964.5</v>
      </c>
      <c r="L29" s="24">
        <v>5843</v>
      </c>
      <c r="M29" s="23">
        <v>67653</v>
      </c>
      <c r="N29" s="13">
        <f t="shared" si="3"/>
        <v>3.742332613390928</v>
      </c>
      <c r="O29" s="12">
        <f t="shared" si="4"/>
        <v>2.079073674106071E-2</v>
      </c>
      <c r="P29" s="19"/>
      <c r="U29" s="22">
        <f t="shared" si="5"/>
        <v>5.3332240736615071E-2</v>
      </c>
      <c r="V29" s="15">
        <f t="shared" si="0"/>
        <v>0</v>
      </c>
      <c r="Y29" s="22">
        <v>2.9532674104790813E-2</v>
      </c>
      <c r="Z29" s="15">
        <v>25</v>
      </c>
      <c r="AC29" s="43"/>
      <c r="AD29" s="157" t="s">
        <v>94</v>
      </c>
      <c r="AE29" s="158"/>
      <c r="AF29" s="42" t="s">
        <v>93</v>
      </c>
      <c r="AG29" s="41"/>
      <c r="AH29" s="40" t="s">
        <v>92</v>
      </c>
      <c r="AI29" s="39"/>
    </row>
    <row r="30" spans="1:35" ht="16" x14ac:dyDescent="0.2">
      <c r="A30" s="18" t="s">
        <v>91</v>
      </c>
      <c r="B30" s="14" t="s">
        <v>83</v>
      </c>
      <c r="C30" s="16">
        <v>149</v>
      </c>
      <c r="D30" s="15">
        <v>126</v>
      </c>
      <c r="E30" s="17">
        <f t="shared" si="1"/>
        <v>0.84563758389261745</v>
      </c>
      <c r="F30" s="14">
        <f t="shared" si="2"/>
        <v>126</v>
      </c>
      <c r="G30" s="16">
        <v>61235</v>
      </c>
      <c r="H30" s="15">
        <v>48308</v>
      </c>
      <c r="I30" s="15">
        <v>18602</v>
      </c>
      <c r="J30" s="15">
        <v>3439</v>
      </c>
      <c r="K30" s="15">
        <v>48357</v>
      </c>
      <c r="L30" s="15">
        <v>5159</v>
      </c>
      <c r="M30" s="14">
        <v>43667</v>
      </c>
      <c r="N30" s="13">
        <f t="shared" si="3"/>
        <v>3.7589415527769701</v>
      </c>
      <c r="O30" s="12">
        <f t="shared" si="4"/>
        <v>2.9832869466483888E-2</v>
      </c>
      <c r="P30" s="11">
        <f t="shared" ref="P30:P36" si="8">IF(ISNUMBER(O30),O30,"")</f>
        <v>2.9832869466483888E-2</v>
      </c>
      <c r="U30" s="22">
        <f t="shared" si="5"/>
        <v>5.5554417433974032E-2</v>
      </c>
      <c r="V30" s="15">
        <f t="shared" si="0"/>
        <v>0</v>
      </c>
      <c r="Y30" s="22">
        <v>2.9614167606309725E-2</v>
      </c>
      <c r="Z30" s="15">
        <v>26</v>
      </c>
      <c r="AC30" s="38" t="s">
        <v>90</v>
      </c>
      <c r="AD30" s="37" t="s">
        <v>89</v>
      </c>
      <c r="AE30" s="36" t="s">
        <v>88</v>
      </c>
      <c r="AF30" s="37" t="s">
        <v>89</v>
      </c>
      <c r="AG30" s="36" t="s">
        <v>88</v>
      </c>
      <c r="AH30" s="37" t="s">
        <v>89</v>
      </c>
      <c r="AI30" s="36" t="s">
        <v>88</v>
      </c>
    </row>
    <row r="31" spans="1:35" ht="16" x14ac:dyDescent="0.2">
      <c r="A31" s="18" t="s">
        <v>87</v>
      </c>
      <c r="B31" s="14" t="s">
        <v>86</v>
      </c>
      <c r="C31" s="16">
        <v>168</v>
      </c>
      <c r="D31" s="15">
        <v>147</v>
      </c>
      <c r="E31" s="17">
        <f t="shared" si="1"/>
        <v>0.875</v>
      </c>
      <c r="F31" s="14">
        <f t="shared" si="2"/>
        <v>147</v>
      </c>
      <c r="G31" s="16">
        <v>68039</v>
      </c>
      <c r="H31" s="15">
        <v>53070</v>
      </c>
      <c r="I31" s="15">
        <v>18602</v>
      </c>
      <c r="J31" s="15">
        <v>3258</v>
      </c>
      <c r="K31" s="15">
        <v>53167</v>
      </c>
      <c r="L31" s="15">
        <v>4630</v>
      </c>
      <c r="M31" s="14">
        <v>48667</v>
      </c>
      <c r="N31" s="13">
        <f t="shared" si="3"/>
        <v>4.5945365254757515</v>
      </c>
      <c r="O31" s="12">
        <f t="shared" si="4"/>
        <v>3.1255350513440486E-2</v>
      </c>
      <c r="P31" s="11">
        <f t="shared" si="8"/>
        <v>3.1255350513440486E-2</v>
      </c>
      <c r="U31" s="22">
        <f t="shared" si="5"/>
        <v>5.7776594131332994E-2</v>
      </c>
      <c r="V31" s="15">
        <f t="shared" si="0"/>
        <v>0</v>
      </c>
      <c r="Y31" s="22">
        <v>2.9719057935565032E-2</v>
      </c>
      <c r="Z31" s="15">
        <v>27</v>
      </c>
      <c r="AC31" s="33" t="s">
        <v>85</v>
      </c>
      <c r="AD31" s="31">
        <f>S5</f>
        <v>1.313676835498466E-2</v>
      </c>
      <c r="AE31" s="32">
        <f>Y13</f>
        <v>2.4134739959281885E-2</v>
      </c>
      <c r="AF31" s="31">
        <v>0</v>
      </c>
      <c r="AG31" s="32">
        <f t="shared" ref="AG31:AG37" si="9">(AE31-$AD$31)/($R$5-$S$5)</f>
        <v>0.1649729537314806</v>
      </c>
      <c r="AH31" s="35">
        <v>0</v>
      </c>
      <c r="AI31" s="30">
        <f t="shared" ref="AI31:AI37" si="10">0.2*AG31</f>
        <v>3.2994590746296119E-2</v>
      </c>
    </row>
    <row r="32" spans="1:35" ht="16" x14ac:dyDescent="0.2">
      <c r="A32" s="18" t="s">
        <v>84</v>
      </c>
      <c r="B32" s="14" t="s">
        <v>83</v>
      </c>
      <c r="C32" s="16">
        <v>132</v>
      </c>
      <c r="D32" s="15">
        <v>110</v>
      </c>
      <c r="E32" s="17">
        <f t="shared" si="1"/>
        <v>0.83333333333333337</v>
      </c>
      <c r="F32" s="14">
        <f t="shared" si="2"/>
        <v>110</v>
      </c>
      <c r="G32" s="16">
        <v>60555</v>
      </c>
      <c r="H32" s="15">
        <v>46493</v>
      </c>
      <c r="I32" s="15">
        <v>18602</v>
      </c>
      <c r="J32" s="15">
        <v>2910</v>
      </c>
      <c r="K32" s="15">
        <v>46667</v>
      </c>
      <c r="L32" s="15">
        <v>4994</v>
      </c>
      <c r="M32" s="14">
        <v>41333</v>
      </c>
      <c r="N32" s="13">
        <f t="shared" si="3"/>
        <v>4.8323024054982833</v>
      </c>
      <c r="O32" s="12">
        <f t="shared" si="4"/>
        <v>4.3930021868166212E-2</v>
      </c>
      <c r="P32" s="11">
        <f t="shared" si="8"/>
        <v>4.3930021868166212E-2</v>
      </c>
      <c r="U32" s="22">
        <f t="shared" si="5"/>
        <v>5.9998770828691955E-2</v>
      </c>
      <c r="V32" s="15">
        <f t="shared" si="0"/>
        <v>2</v>
      </c>
      <c r="Y32" s="22">
        <v>2.9832869466483888E-2</v>
      </c>
      <c r="Z32" s="15">
        <v>28</v>
      </c>
      <c r="AC32" s="33" t="s">
        <v>82</v>
      </c>
      <c r="AD32" s="31">
        <f t="shared" ref="AD32:AD37" si="11">AE31</f>
        <v>2.4134739959281885E-2</v>
      </c>
      <c r="AE32" s="32">
        <f>Y22</f>
        <v>2.7141855698876925E-2</v>
      </c>
      <c r="AF32" s="31">
        <f t="shared" ref="AF32:AF37" si="12">AG31</f>
        <v>0.1649729537314806</v>
      </c>
      <c r="AG32" s="32">
        <f t="shared" si="9"/>
        <v>0.21008061390943394</v>
      </c>
      <c r="AH32" s="34">
        <f t="shared" ref="AH32:AH37" si="13">AI31</f>
        <v>3.2994590746296119E-2</v>
      </c>
      <c r="AI32" s="30">
        <f t="shared" si="10"/>
        <v>4.2016122781886794E-2</v>
      </c>
    </row>
    <row r="33" spans="1:35" ht="16" x14ac:dyDescent="0.2">
      <c r="A33" s="18" t="s">
        <v>81</v>
      </c>
      <c r="B33" s="14" t="s">
        <v>76</v>
      </c>
      <c r="C33" s="16">
        <v>148</v>
      </c>
      <c r="D33" s="15">
        <v>128</v>
      </c>
      <c r="E33" s="17">
        <f t="shared" si="1"/>
        <v>0.86486486486486491</v>
      </c>
      <c r="F33" s="14">
        <f t="shared" si="2"/>
        <v>128</v>
      </c>
      <c r="G33" s="16">
        <v>70080</v>
      </c>
      <c r="H33" s="15">
        <v>55202</v>
      </c>
      <c r="I33" s="15">
        <v>20894</v>
      </c>
      <c r="J33" s="15">
        <v>3945</v>
      </c>
      <c r="K33" s="15">
        <v>55202</v>
      </c>
      <c r="L33" s="15">
        <v>6186</v>
      </c>
      <c r="M33" s="14">
        <v>49237</v>
      </c>
      <c r="N33" s="13">
        <f t="shared" si="3"/>
        <v>3.7713561470215473</v>
      </c>
      <c r="O33" s="12">
        <f t="shared" si="4"/>
        <v>2.9463719898605838E-2</v>
      </c>
      <c r="P33" s="11">
        <f t="shared" si="8"/>
        <v>2.9463719898605838E-2</v>
      </c>
      <c r="U33" s="22">
        <f t="shared" si="5"/>
        <v>6.2220947526050917E-2</v>
      </c>
      <c r="V33" s="15">
        <f t="shared" si="0"/>
        <v>0</v>
      </c>
      <c r="Y33" s="22">
        <v>3.0031936400660212E-2</v>
      </c>
      <c r="Z33" s="15">
        <v>29</v>
      </c>
      <c r="AC33" s="33" t="s">
        <v>80</v>
      </c>
      <c r="AD33" s="31">
        <f t="shared" si="11"/>
        <v>2.7141855698876925E-2</v>
      </c>
      <c r="AE33" s="32">
        <f>Y31</f>
        <v>2.9719057935565032E-2</v>
      </c>
      <c r="AF33" s="31">
        <f t="shared" si="12"/>
        <v>0.21008061390943394</v>
      </c>
      <c r="AG33" s="32">
        <f t="shared" si="9"/>
        <v>0.24873943943174112</v>
      </c>
      <c r="AH33" s="34">
        <f t="shared" si="13"/>
        <v>4.2016122781886794E-2</v>
      </c>
      <c r="AI33" s="30">
        <f t="shared" si="10"/>
        <v>4.9747887886348229E-2</v>
      </c>
    </row>
    <row r="34" spans="1:35" ht="16" x14ac:dyDescent="0.2">
      <c r="A34" s="18" t="s">
        <v>79</v>
      </c>
      <c r="B34" s="14" t="s">
        <v>76</v>
      </c>
      <c r="C34" s="16">
        <v>184</v>
      </c>
      <c r="D34" s="15">
        <v>160</v>
      </c>
      <c r="E34" s="17">
        <f t="shared" si="1"/>
        <v>0.86956521739130432</v>
      </c>
      <c r="F34" s="14">
        <f t="shared" si="2"/>
        <v>160</v>
      </c>
      <c r="G34" s="16">
        <v>79016</v>
      </c>
      <c r="H34" s="15">
        <v>62732</v>
      </c>
      <c r="I34" s="15">
        <v>20894</v>
      </c>
      <c r="J34" s="15">
        <v>3750</v>
      </c>
      <c r="K34" s="15">
        <v>62596</v>
      </c>
      <c r="L34" s="15">
        <v>5223</v>
      </c>
      <c r="M34" s="14">
        <v>58128</v>
      </c>
      <c r="N34" s="13">
        <f t="shared" si="3"/>
        <v>4.3423999999999987</v>
      </c>
      <c r="O34" s="12">
        <f t="shared" si="4"/>
        <v>2.7139999999999991E-2</v>
      </c>
      <c r="P34" s="11">
        <f t="shared" si="8"/>
        <v>2.7139999999999991E-2</v>
      </c>
      <c r="U34" s="22">
        <f t="shared" si="5"/>
        <v>6.4443124223409878E-2</v>
      </c>
      <c r="V34" s="15">
        <f t="shared" si="0"/>
        <v>0</v>
      </c>
      <c r="Y34" s="22">
        <v>3.0126414363501476E-2</v>
      </c>
      <c r="Z34" s="15">
        <v>30</v>
      </c>
      <c r="AC34" s="33" t="s">
        <v>78</v>
      </c>
      <c r="AD34" s="31">
        <f t="shared" si="11"/>
        <v>2.9719057935565032E-2</v>
      </c>
      <c r="AE34" s="32">
        <f>Y40</f>
        <v>3.3889803443408938E-2</v>
      </c>
      <c r="AF34" s="31">
        <f t="shared" si="12"/>
        <v>0.24873943943174112</v>
      </c>
      <c r="AG34" s="32">
        <f t="shared" si="9"/>
        <v>0.31130190371583405</v>
      </c>
      <c r="AH34" s="34">
        <f t="shared" si="13"/>
        <v>4.9747887886348229E-2</v>
      </c>
      <c r="AI34" s="30">
        <f t="shared" si="10"/>
        <v>6.226038074316681E-2</v>
      </c>
    </row>
    <row r="35" spans="1:35" ht="16" x14ac:dyDescent="0.2">
      <c r="A35" s="20" t="s">
        <v>77</v>
      </c>
      <c r="B35" s="14" t="s">
        <v>76</v>
      </c>
      <c r="C35" s="16">
        <v>189</v>
      </c>
      <c r="D35" s="15">
        <v>177</v>
      </c>
      <c r="E35" s="17">
        <f t="shared" si="1"/>
        <v>0.93650793650793651</v>
      </c>
      <c r="F35" s="14">
        <f t="shared" si="2"/>
        <v>177</v>
      </c>
      <c r="G35" s="16">
        <v>74389</v>
      </c>
      <c r="H35" s="15">
        <v>62732</v>
      </c>
      <c r="I35" s="15">
        <v>20894</v>
      </c>
      <c r="J35" s="15">
        <v>3704</v>
      </c>
      <c r="K35" s="15">
        <v>62732</v>
      </c>
      <c r="L35" s="15">
        <v>5149</v>
      </c>
      <c r="M35" s="14">
        <v>58173</v>
      </c>
      <c r="N35" s="13">
        <f t="shared" si="3"/>
        <v>3.1471382289416852</v>
      </c>
      <c r="O35" s="12">
        <f t="shared" si="4"/>
        <v>1.7780441971421951E-2</v>
      </c>
      <c r="P35" s="11">
        <f t="shared" si="8"/>
        <v>1.7780441971421951E-2</v>
      </c>
      <c r="U35" s="22">
        <f t="shared" si="5"/>
        <v>6.6665300920768833E-2</v>
      </c>
      <c r="V35" s="15">
        <f t="shared" si="0"/>
        <v>0</v>
      </c>
      <c r="Y35" s="22">
        <v>3.0591521609127197E-2</v>
      </c>
      <c r="Z35" s="15">
        <v>31</v>
      </c>
      <c r="AC35" s="33" t="s">
        <v>75</v>
      </c>
      <c r="AD35" s="31">
        <f t="shared" si="11"/>
        <v>3.3889803443408938E-2</v>
      </c>
      <c r="AE35" s="32">
        <f>Y49</f>
        <v>3.9795338260375221E-2</v>
      </c>
      <c r="AF35" s="31">
        <f t="shared" si="12"/>
        <v>0.31130190371583405</v>
      </c>
      <c r="AG35" s="32">
        <f t="shared" si="9"/>
        <v>0.39988674073599489</v>
      </c>
      <c r="AH35" s="34">
        <f t="shared" si="13"/>
        <v>6.226038074316681E-2</v>
      </c>
      <c r="AI35" s="30">
        <f t="shared" si="10"/>
        <v>7.9977348147198979E-2</v>
      </c>
    </row>
    <row r="36" spans="1:35" ht="16" x14ac:dyDescent="0.2">
      <c r="A36" s="18" t="s">
        <v>74</v>
      </c>
      <c r="B36" s="14" t="s">
        <v>73</v>
      </c>
      <c r="C36" s="16">
        <v>624</v>
      </c>
      <c r="D36" s="15">
        <v>416</v>
      </c>
      <c r="E36" s="17">
        <f t="shared" si="1"/>
        <v>0.66666666666666663</v>
      </c>
      <c r="F36" s="14">
        <f t="shared" si="2"/>
        <v>416</v>
      </c>
      <c r="G36" s="16">
        <v>396894</v>
      </c>
      <c r="H36" s="15">
        <v>246074</v>
      </c>
      <c r="I36" s="15">
        <v>173425</v>
      </c>
      <c r="J36" s="15">
        <v>10570</v>
      </c>
      <c r="K36" s="15">
        <v>246073</v>
      </c>
      <c r="L36" s="15">
        <v>13100</v>
      </c>
      <c r="M36" s="14">
        <v>222273</v>
      </c>
      <c r="N36" s="13">
        <f t="shared" si="3"/>
        <v>14.268684957426679</v>
      </c>
      <c r="O36" s="12">
        <f t="shared" si="4"/>
        <v>3.4299723455352593E-2</v>
      </c>
      <c r="P36" s="11">
        <f t="shared" si="8"/>
        <v>3.4299723455352593E-2</v>
      </c>
      <c r="U36" s="22">
        <f t="shared" si="5"/>
        <v>6.8887477618127788E-2</v>
      </c>
      <c r="V36" s="15">
        <f t="shared" si="0"/>
        <v>0</v>
      </c>
      <c r="Y36" s="22">
        <v>3.1255350513440486E-2</v>
      </c>
      <c r="Z36" s="15">
        <v>32</v>
      </c>
      <c r="AC36" s="33" t="s">
        <v>72</v>
      </c>
      <c r="AD36" s="31">
        <f t="shared" si="11"/>
        <v>3.9795338260375221E-2</v>
      </c>
      <c r="AE36" s="32">
        <f>Y58</f>
        <v>4.4882186616399616E-2</v>
      </c>
      <c r="AF36" s="31">
        <f t="shared" si="12"/>
        <v>0.39988674073599489</v>
      </c>
      <c r="AG36" s="32">
        <f t="shared" si="9"/>
        <v>0.47619102926039641</v>
      </c>
      <c r="AH36" s="31">
        <f t="shared" si="13"/>
        <v>7.9977348147198979E-2</v>
      </c>
      <c r="AI36" s="30">
        <f t="shared" si="10"/>
        <v>9.5238205852079288E-2</v>
      </c>
    </row>
    <row r="37" spans="1:35" ht="17" thickBot="1" x14ac:dyDescent="0.25">
      <c r="A37" s="18" t="s">
        <v>71</v>
      </c>
      <c r="B37" s="14" t="s">
        <v>70</v>
      </c>
      <c r="C37" s="16">
        <f>19+96+352+48</f>
        <v>515</v>
      </c>
      <c r="D37" s="15">
        <v>467</v>
      </c>
      <c r="E37" s="17">
        <f t="shared" si="1"/>
        <v>0.90679611650485437</v>
      </c>
      <c r="F37" s="14">
        <f t="shared" si="2"/>
        <v>467</v>
      </c>
      <c r="G37" s="16">
        <v>447696</v>
      </c>
      <c r="H37" s="15">
        <v>295289</v>
      </c>
      <c r="I37" s="15">
        <v>193280</v>
      </c>
      <c r="J37" s="15">
        <v>10894</v>
      </c>
      <c r="K37" s="15">
        <v>295289</v>
      </c>
      <c r="L37" s="15">
        <v>14816</v>
      </c>
      <c r="M37" s="14">
        <v>256316</v>
      </c>
      <c r="N37" s="13">
        <f t="shared" si="3"/>
        <v>13.989994492381127</v>
      </c>
      <c r="O37" s="12">
        <f t="shared" si="4"/>
        <v>2.9957161653921042E-2</v>
      </c>
      <c r="P37" s="19"/>
      <c r="U37" s="22">
        <f t="shared" si="5"/>
        <v>7.1109654315486742E-2</v>
      </c>
      <c r="V37" s="15">
        <f t="shared" si="0"/>
        <v>0</v>
      </c>
      <c r="Y37" s="22">
        <v>3.1705673094926043E-2</v>
      </c>
      <c r="Z37" s="15">
        <v>33</v>
      </c>
      <c r="AC37" s="29" t="s">
        <v>69</v>
      </c>
      <c r="AD37" s="28">
        <f t="shared" si="11"/>
        <v>4.4882186616399616E-2</v>
      </c>
      <c r="AE37" s="26">
        <f>R5</f>
        <v>7.9802069275753479E-2</v>
      </c>
      <c r="AF37" s="28">
        <f t="shared" si="12"/>
        <v>0.47619102926039641</v>
      </c>
      <c r="AG37" s="26">
        <f t="shared" si="9"/>
        <v>1</v>
      </c>
      <c r="AH37" s="27">
        <f t="shared" si="13"/>
        <v>9.5238205852079288E-2</v>
      </c>
      <c r="AI37" s="26">
        <f t="shared" si="10"/>
        <v>0.2</v>
      </c>
    </row>
    <row r="38" spans="1:35" x14ac:dyDescent="0.2">
      <c r="A38" s="18" t="s">
        <v>68</v>
      </c>
      <c r="B38" s="14" t="s">
        <v>67</v>
      </c>
      <c r="C38" s="16">
        <v>239</v>
      </c>
      <c r="D38" s="15">
        <v>200</v>
      </c>
      <c r="E38" s="17">
        <f t="shared" ref="E38:E69" si="14" xml:space="preserve"> IF(AND(ISNUMBER(D38),ISNUMBER(C38)),D38/C38,"")</f>
        <v>0.83682008368200833</v>
      </c>
      <c r="F38" s="14">
        <f t="shared" ref="F38:F69" si="15">D38</f>
        <v>200</v>
      </c>
      <c r="G38" s="16">
        <v>108850</v>
      </c>
      <c r="H38" s="15">
        <v>83450</v>
      </c>
      <c r="I38" s="15">
        <v>34260</v>
      </c>
      <c r="J38" s="15">
        <v>4321</v>
      </c>
      <c r="K38" s="15">
        <v>83450</v>
      </c>
      <c r="L38" s="15">
        <v>6482</v>
      </c>
      <c r="M38" s="14">
        <v>74000</v>
      </c>
      <c r="N38" s="13">
        <f t="shared" ref="N38:N69" si="16">G38*(1-H38/G38)/J38</f>
        <v>5.8782689192316582</v>
      </c>
      <c r="O38" s="12">
        <f t="shared" ref="O38:O69" si="17">N38/F38</f>
        <v>2.9391344596158289E-2</v>
      </c>
      <c r="P38" s="11">
        <f>IF(ISNUMBER(O38),O38,"")</f>
        <v>2.9391344596158289E-2</v>
      </c>
      <c r="U38" s="22">
        <f t="shared" si="5"/>
        <v>7.3331831012845697E-2</v>
      </c>
      <c r="V38" s="15">
        <f t="shared" si="0"/>
        <v>0</v>
      </c>
      <c r="Y38" s="22">
        <v>3.1762164909160215E-2</v>
      </c>
      <c r="Z38" s="15">
        <v>34</v>
      </c>
    </row>
    <row r="39" spans="1:35" x14ac:dyDescent="0.2">
      <c r="A39" s="18" t="s">
        <v>66</v>
      </c>
      <c r="B39" s="14"/>
      <c r="C39" s="16">
        <v>295</v>
      </c>
      <c r="D39" s="15">
        <v>243</v>
      </c>
      <c r="E39" s="17">
        <f t="shared" si="14"/>
        <v>0.82372881355932204</v>
      </c>
      <c r="F39" s="14">
        <f t="shared" si="15"/>
        <v>243</v>
      </c>
      <c r="G39" s="16">
        <v>122470</v>
      </c>
      <c r="H39" s="15">
        <v>95260</v>
      </c>
      <c r="I39" s="15">
        <v>34930</v>
      </c>
      <c r="J39" s="15">
        <v>4241</v>
      </c>
      <c r="K39" s="15">
        <v>95450</v>
      </c>
      <c r="L39" s="15">
        <v>5926.4</v>
      </c>
      <c r="M39" s="14">
        <v>87950</v>
      </c>
      <c r="N39" s="13">
        <f t="shared" si="16"/>
        <v>6.415939636878095</v>
      </c>
      <c r="O39" s="12">
        <f t="shared" si="17"/>
        <v>2.6403043773160884E-2</v>
      </c>
      <c r="P39" s="11">
        <f>IF(ISNUMBER(O39),O39,"")</f>
        <v>2.6403043773160884E-2</v>
      </c>
      <c r="U39" s="22">
        <f t="shared" si="5"/>
        <v>7.5554007710204651E-2</v>
      </c>
      <c r="V39" s="15">
        <f t="shared" si="0"/>
        <v>0</v>
      </c>
      <c r="Y39" s="22">
        <v>3.2720243643373795E-2</v>
      </c>
      <c r="Z39" s="15">
        <v>35</v>
      </c>
    </row>
    <row r="40" spans="1:35" x14ac:dyDescent="0.2">
      <c r="A40" s="18" t="s">
        <v>65</v>
      </c>
      <c r="B40" s="14" t="s">
        <v>64</v>
      </c>
      <c r="C40" s="16">
        <v>350</v>
      </c>
      <c r="D40" s="15">
        <v>210</v>
      </c>
      <c r="E40" s="17">
        <f t="shared" si="14"/>
        <v>0.6</v>
      </c>
      <c r="F40" s="14">
        <f t="shared" si="15"/>
        <v>210</v>
      </c>
      <c r="G40" s="16">
        <v>181437</v>
      </c>
      <c r="H40" s="15">
        <v>130635</v>
      </c>
      <c r="I40" s="15">
        <v>73364</v>
      </c>
      <c r="J40" s="15">
        <v>7630</v>
      </c>
      <c r="K40" s="15">
        <v>130635</v>
      </c>
      <c r="L40" s="15">
        <v>11908</v>
      </c>
      <c r="M40" s="14">
        <v>110586</v>
      </c>
      <c r="N40" s="13">
        <f t="shared" si="16"/>
        <v>6.6581913499344694</v>
      </c>
      <c r="O40" s="12">
        <f t="shared" si="17"/>
        <v>3.1705673094926043E-2</v>
      </c>
      <c r="P40" s="11">
        <f>IF(ISNUMBER(O40),O40,"")</f>
        <v>3.1705673094926043E-2</v>
      </c>
      <c r="U40" s="22">
        <f t="shared" si="5"/>
        <v>7.7776184407563606E-2</v>
      </c>
      <c r="V40" s="15">
        <f t="shared" si="0"/>
        <v>1</v>
      </c>
      <c r="Y40" s="22">
        <v>3.3889803443408938E-2</v>
      </c>
      <c r="Z40" s="15">
        <v>36</v>
      </c>
    </row>
    <row r="41" spans="1:35" x14ac:dyDescent="0.2">
      <c r="A41" s="18" t="s">
        <v>63</v>
      </c>
      <c r="B41" s="14" t="s">
        <v>62</v>
      </c>
      <c r="C41" s="16">
        <v>375</v>
      </c>
      <c r="D41" s="15">
        <v>243</v>
      </c>
      <c r="E41" s="17">
        <f t="shared" si="14"/>
        <v>0.64800000000000002</v>
      </c>
      <c r="F41" s="14">
        <f t="shared" si="15"/>
        <v>243</v>
      </c>
      <c r="G41" s="16">
        <v>204116</v>
      </c>
      <c r="H41" s="15">
        <v>149685</v>
      </c>
      <c r="I41" s="15">
        <v>73363</v>
      </c>
      <c r="J41" s="15">
        <v>6871</v>
      </c>
      <c r="K41" s="15">
        <v>149685</v>
      </c>
      <c r="L41" s="15">
        <v>10093</v>
      </c>
      <c r="M41" s="14">
        <v>131542</v>
      </c>
      <c r="N41" s="13">
        <f t="shared" si="16"/>
        <v>7.9218454373453637</v>
      </c>
      <c r="O41" s="12">
        <f t="shared" si="17"/>
        <v>3.2600186984960346E-2</v>
      </c>
      <c r="P41" s="19"/>
      <c r="U41" s="22">
        <f t="shared" si="5"/>
        <v>7.9998361104922561E-2</v>
      </c>
      <c r="V41" s="15">
        <f t="shared" si="0"/>
        <v>0</v>
      </c>
      <c r="Y41" s="22">
        <v>3.409633350760348E-2</v>
      </c>
      <c r="Z41" s="15">
        <v>37</v>
      </c>
    </row>
    <row r="42" spans="1:35" ht="15" thickBot="1" x14ac:dyDescent="0.25">
      <c r="A42" s="18" t="s">
        <v>61</v>
      </c>
      <c r="B42" s="14"/>
      <c r="C42" s="16">
        <v>440</v>
      </c>
      <c r="D42" s="15">
        <v>305</v>
      </c>
      <c r="E42" s="17">
        <f t="shared" si="14"/>
        <v>0.69318181818181823</v>
      </c>
      <c r="F42" s="14">
        <f t="shared" si="15"/>
        <v>305</v>
      </c>
      <c r="G42" s="16">
        <v>242630</v>
      </c>
      <c r="H42" s="15">
        <v>190470</v>
      </c>
      <c r="I42" s="15">
        <v>94240</v>
      </c>
      <c r="J42" s="15">
        <v>6112</v>
      </c>
      <c r="K42" s="15">
        <v>190500</v>
      </c>
      <c r="L42" s="15">
        <v>11973</v>
      </c>
      <c r="M42" s="14">
        <v>153201</v>
      </c>
      <c r="N42" s="13">
        <f t="shared" si="16"/>
        <v>8.5340314136125635</v>
      </c>
      <c r="O42" s="12">
        <f t="shared" si="17"/>
        <v>2.7980430864303487E-2</v>
      </c>
      <c r="P42" s="11">
        <f t="shared" ref="P42:P49" si="18">IF(ISNUMBER(O42),O42,"")</f>
        <v>2.7980430864303487E-2</v>
      </c>
      <c r="U42" s="2"/>
      <c r="Y42" s="22">
        <v>3.4227939575987125E-2</v>
      </c>
      <c r="Z42" s="15">
        <v>38</v>
      </c>
    </row>
    <row r="43" spans="1:35" ht="15" thickBot="1" x14ac:dyDescent="0.25">
      <c r="A43" s="18" t="s">
        <v>60</v>
      </c>
      <c r="B43" s="14" t="s">
        <v>59</v>
      </c>
      <c r="C43" s="16">
        <v>440</v>
      </c>
      <c r="D43" s="15">
        <v>305</v>
      </c>
      <c r="E43" s="17">
        <f t="shared" si="14"/>
        <v>0.69318181818181823</v>
      </c>
      <c r="F43" s="14">
        <f t="shared" si="15"/>
        <v>305</v>
      </c>
      <c r="G43" s="16">
        <v>233600</v>
      </c>
      <c r="H43" s="15">
        <v>190500</v>
      </c>
      <c r="I43" s="15">
        <v>94240</v>
      </c>
      <c r="J43" s="15">
        <v>5848</v>
      </c>
      <c r="K43" s="15">
        <v>190500</v>
      </c>
      <c r="L43" s="15">
        <v>12038</v>
      </c>
      <c r="M43" s="14">
        <v>150952</v>
      </c>
      <c r="N43" s="13">
        <f t="shared" si="16"/>
        <v>7.3700410396716816</v>
      </c>
      <c r="O43" s="12">
        <f t="shared" si="17"/>
        <v>2.4164068982530103E-2</v>
      </c>
      <c r="P43" s="11">
        <f t="shared" si="18"/>
        <v>2.4164068982530103E-2</v>
      </c>
      <c r="U43" s="2"/>
      <c r="V43" s="25">
        <f>SUM(V5:V41)</f>
        <v>61</v>
      </c>
      <c r="Y43" s="22">
        <v>3.4299723455352593E-2</v>
      </c>
      <c r="Z43" s="15">
        <v>39</v>
      </c>
    </row>
    <row r="44" spans="1:35" x14ac:dyDescent="0.2">
      <c r="A44" s="18" t="s">
        <v>58</v>
      </c>
      <c r="B44" s="14"/>
      <c r="C44" s="16">
        <v>440</v>
      </c>
      <c r="D44" s="15">
        <v>301</v>
      </c>
      <c r="E44" s="17">
        <f t="shared" si="14"/>
        <v>0.68409090909090908</v>
      </c>
      <c r="F44" s="14">
        <f t="shared" si="15"/>
        <v>301</v>
      </c>
      <c r="G44" s="16">
        <v>347452</v>
      </c>
      <c r="H44" s="15">
        <v>209106</v>
      </c>
      <c r="I44" s="15">
        <v>145538</v>
      </c>
      <c r="J44" s="15">
        <v>14047</v>
      </c>
      <c r="K44" s="15">
        <v>209106</v>
      </c>
      <c r="L44" s="15">
        <v>15029</v>
      </c>
      <c r="M44" s="14">
        <v>202075</v>
      </c>
      <c r="N44" s="13">
        <f t="shared" si="16"/>
        <v>9.8487933366555129</v>
      </c>
      <c r="O44" s="12">
        <f t="shared" si="17"/>
        <v>3.2720243643373795E-2</v>
      </c>
      <c r="P44" s="11">
        <f t="shared" si="18"/>
        <v>3.2720243643373795E-2</v>
      </c>
      <c r="U44" s="2"/>
      <c r="Y44" s="22">
        <v>3.4518447252955498E-2</v>
      </c>
      <c r="Z44" s="15">
        <v>40</v>
      </c>
    </row>
    <row r="45" spans="1:35" x14ac:dyDescent="0.2">
      <c r="A45" s="18" t="s">
        <v>57</v>
      </c>
      <c r="B45" s="14"/>
      <c r="C45" s="16">
        <v>550</v>
      </c>
      <c r="D45" s="15">
        <v>368</v>
      </c>
      <c r="E45" s="17">
        <f t="shared" si="14"/>
        <v>0.66909090909090907</v>
      </c>
      <c r="F45" s="14">
        <f t="shared" si="15"/>
        <v>368</v>
      </c>
      <c r="G45" s="16">
        <v>299370</v>
      </c>
      <c r="H45" s="15">
        <v>224530</v>
      </c>
      <c r="I45" s="15">
        <v>135880</v>
      </c>
      <c r="J45" s="15">
        <v>6750.54</v>
      </c>
      <c r="K45" s="15">
        <v>224540</v>
      </c>
      <c r="L45" s="15">
        <v>15269.7</v>
      </c>
      <c r="M45" s="14">
        <v>162046</v>
      </c>
      <c r="N45" s="13">
        <f t="shared" si="16"/>
        <v>11.086520485768544</v>
      </c>
      <c r="O45" s="12">
        <f t="shared" si="17"/>
        <v>3.0126414363501476E-2</v>
      </c>
      <c r="P45" s="11">
        <f t="shared" si="18"/>
        <v>3.0126414363501476E-2</v>
      </c>
      <c r="U45" s="2"/>
      <c r="Y45" s="22">
        <v>3.7568974288733202E-2</v>
      </c>
      <c r="Z45" s="15">
        <v>41</v>
      </c>
    </row>
    <row r="46" spans="1:35" x14ac:dyDescent="0.2">
      <c r="A46" s="18" t="s">
        <v>56</v>
      </c>
      <c r="B46" s="14" t="s">
        <v>55</v>
      </c>
      <c r="C46" s="16">
        <v>550</v>
      </c>
      <c r="D46" s="15">
        <v>365</v>
      </c>
      <c r="E46" s="17">
        <f t="shared" si="14"/>
        <v>0.66363636363636369</v>
      </c>
      <c r="F46" s="14">
        <f t="shared" si="15"/>
        <v>365</v>
      </c>
      <c r="G46" s="16">
        <v>351535</v>
      </c>
      <c r="H46" s="15">
        <v>237682</v>
      </c>
      <c r="I46" s="15">
        <v>145540</v>
      </c>
      <c r="J46" s="15">
        <v>10533</v>
      </c>
      <c r="K46" s="15">
        <v>237682</v>
      </c>
      <c r="L46" s="15">
        <v>14585</v>
      </c>
      <c r="M46" s="14">
        <v>206389</v>
      </c>
      <c r="N46" s="13">
        <f t="shared" si="16"/>
        <v>10.80917117630305</v>
      </c>
      <c r="O46" s="12">
        <f t="shared" si="17"/>
        <v>2.9614167606309725E-2</v>
      </c>
      <c r="P46" s="11">
        <f t="shared" si="18"/>
        <v>2.9614167606309725E-2</v>
      </c>
      <c r="U46" s="2"/>
      <c r="Y46" s="22">
        <v>3.7942771431868014E-2</v>
      </c>
      <c r="Z46" s="15">
        <v>42</v>
      </c>
    </row>
    <row r="47" spans="1:35" x14ac:dyDescent="0.2">
      <c r="A47" s="18" t="s">
        <v>54</v>
      </c>
      <c r="B47" s="14" t="s">
        <v>52</v>
      </c>
      <c r="C47" s="16">
        <v>375</v>
      </c>
      <c r="D47" s="15">
        <v>242</v>
      </c>
      <c r="E47" s="17">
        <f t="shared" si="14"/>
        <v>0.64533333333333331</v>
      </c>
      <c r="F47" s="14">
        <f t="shared" si="15"/>
        <v>242</v>
      </c>
      <c r="G47" s="16">
        <v>227930</v>
      </c>
      <c r="H47" s="15">
        <v>161025</v>
      </c>
      <c r="I47" s="15">
        <v>101343</v>
      </c>
      <c r="J47" s="15">
        <v>10186</v>
      </c>
      <c r="K47" s="15">
        <v>161025</v>
      </c>
      <c r="L47" s="15">
        <v>17536</v>
      </c>
      <c r="M47" s="14">
        <v>127008</v>
      </c>
      <c r="N47" s="13">
        <f t="shared" si="16"/>
        <v>6.5683290791282154</v>
      </c>
      <c r="O47" s="12">
        <f t="shared" si="17"/>
        <v>2.7141855698876925E-2</v>
      </c>
      <c r="P47" s="11">
        <f t="shared" si="18"/>
        <v>2.7141855698876925E-2</v>
      </c>
      <c r="U47" s="2"/>
      <c r="Y47" s="22">
        <v>3.8811771238200996E-2</v>
      </c>
      <c r="Z47" s="15">
        <v>43</v>
      </c>
    </row>
    <row r="48" spans="1:35" x14ac:dyDescent="0.2">
      <c r="A48" s="18" t="s">
        <v>53</v>
      </c>
      <c r="B48" s="14" t="s">
        <v>52</v>
      </c>
      <c r="C48" s="16">
        <v>408</v>
      </c>
      <c r="D48" s="15">
        <v>290</v>
      </c>
      <c r="E48" s="17">
        <f t="shared" si="14"/>
        <v>0.71078431372549022</v>
      </c>
      <c r="F48" s="14">
        <f t="shared" si="15"/>
        <v>290</v>
      </c>
      <c r="G48" s="16">
        <v>254011</v>
      </c>
      <c r="H48" s="15">
        <v>181437</v>
      </c>
      <c r="I48" s="15">
        <v>101522</v>
      </c>
      <c r="J48" s="15">
        <v>9714</v>
      </c>
      <c r="K48" s="15">
        <v>181437</v>
      </c>
      <c r="L48" s="15">
        <v>15223</v>
      </c>
      <c r="M48" s="14">
        <v>152316</v>
      </c>
      <c r="N48" s="13">
        <f t="shared" si="16"/>
        <v>7.4710726786081931</v>
      </c>
      <c r="O48" s="12">
        <f t="shared" si="17"/>
        <v>2.5762319581407563E-2</v>
      </c>
      <c r="P48" s="11">
        <f t="shared" si="18"/>
        <v>2.5762319581407563E-2</v>
      </c>
      <c r="U48" s="2"/>
      <c r="Y48" s="22">
        <v>3.9020390811229357E-2</v>
      </c>
      <c r="Z48" s="15">
        <v>44</v>
      </c>
    </row>
    <row r="49" spans="1:26" x14ac:dyDescent="0.2">
      <c r="A49" s="18" t="s">
        <v>51</v>
      </c>
      <c r="B49" s="14"/>
      <c r="C49" s="16">
        <v>440</v>
      </c>
      <c r="D49" s="15">
        <v>330</v>
      </c>
      <c r="E49" s="17">
        <f t="shared" si="14"/>
        <v>0.75</v>
      </c>
      <c r="F49" s="14">
        <f t="shared" si="15"/>
        <v>330</v>
      </c>
      <c r="G49" s="16">
        <v>254011</v>
      </c>
      <c r="H49" s="15">
        <v>192776</v>
      </c>
      <c r="I49" s="15">
        <v>101522</v>
      </c>
      <c r="J49" s="15">
        <v>7704</v>
      </c>
      <c r="K49" s="15">
        <v>192686</v>
      </c>
      <c r="L49" s="15">
        <v>14964</v>
      </c>
      <c r="M49" s="14">
        <v>152363</v>
      </c>
      <c r="N49" s="13">
        <f t="shared" si="16"/>
        <v>7.9484683281412263</v>
      </c>
      <c r="O49" s="12">
        <f t="shared" si="17"/>
        <v>2.4086267661034021E-2</v>
      </c>
      <c r="P49" s="11">
        <f t="shared" si="18"/>
        <v>2.4086267661034021E-2</v>
      </c>
      <c r="U49" s="2"/>
      <c r="Y49" s="22">
        <v>3.9795338260375221E-2</v>
      </c>
      <c r="Z49" s="15">
        <v>45</v>
      </c>
    </row>
    <row r="50" spans="1:26" x14ac:dyDescent="0.2">
      <c r="A50" s="18" t="s">
        <v>50</v>
      </c>
      <c r="B50" s="14" t="s">
        <v>49</v>
      </c>
      <c r="C50" s="16">
        <v>410</v>
      </c>
      <c r="D50" s="15">
        <v>298</v>
      </c>
      <c r="E50" s="17">
        <f t="shared" si="14"/>
        <v>0.72682926829268291</v>
      </c>
      <c r="F50" s="14">
        <f t="shared" si="15"/>
        <v>298</v>
      </c>
      <c r="G50" s="16">
        <v>274655</v>
      </c>
      <c r="H50" s="15">
        <v>181440</v>
      </c>
      <c r="I50" s="15">
        <v>117356</v>
      </c>
      <c r="J50" s="15">
        <v>9538</v>
      </c>
      <c r="K50" s="15">
        <v>50741</v>
      </c>
      <c r="L50" s="15">
        <v>12038</v>
      </c>
      <c r="M50" s="14">
        <v>31852</v>
      </c>
      <c r="N50" s="13">
        <f t="shared" si="16"/>
        <v>9.7730132103166287</v>
      </c>
      <c r="O50" s="12">
        <f t="shared" si="17"/>
        <v>3.2795346343344391E-2</v>
      </c>
      <c r="P50" s="19"/>
      <c r="U50" s="2"/>
      <c r="Y50" s="22">
        <v>4.0145071456327446E-2</v>
      </c>
      <c r="Z50" s="15">
        <v>46</v>
      </c>
    </row>
    <row r="51" spans="1:26" x14ac:dyDescent="0.2">
      <c r="A51" s="18" t="s">
        <v>48</v>
      </c>
      <c r="B51" s="14" t="s">
        <v>47</v>
      </c>
      <c r="C51" s="16">
        <v>172</v>
      </c>
      <c r="D51" s="15">
        <v>143</v>
      </c>
      <c r="E51" s="17">
        <f t="shared" si="14"/>
        <v>0.83139534883720934</v>
      </c>
      <c r="F51" s="14">
        <f t="shared" si="15"/>
        <v>143</v>
      </c>
      <c r="G51" s="16">
        <v>63504</v>
      </c>
      <c r="H51" s="15">
        <v>50802</v>
      </c>
      <c r="I51" s="15">
        <v>17764</v>
      </c>
      <c r="J51" s="15">
        <v>2621</v>
      </c>
      <c r="K51" s="15">
        <v>17600</v>
      </c>
      <c r="L51" s="15">
        <v>4389</v>
      </c>
      <c r="M51" s="14">
        <v>12701</v>
      </c>
      <c r="N51" s="13">
        <f t="shared" si="16"/>
        <v>4.8462418924074777</v>
      </c>
      <c r="O51" s="12">
        <f t="shared" si="17"/>
        <v>3.3889803443408938E-2</v>
      </c>
      <c r="P51" s="11">
        <f>IF(ISNUMBER(O51),O51,"")</f>
        <v>3.3889803443408938E-2</v>
      </c>
      <c r="U51" s="2"/>
      <c r="Y51" s="22">
        <v>4.0692041522491333E-2</v>
      </c>
      <c r="Z51" s="15">
        <v>47</v>
      </c>
    </row>
    <row r="52" spans="1:26" x14ac:dyDescent="0.2">
      <c r="A52" s="18" t="s">
        <v>46</v>
      </c>
      <c r="B52" s="14"/>
      <c r="C52" s="16">
        <v>172</v>
      </c>
      <c r="D52" s="15">
        <v>155</v>
      </c>
      <c r="E52" s="17">
        <f t="shared" si="14"/>
        <v>0.90116279069767447</v>
      </c>
      <c r="F52" s="14">
        <f t="shared" si="15"/>
        <v>155</v>
      </c>
      <c r="G52" s="16">
        <v>70760</v>
      </c>
      <c r="H52" s="15">
        <v>58967</v>
      </c>
      <c r="I52" s="15">
        <v>17748</v>
      </c>
      <c r="J52" s="15">
        <v>2277.96</v>
      </c>
      <c r="K52" s="15">
        <v>18971</v>
      </c>
      <c r="L52" s="15">
        <v>4074.4</v>
      </c>
      <c r="M52" s="14">
        <v>13000</v>
      </c>
      <c r="N52" s="13">
        <f t="shared" si="16"/>
        <v>5.1770004741084135</v>
      </c>
      <c r="O52" s="12">
        <f t="shared" si="17"/>
        <v>3.3400003058763957E-2</v>
      </c>
      <c r="P52" s="21"/>
      <c r="U52" s="2"/>
      <c r="Y52" s="22">
        <v>4.0849673202614387E-2</v>
      </c>
      <c r="Z52" s="15">
        <v>48</v>
      </c>
    </row>
    <row r="53" spans="1:26" x14ac:dyDescent="0.2">
      <c r="A53" s="18" t="s">
        <v>45</v>
      </c>
      <c r="B53" s="14"/>
      <c r="C53" s="16">
        <v>40</v>
      </c>
      <c r="D53" s="15">
        <v>37</v>
      </c>
      <c r="E53" s="17">
        <f t="shared" si="14"/>
        <v>0.92500000000000004</v>
      </c>
      <c r="F53" s="14">
        <f t="shared" si="15"/>
        <v>37</v>
      </c>
      <c r="G53" s="16">
        <v>16465</v>
      </c>
      <c r="H53" s="15">
        <v>14515</v>
      </c>
      <c r="I53" s="15">
        <v>2576</v>
      </c>
      <c r="J53" s="15">
        <v>1259</v>
      </c>
      <c r="K53" s="15">
        <v>4178</v>
      </c>
      <c r="L53" s="15">
        <v>1956</v>
      </c>
      <c r="M53" s="14">
        <v>3552</v>
      </c>
      <c r="N53" s="13">
        <f t="shared" si="16"/>
        <v>1.5488482922954734</v>
      </c>
      <c r="O53" s="12">
        <f t="shared" si="17"/>
        <v>4.1860764656634415E-2</v>
      </c>
      <c r="P53" s="11">
        <f t="shared" ref="P53:P61" si="19">IF(ISNUMBER(O53),O53,"")</f>
        <v>4.1860764656634415E-2</v>
      </c>
      <c r="U53" s="2"/>
      <c r="Y53" s="22">
        <v>4.0969131878222771E-2</v>
      </c>
      <c r="Z53" s="15">
        <v>49</v>
      </c>
    </row>
    <row r="54" spans="1:26" x14ac:dyDescent="0.2">
      <c r="A54" s="18" t="s">
        <v>44</v>
      </c>
      <c r="B54" s="14" t="s">
        <v>43</v>
      </c>
      <c r="C54" s="16">
        <v>56</v>
      </c>
      <c r="D54" s="15">
        <v>50</v>
      </c>
      <c r="E54" s="17">
        <f t="shared" si="14"/>
        <v>0.8928571428571429</v>
      </c>
      <c r="F54" s="14">
        <f t="shared" si="15"/>
        <v>50</v>
      </c>
      <c r="G54" s="16">
        <v>19500</v>
      </c>
      <c r="H54" s="15">
        <v>17920</v>
      </c>
      <c r="I54" s="15">
        <v>2574</v>
      </c>
      <c r="J54" s="15">
        <v>715</v>
      </c>
      <c r="K54" s="15">
        <v>6223</v>
      </c>
      <c r="L54" s="15">
        <v>1700</v>
      </c>
      <c r="M54" s="14">
        <v>5289</v>
      </c>
      <c r="N54" s="13">
        <f t="shared" si="16"/>
        <v>2.2097902097902096</v>
      </c>
      <c r="O54" s="12">
        <f t="shared" si="17"/>
        <v>4.4195804195804191E-2</v>
      </c>
      <c r="P54" s="11">
        <f t="shared" si="19"/>
        <v>4.4195804195804191E-2</v>
      </c>
      <c r="U54" s="2"/>
      <c r="Y54" s="22">
        <v>4.1860764656634415E-2</v>
      </c>
      <c r="Z54" s="15">
        <v>50</v>
      </c>
    </row>
    <row r="55" spans="1:26" ht="15" x14ac:dyDescent="0.2">
      <c r="A55" s="18" t="s">
        <v>42</v>
      </c>
      <c r="B55" s="14" t="s">
        <v>40</v>
      </c>
      <c r="C55" s="16">
        <v>50</v>
      </c>
      <c r="D55" s="15">
        <v>50</v>
      </c>
      <c r="E55" s="17">
        <f t="shared" si="14"/>
        <v>1</v>
      </c>
      <c r="F55" s="14">
        <f t="shared" si="15"/>
        <v>50</v>
      </c>
      <c r="G55" s="16">
        <v>21523</v>
      </c>
      <c r="H55" s="15">
        <v>19142</v>
      </c>
      <c r="I55" s="15">
        <v>4161</v>
      </c>
      <c r="J55" s="15">
        <v>1019</v>
      </c>
      <c r="K55" s="15">
        <v>5480</v>
      </c>
      <c r="L55" s="15">
        <v>2593</v>
      </c>
      <c r="M55" s="14">
        <v>3800</v>
      </c>
      <c r="N55" s="13">
        <f t="shared" si="16"/>
        <v>2.3366045142296366</v>
      </c>
      <c r="O55" s="12">
        <f t="shared" si="17"/>
        <v>4.6732090284592728E-2</v>
      </c>
      <c r="P55" s="11">
        <f t="shared" si="19"/>
        <v>4.6732090284592728E-2</v>
      </c>
      <c r="U55" s="2"/>
      <c r="Y55" s="22">
        <v>4.3930021868166212E-2</v>
      </c>
      <c r="Z55" s="15">
        <v>51</v>
      </c>
    </row>
    <row r="56" spans="1:26" ht="15" x14ac:dyDescent="0.2">
      <c r="A56" s="18" t="s">
        <v>41</v>
      </c>
      <c r="B56" s="14" t="s">
        <v>40</v>
      </c>
      <c r="C56" s="16">
        <v>50</v>
      </c>
      <c r="D56" s="15">
        <v>50</v>
      </c>
      <c r="E56" s="17">
        <f t="shared" si="14"/>
        <v>1</v>
      </c>
      <c r="F56" s="14">
        <f t="shared" si="15"/>
        <v>50</v>
      </c>
      <c r="G56" s="16">
        <v>21523</v>
      </c>
      <c r="H56" s="15">
        <v>19142</v>
      </c>
      <c r="I56" s="15">
        <v>4255</v>
      </c>
      <c r="J56" s="15">
        <v>1061</v>
      </c>
      <c r="K56" s="24">
        <f>12000*0.4536</f>
        <v>5443.2</v>
      </c>
      <c r="L56" s="15">
        <v>2559</v>
      </c>
      <c r="M56" s="23">
        <f>8000*0.4536</f>
        <v>3628.8</v>
      </c>
      <c r="N56" s="13">
        <f t="shared" si="16"/>
        <v>2.2441093308199807</v>
      </c>
      <c r="O56" s="12">
        <f t="shared" si="17"/>
        <v>4.4882186616399616E-2</v>
      </c>
      <c r="P56" s="11">
        <f t="shared" si="19"/>
        <v>4.4882186616399616E-2</v>
      </c>
      <c r="U56" s="2"/>
      <c r="Y56" s="22">
        <v>4.4195804195804191E-2</v>
      </c>
      <c r="Z56" s="15">
        <v>52</v>
      </c>
    </row>
    <row r="57" spans="1:26" x14ac:dyDescent="0.2">
      <c r="A57" s="18" t="s">
        <v>39</v>
      </c>
      <c r="B57" s="14" t="s">
        <v>38</v>
      </c>
      <c r="C57" s="16">
        <v>78</v>
      </c>
      <c r="D57" s="15">
        <v>78</v>
      </c>
      <c r="E57" s="17">
        <f t="shared" si="14"/>
        <v>1</v>
      </c>
      <c r="F57" s="14">
        <f t="shared" si="15"/>
        <v>78</v>
      </c>
      <c r="G57" s="16">
        <v>32995</v>
      </c>
      <c r="H57" s="15">
        <v>28259</v>
      </c>
      <c r="I57" s="15">
        <v>8991</v>
      </c>
      <c r="J57" s="15">
        <v>1759</v>
      </c>
      <c r="K57" s="15">
        <v>8505</v>
      </c>
      <c r="L57" s="15">
        <v>4260</v>
      </c>
      <c r="M57" s="14">
        <v>4536</v>
      </c>
      <c r="N57" s="13">
        <f t="shared" si="16"/>
        <v>2.6924388857305286</v>
      </c>
      <c r="O57" s="12">
        <f t="shared" si="17"/>
        <v>3.4518447252955498E-2</v>
      </c>
      <c r="P57" s="11">
        <f t="shared" si="19"/>
        <v>3.4518447252955498E-2</v>
      </c>
      <c r="U57" s="2"/>
      <c r="Y57" s="22">
        <v>4.4396581671645924E-2</v>
      </c>
      <c r="Z57" s="15">
        <v>53</v>
      </c>
    </row>
    <row r="58" spans="1:26" x14ac:dyDescent="0.2">
      <c r="A58" s="18" t="s">
        <v>37</v>
      </c>
      <c r="B58" s="14" t="s">
        <v>36</v>
      </c>
      <c r="C58" s="16">
        <v>90</v>
      </c>
      <c r="D58" s="15">
        <v>90</v>
      </c>
      <c r="E58" s="17">
        <f t="shared" si="14"/>
        <v>1</v>
      </c>
      <c r="F58" s="14">
        <f t="shared" si="15"/>
        <v>90</v>
      </c>
      <c r="G58" s="16">
        <v>38329</v>
      </c>
      <c r="H58" s="15">
        <v>31752</v>
      </c>
      <c r="I58" s="15">
        <v>8888</v>
      </c>
      <c r="J58" s="15">
        <v>1926</v>
      </c>
      <c r="K58" s="15">
        <v>9979</v>
      </c>
      <c r="L58" s="15">
        <v>3630</v>
      </c>
      <c r="M58" s="14">
        <v>6940</v>
      </c>
      <c r="N58" s="13">
        <f t="shared" si="16"/>
        <v>3.4148494288681213</v>
      </c>
      <c r="O58" s="12">
        <f t="shared" si="17"/>
        <v>3.7942771431868014E-2</v>
      </c>
      <c r="P58" s="11">
        <f t="shared" si="19"/>
        <v>3.7942771431868014E-2</v>
      </c>
      <c r="U58" s="2"/>
      <c r="Y58" s="22">
        <v>4.4882186616399616E-2</v>
      </c>
      <c r="Z58" s="15">
        <v>54</v>
      </c>
    </row>
    <row r="59" spans="1:26" x14ac:dyDescent="0.2">
      <c r="A59" s="18" t="s">
        <v>35</v>
      </c>
      <c r="B59" s="14"/>
      <c r="C59" s="16">
        <v>104</v>
      </c>
      <c r="D59" s="15">
        <v>104</v>
      </c>
      <c r="E59" s="17">
        <f t="shared" si="14"/>
        <v>1</v>
      </c>
      <c r="F59" s="14">
        <f t="shared" si="15"/>
        <v>104</v>
      </c>
      <c r="G59" s="16">
        <v>41640</v>
      </c>
      <c r="H59" s="15">
        <v>35153</v>
      </c>
      <c r="I59" s="15">
        <v>8822</v>
      </c>
      <c r="J59" s="15">
        <v>2222</v>
      </c>
      <c r="K59" s="15">
        <v>11975</v>
      </c>
      <c r="L59" s="15">
        <v>3510</v>
      </c>
      <c r="M59" s="14">
        <v>9639</v>
      </c>
      <c r="N59" s="13">
        <f t="shared" si="16"/>
        <v>2.9194419441944186</v>
      </c>
      <c r="O59" s="12">
        <f t="shared" si="17"/>
        <v>2.8071557155715562E-2</v>
      </c>
      <c r="P59" s="11">
        <f t="shared" si="19"/>
        <v>2.8071557155715562E-2</v>
      </c>
      <c r="U59" s="2"/>
      <c r="Y59" s="22">
        <v>4.6377911388710544E-2</v>
      </c>
      <c r="Z59" s="15">
        <v>55</v>
      </c>
    </row>
    <row r="60" spans="1:26" x14ac:dyDescent="0.2">
      <c r="A60" s="18" t="s">
        <v>34</v>
      </c>
      <c r="B60" s="14" t="s">
        <v>33</v>
      </c>
      <c r="C60" s="16">
        <v>39</v>
      </c>
      <c r="D60" s="15">
        <v>37</v>
      </c>
      <c r="E60" s="17">
        <f t="shared" si="14"/>
        <v>0.94871794871794868</v>
      </c>
      <c r="F60" s="14">
        <f t="shared" si="15"/>
        <v>37</v>
      </c>
      <c r="G60" s="16">
        <v>15650</v>
      </c>
      <c r="H60" s="15">
        <v>14061</v>
      </c>
      <c r="I60" s="15">
        <v>2576</v>
      </c>
      <c r="J60" s="15">
        <v>926</v>
      </c>
      <c r="K60" s="15">
        <v>3813</v>
      </c>
      <c r="L60" s="15">
        <v>1991</v>
      </c>
      <c r="M60" s="14">
        <v>2750</v>
      </c>
      <c r="N60" s="13">
        <f t="shared" si="16"/>
        <v>1.7159827213822902</v>
      </c>
      <c r="O60" s="12">
        <f t="shared" si="17"/>
        <v>4.6377911388710544E-2</v>
      </c>
      <c r="P60" s="11">
        <f t="shared" si="19"/>
        <v>4.6377911388710544E-2</v>
      </c>
      <c r="U60" s="2"/>
      <c r="Y60" s="22">
        <v>4.6732090284592728E-2</v>
      </c>
      <c r="Z60" s="15">
        <v>56</v>
      </c>
    </row>
    <row r="61" spans="1:26" x14ac:dyDescent="0.2">
      <c r="A61" s="18" t="s">
        <v>32</v>
      </c>
      <c r="B61" s="14" t="s">
        <v>31</v>
      </c>
      <c r="C61" s="16">
        <v>86</v>
      </c>
      <c r="D61" s="15">
        <v>82</v>
      </c>
      <c r="E61" s="17">
        <f t="shared" si="14"/>
        <v>0.95348837209302328</v>
      </c>
      <c r="F61" s="14">
        <f t="shared" si="15"/>
        <v>82</v>
      </c>
      <c r="G61" s="16">
        <v>29257</v>
      </c>
      <c r="H61" s="15">
        <v>25855</v>
      </c>
      <c r="I61" s="15">
        <v>5318</v>
      </c>
      <c r="J61" s="15">
        <v>1396</v>
      </c>
      <c r="K61" s="15">
        <v>8500</v>
      </c>
      <c r="L61" s="15">
        <v>2847</v>
      </c>
      <c r="M61" s="14">
        <v>6468</v>
      </c>
      <c r="N61" s="13">
        <f t="shared" si="16"/>
        <v>2.4369627507163325</v>
      </c>
      <c r="O61" s="12">
        <f t="shared" si="17"/>
        <v>2.9719057935565032E-2</v>
      </c>
      <c r="P61" s="11">
        <f t="shared" si="19"/>
        <v>2.9719057935565032E-2</v>
      </c>
      <c r="U61" s="2"/>
      <c r="Y61" s="22">
        <v>4.9086982132338502E-2</v>
      </c>
      <c r="Z61" s="15">
        <v>57</v>
      </c>
    </row>
    <row r="62" spans="1:26" x14ac:dyDescent="0.2">
      <c r="A62" s="20" t="s">
        <v>30</v>
      </c>
      <c r="B62" s="14" t="s">
        <v>29</v>
      </c>
      <c r="C62" s="16">
        <v>19</v>
      </c>
      <c r="D62" s="15">
        <v>19</v>
      </c>
      <c r="E62" s="17">
        <f t="shared" si="14"/>
        <v>1</v>
      </c>
      <c r="F62" s="14">
        <f t="shared" si="15"/>
        <v>19</v>
      </c>
      <c r="G62" s="16">
        <v>5670</v>
      </c>
      <c r="H62" s="15">
        <f>1928+2653</f>
        <v>4581</v>
      </c>
      <c r="I62" s="15">
        <v>1159</v>
      </c>
      <c r="J62" s="15">
        <v>92.6</v>
      </c>
      <c r="K62" s="15">
        <v>1649</v>
      </c>
      <c r="L62" s="15">
        <v>370.4</v>
      </c>
      <c r="M62" s="14">
        <v>1378</v>
      </c>
      <c r="N62" s="13">
        <f t="shared" si="16"/>
        <v>11.76025917926566</v>
      </c>
      <c r="O62" s="12">
        <f t="shared" si="17"/>
        <v>0.61896100943503474</v>
      </c>
      <c r="P62" s="19"/>
      <c r="U62" s="2"/>
      <c r="Y62" s="22">
        <v>4.9617652209444862E-2</v>
      </c>
      <c r="Z62" s="15">
        <v>58</v>
      </c>
    </row>
    <row r="63" spans="1:26" x14ac:dyDescent="0.2">
      <c r="A63" s="20" t="s">
        <v>28</v>
      </c>
      <c r="B63" s="14" t="s">
        <v>27</v>
      </c>
      <c r="C63" s="16">
        <v>19</v>
      </c>
      <c r="D63" s="15">
        <v>19</v>
      </c>
      <c r="E63" s="17">
        <f t="shared" si="14"/>
        <v>1</v>
      </c>
      <c r="F63" s="14">
        <f t="shared" si="15"/>
        <v>19</v>
      </c>
      <c r="G63" s="16">
        <v>6400</v>
      </c>
      <c r="H63" s="15">
        <v>5940</v>
      </c>
      <c r="I63" s="15">
        <v>1885</v>
      </c>
      <c r="J63" s="15">
        <v>396</v>
      </c>
      <c r="K63" s="15">
        <v>1960</v>
      </c>
      <c r="L63" s="15">
        <v>2363</v>
      </c>
      <c r="M63" s="14">
        <v>547</v>
      </c>
      <c r="N63" s="13">
        <f t="shared" si="16"/>
        <v>1.161616161616162</v>
      </c>
      <c r="O63" s="12">
        <f t="shared" si="17"/>
        <v>6.1137692716640102E-2</v>
      </c>
      <c r="P63" s="11">
        <f>IF(ISNUMBER(O63),O63,"")</f>
        <v>6.1137692716640102E-2</v>
      </c>
      <c r="U63" s="2"/>
      <c r="Y63" s="22">
        <v>6.1137692716640102E-2</v>
      </c>
      <c r="Z63" s="15">
        <v>59</v>
      </c>
    </row>
    <row r="64" spans="1:26" x14ac:dyDescent="0.2">
      <c r="A64" s="18" t="s">
        <v>26</v>
      </c>
      <c r="B64" s="14" t="s">
        <v>24</v>
      </c>
      <c r="C64" s="16">
        <v>78</v>
      </c>
      <c r="D64" s="15">
        <v>74</v>
      </c>
      <c r="E64" s="17">
        <f t="shared" si="14"/>
        <v>0.94871794871794868</v>
      </c>
      <c r="F64" s="14">
        <f t="shared" si="15"/>
        <v>74</v>
      </c>
      <c r="G64" s="16">
        <v>35990</v>
      </c>
      <c r="H64" s="15">
        <v>29600</v>
      </c>
      <c r="I64" s="15">
        <v>9428</v>
      </c>
      <c r="J64" s="15">
        <v>1945</v>
      </c>
      <c r="K64" s="15">
        <v>9400</v>
      </c>
      <c r="L64" s="15">
        <v>4074</v>
      </c>
      <c r="M64" s="14">
        <v>5800</v>
      </c>
      <c r="N64" s="13">
        <f t="shared" si="16"/>
        <v>3.2853470437017984</v>
      </c>
      <c r="O64" s="12">
        <f t="shared" si="17"/>
        <v>4.4396581671645924E-2</v>
      </c>
      <c r="P64" s="11">
        <f>IF(ISNUMBER(O64),O64,"")</f>
        <v>4.4396581671645924E-2</v>
      </c>
      <c r="U64" s="2"/>
      <c r="Y64" s="22">
        <v>6.2073246430788369E-2</v>
      </c>
      <c r="Z64" s="15">
        <v>60</v>
      </c>
    </row>
    <row r="65" spans="1:26" x14ac:dyDescent="0.2">
      <c r="A65" s="18" t="s">
        <v>25</v>
      </c>
      <c r="B65" s="14" t="s">
        <v>24</v>
      </c>
      <c r="C65" s="16">
        <v>84</v>
      </c>
      <c r="D65" s="15">
        <v>78</v>
      </c>
      <c r="E65" s="17">
        <f t="shared" si="14"/>
        <v>0.9285714285714286</v>
      </c>
      <c r="F65" s="14">
        <f t="shared" si="15"/>
        <v>78</v>
      </c>
      <c r="G65" s="16">
        <v>37500</v>
      </c>
      <c r="H65" s="15">
        <v>31700</v>
      </c>
      <c r="I65" s="15">
        <v>9428</v>
      </c>
      <c r="J65" s="15">
        <v>1815</v>
      </c>
      <c r="K65" s="15">
        <v>10200</v>
      </c>
      <c r="L65" s="15">
        <v>3852</v>
      </c>
      <c r="M65" s="14">
        <v>6600</v>
      </c>
      <c r="N65" s="13">
        <f t="shared" si="16"/>
        <v>3.1955922865013764</v>
      </c>
      <c r="O65" s="12">
        <f t="shared" si="17"/>
        <v>4.0969131878222771E-2</v>
      </c>
      <c r="P65" s="11">
        <f>IF(ISNUMBER(O65),O65,"")</f>
        <v>4.0969131878222771E-2</v>
      </c>
      <c r="U65" s="2"/>
      <c r="Y65" s="22">
        <v>7.9802069275753479E-2</v>
      </c>
      <c r="Z65" s="15">
        <v>61</v>
      </c>
    </row>
    <row r="66" spans="1:26" x14ac:dyDescent="0.2">
      <c r="A66" s="18" t="s">
        <v>23</v>
      </c>
      <c r="B66" s="14" t="s">
        <v>22</v>
      </c>
      <c r="C66" s="16">
        <v>106</v>
      </c>
      <c r="D66" s="15">
        <v>100</v>
      </c>
      <c r="E66" s="17">
        <f t="shared" si="14"/>
        <v>0.94339622641509435</v>
      </c>
      <c r="F66" s="14">
        <f t="shared" si="15"/>
        <v>100</v>
      </c>
      <c r="G66" s="16">
        <v>47790</v>
      </c>
      <c r="H66" s="15">
        <v>40800</v>
      </c>
      <c r="I66" s="15">
        <v>13000</v>
      </c>
      <c r="J66" s="15">
        <v>1801</v>
      </c>
      <c r="K66" s="15">
        <v>12900</v>
      </c>
      <c r="L66" s="15">
        <v>4352</v>
      </c>
      <c r="M66" s="14">
        <v>6800</v>
      </c>
      <c r="N66" s="13">
        <f t="shared" si="16"/>
        <v>3.8811771238200996</v>
      </c>
      <c r="O66" s="12">
        <f t="shared" si="17"/>
        <v>3.8811771238200996E-2</v>
      </c>
      <c r="P66" s="11">
        <f>IF(ISNUMBER(O66),O66,"")</f>
        <v>3.8811771238200996E-2</v>
      </c>
      <c r="U66" s="2"/>
      <c r="Y66" s="19"/>
    </row>
    <row r="67" spans="1:26" x14ac:dyDescent="0.2">
      <c r="A67" s="18" t="s">
        <v>21</v>
      </c>
      <c r="B67" s="14" t="s">
        <v>20</v>
      </c>
      <c r="C67" s="16">
        <v>114</v>
      </c>
      <c r="D67" s="15">
        <v>104</v>
      </c>
      <c r="E67" s="17">
        <f t="shared" si="14"/>
        <v>0.91228070175438591</v>
      </c>
      <c r="F67" s="14">
        <f t="shared" si="15"/>
        <v>104</v>
      </c>
      <c r="G67" s="16">
        <v>56400</v>
      </c>
      <c r="H67" s="15">
        <v>46700</v>
      </c>
      <c r="I67" s="15">
        <v>13500</v>
      </c>
      <c r="J67" s="15">
        <v>3982</v>
      </c>
      <c r="K67" s="15">
        <v>13700</v>
      </c>
      <c r="L67" s="15">
        <v>6334</v>
      </c>
      <c r="M67" s="14">
        <v>9600</v>
      </c>
      <c r="N67" s="13">
        <f t="shared" si="16"/>
        <v>2.4359618282270215</v>
      </c>
      <c r="O67" s="12">
        <f t="shared" si="17"/>
        <v>2.3422709886798284E-2</v>
      </c>
      <c r="P67" s="19"/>
      <c r="U67" s="2"/>
      <c r="Y67" s="19"/>
    </row>
    <row r="68" spans="1:26" x14ac:dyDescent="0.2">
      <c r="A68" s="18" t="s">
        <v>19</v>
      </c>
      <c r="B68" s="14" t="s">
        <v>18</v>
      </c>
      <c r="C68" s="16">
        <v>118</v>
      </c>
      <c r="D68" s="15">
        <v>124</v>
      </c>
      <c r="E68" s="17">
        <f t="shared" si="14"/>
        <v>1.0508474576271187</v>
      </c>
      <c r="F68" s="14">
        <f t="shared" si="15"/>
        <v>124</v>
      </c>
      <c r="G68" s="16">
        <v>48790</v>
      </c>
      <c r="H68" s="15">
        <v>42500</v>
      </c>
      <c r="I68" s="15">
        <v>13100</v>
      </c>
      <c r="J68" s="15">
        <v>1482</v>
      </c>
      <c r="K68" s="15">
        <v>13800</v>
      </c>
      <c r="L68" s="15">
        <v>4352</v>
      </c>
      <c r="M68" s="14">
        <v>7000</v>
      </c>
      <c r="N68" s="13">
        <f t="shared" si="16"/>
        <v>4.2442645074224039</v>
      </c>
      <c r="O68" s="12">
        <f t="shared" si="17"/>
        <v>3.4227939575987125E-2</v>
      </c>
      <c r="P68" s="11">
        <f>IF(ISNUMBER(O68),O68,"")</f>
        <v>3.4227939575987125E-2</v>
      </c>
      <c r="U68" s="2"/>
      <c r="Y68" s="19"/>
    </row>
    <row r="69" spans="1:26" x14ac:dyDescent="0.2">
      <c r="A69" s="18" t="s">
        <v>17</v>
      </c>
      <c r="B69" s="14" t="s">
        <v>16</v>
      </c>
      <c r="C69" s="16">
        <v>146</v>
      </c>
      <c r="D69" s="15">
        <v>104</v>
      </c>
      <c r="E69" s="17">
        <f t="shared" si="14"/>
        <v>0.71232876712328763</v>
      </c>
      <c r="F69" s="14">
        <f t="shared" si="15"/>
        <v>104</v>
      </c>
      <c r="G69" s="16">
        <v>61500</v>
      </c>
      <c r="H69" s="15">
        <v>51850</v>
      </c>
      <c r="I69" s="15">
        <v>13690</v>
      </c>
      <c r="J69" s="15">
        <v>3519</v>
      </c>
      <c r="K69" s="15">
        <v>16100</v>
      </c>
      <c r="L69" s="15">
        <v>5649</v>
      </c>
      <c r="M69" s="14">
        <v>12000</v>
      </c>
      <c r="N69" s="13">
        <f t="shared" si="16"/>
        <v>2.7422563228189816</v>
      </c>
      <c r="O69" s="12">
        <f t="shared" si="17"/>
        <v>2.6367849257874824E-2</v>
      </c>
      <c r="P69" s="21"/>
      <c r="U69" s="2"/>
      <c r="Y69" s="19"/>
      <c r="Z69" s="10"/>
    </row>
    <row r="70" spans="1:26" x14ac:dyDescent="0.2">
      <c r="A70" s="18" t="s">
        <v>15</v>
      </c>
      <c r="B70" s="14" t="s">
        <v>14</v>
      </c>
      <c r="C70" s="16">
        <v>30</v>
      </c>
      <c r="D70" s="15">
        <v>30</v>
      </c>
      <c r="E70" s="17">
        <f t="shared" ref="E70:E80" si="20" xml:space="preserve"> IF(AND(ISNUMBER(D70),ISNUMBER(C70)),D70/C70,"")</f>
        <v>1</v>
      </c>
      <c r="F70" s="14">
        <f t="shared" ref="F70:F80" si="21">D70</f>
        <v>30</v>
      </c>
      <c r="G70" s="16">
        <v>11500</v>
      </c>
      <c r="H70" s="15">
        <v>10500</v>
      </c>
      <c r="I70" s="15">
        <v>2622</v>
      </c>
      <c r="J70" s="15">
        <v>537</v>
      </c>
      <c r="K70" s="15">
        <v>3281</v>
      </c>
      <c r="L70" s="15">
        <v>2926</v>
      </c>
      <c r="M70" s="14">
        <v>1700</v>
      </c>
      <c r="N70" s="13">
        <f t="shared" ref="N70:N80" si="22">G70*(1-H70/G70)/J70</f>
        <v>1.8621973929236511</v>
      </c>
      <c r="O70" s="12">
        <f t="shared" ref="O70:O80" si="23">N70/F70</f>
        <v>6.2073246430788369E-2</v>
      </c>
      <c r="P70" s="11">
        <f>IF(ISNUMBER(O70),O70,"")</f>
        <v>6.2073246430788369E-2</v>
      </c>
      <c r="U70" s="2"/>
      <c r="Y70" s="19"/>
      <c r="Z70" s="10"/>
    </row>
    <row r="71" spans="1:26" ht="12.75" customHeight="1" x14ac:dyDescent="0.2">
      <c r="A71" s="18" t="s">
        <v>13</v>
      </c>
      <c r="B71" s="14"/>
      <c r="C71" s="16">
        <v>37</v>
      </c>
      <c r="D71" s="15">
        <v>37</v>
      </c>
      <c r="E71" s="17">
        <f t="shared" si="20"/>
        <v>1</v>
      </c>
      <c r="F71" s="14">
        <f t="shared" si="21"/>
        <v>37</v>
      </c>
      <c r="G71" s="16">
        <v>19000</v>
      </c>
      <c r="H71" s="15">
        <v>15600</v>
      </c>
      <c r="I71" s="15">
        <v>4173</v>
      </c>
      <c r="J71" s="15">
        <v>1852</v>
      </c>
      <c r="K71" s="15">
        <v>4290</v>
      </c>
      <c r="L71" s="15">
        <v>2593</v>
      </c>
      <c r="M71" s="14">
        <v>3500</v>
      </c>
      <c r="N71" s="13">
        <f t="shared" si="22"/>
        <v>1.83585313174946</v>
      </c>
      <c r="O71" s="12">
        <f t="shared" si="23"/>
        <v>4.9617652209444862E-2</v>
      </c>
      <c r="P71" s="11">
        <f>IF(ISNUMBER(O71),O71,"")</f>
        <v>4.9617652209444862E-2</v>
      </c>
      <c r="U71" s="2"/>
      <c r="Y71" s="19"/>
      <c r="Z71" s="10"/>
    </row>
    <row r="72" spans="1:26" ht="12.75" customHeight="1" x14ac:dyDescent="0.2">
      <c r="A72" s="18" t="s">
        <v>12</v>
      </c>
      <c r="B72" s="14"/>
      <c r="C72" s="16">
        <v>44</v>
      </c>
      <c r="D72" s="15">
        <v>44</v>
      </c>
      <c r="E72" s="17">
        <f t="shared" si="20"/>
        <v>1</v>
      </c>
      <c r="F72" s="14">
        <f t="shared" si="21"/>
        <v>44</v>
      </c>
      <c r="G72" s="16">
        <v>20100</v>
      </c>
      <c r="H72" s="15">
        <v>17100</v>
      </c>
      <c r="I72" s="15">
        <v>4173</v>
      </c>
      <c r="J72" s="15">
        <v>1389</v>
      </c>
      <c r="K72" s="15">
        <v>5350</v>
      </c>
      <c r="L72" s="15">
        <v>2408</v>
      </c>
      <c r="M72" s="14">
        <v>4200</v>
      </c>
      <c r="N72" s="13">
        <f t="shared" si="22"/>
        <v>2.159827213822894</v>
      </c>
      <c r="O72" s="12">
        <f t="shared" si="23"/>
        <v>4.9086982132338502E-2</v>
      </c>
      <c r="P72" s="11">
        <f>IF(ISNUMBER(O72),O72,"")</f>
        <v>4.9086982132338502E-2</v>
      </c>
      <c r="U72" s="2"/>
      <c r="Y72" s="19"/>
      <c r="Z72" s="10"/>
    </row>
    <row r="73" spans="1:26" ht="12.75" customHeight="1" x14ac:dyDescent="0.2">
      <c r="A73" s="18" t="s">
        <v>11</v>
      </c>
      <c r="B73" s="14" t="s">
        <v>10</v>
      </c>
      <c r="C73" s="16">
        <v>50</v>
      </c>
      <c r="D73" s="15">
        <v>50</v>
      </c>
      <c r="E73" s="17">
        <f t="shared" si="20"/>
        <v>1</v>
      </c>
      <c r="F73" s="14">
        <f t="shared" si="21"/>
        <v>50</v>
      </c>
      <c r="G73" s="16">
        <v>20600</v>
      </c>
      <c r="H73" s="15">
        <v>17100</v>
      </c>
      <c r="I73" s="15">
        <v>4173</v>
      </c>
      <c r="J73" s="15">
        <v>1759</v>
      </c>
      <c r="K73" s="15">
        <v>5250</v>
      </c>
      <c r="L73" s="15">
        <v>2222</v>
      </c>
      <c r="M73" s="14">
        <v>4600</v>
      </c>
      <c r="N73" s="13">
        <f t="shared" si="22"/>
        <v>1.9897669130187612</v>
      </c>
      <c r="O73" s="12">
        <f t="shared" si="23"/>
        <v>3.9795338260375221E-2</v>
      </c>
      <c r="P73" s="11">
        <f>IF(ISNUMBER(O73),O73,"")</f>
        <v>3.9795338260375221E-2</v>
      </c>
      <c r="U73" s="2"/>
      <c r="Y73" s="19"/>
      <c r="Z73" s="10"/>
    </row>
    <row r="74" spans="1:26" ht="12.75" customHeight="1" x14ac:dyDescent="0.2">
      <c r="A74" s="18" t="s">
        <v>9</v>
      </c>
      <c r="B74" s="14" t="s">
        <v>8</v>
      </c>
      <c r="C74" s="16">
        <v>109</v>
      </c>
      <c r="D74" s="15">
        <v>97</v>
      </c>
      <c r="E74" s="17">
        <f t="shared" si="20"/>
        <v>0.88990825688073394</v>
      </c>
      <c r="F74" s="14">
        <f t="shared" si="21"/>
        <v>97</v>
      </c>
      <c r="G74" s="16">
        <v>44450</v>
      </c>
      <c r="H74" s="15">
        <v>36740</v>
      </c>
      <c r="I74" s="15">
        <v>10293</v>
      </c>
      <c r="J74" s="15">
        <v>2037</v>
      </c>
      <c r="K74" s="15">
        <v>10700</v>
      </c>
      <c r="L74" s="15">
        <v>3111</v>
      </c>
      <c r="M74" s="14">
        <v>8400</v>
      </c>
      <c r="N74" s="13">
        <f t="shared" si="22"/>
        <v>3.7849779086892479</v>
      </c>
      <c r="O74" s="12">
        <f t="shared" si="23"/>
        <v>3.9020390811229357E-2</v>
      </c>
      <c r="P74" s="11">
        <f>IF(ISNUMBER(O74),O74,"")</f>
        <v>3.9020390811229357E-2</v>
      </c>
      <c r="U74" s="2"/>
      <c r="Y74" s="19"/>
      <c r="Z74" s="10"/>
    </row>
    <row r="75" spans="1:26" ht="12.5" customHeight="1" x14ac:dyDescent="0.2">
      <c r="A75" s="18" t="s">
        <v>7</v>
      </c>
      <c r="B75" s="14"/>
      <c r="C75" s="16">
        <v>80</v>
      </c>
      <c r="D75" s="15">
        <v>72</v>
      </c>
      <c r="E75" s="17">
        <f t="shared" si="20"/>
        <v>0.9</v>
      </c>
      <c r="F75" s="14">
        <f t="shared" si="21"/>
        <v>72</v>
      </c>
      <c r="G75" s="16">
        <v>41730</v>
      </c>
      <c r="H75" s="15">
        <v>33565</v>
      </c>
      <c r="I75" s="15">
        <v>10731</v>
      </c>
      <c r="J75" s="15">
        <v>2537</v>
      </c>
      <c r="K75" s="15">
        <v>9250</v>
      </c>
      <c r="L75" s="15">
        <v>3741</v>
      </c>
      <c r="M75" s="14">
        <v>6600</v>
      </c>
      <c r="N75" s="13">
        <f t="shared" si="22"/>
        <v>3.2183681513598743</v>
      </c>
      <c r="O75" s="12">
        <f t="shared" si="23"/>
        <v>4.4699557657776029E-2</v>
      </c>
      <c r="P75" s="19"/>
      <c r="U75" s="2"/>
      <c r="Y75" s="19"/>
    </row>
    <row r="76" spans="1:26" ht="12.5" customHeight="1" x14ac:dyDescent="0.2">
      <c r="A76" s="20" t="s">
        <v>6</v>
      </c>
      <c r="B76" s="14" t="s">
        <v>5</v>
      </c>
      <c r="C76" s="16">
        <v>56</v>
      </c>
      <c r="D76" s="15">
        <v>46</v>
      </c>
      <c r="E76" s="17">
        <f t="shared" si="20"/>
        <v>0.8214285714285714</v>
      </c>
      <c r="F76" s="14">
        <f t="shared" si="21"/>
        <v>46</v>
      </c>
      <c r="G76" s="16">
        <v>20820</v>
      </c>
      <c r="H76" s="15">
        <v>18900</v>
      </c>
      <c r="I76" s="15">
        <v>4120</v>
      </c>
      <c r="J76" s="15">
        <v>1111</v>
      </c>
      <c r="K76" s="15">
        <v>5500</v>
      </c>
      <c r="L76" s="15">
        <v>3197</v>
      </c>
      <c r="M76" s="14">
        <v>3333</v>
      </c>
      <c r="N76" s="13">
        <f t="shared" si="22"/>
        <v>1.7281728172817274</v>
      </c>
      <c r="O76" s="12">
        <f t="shared" si="23"/>
        <v>3.7568974288733202E-2</v>
      </c>
      <c r="P76" s="11">
        <f>IF(ISNUMBER(O76),O76,"")</f>
        <v>3.7568974288733202E-2</v>
      </c>
      <c r="U76" s="2"/>
      <c r="Y76" s="19"/>
    </row>
    <row r="77" spans="1:26" x14ac:dyDescent="0.2">
      <c r="A77" s="18" t="s">
        <v>4</v>
      </c>
      <c r="B77" s="14" t="s">
        <v>3</v>
      </c>
      <c r="C77" s="16">
        <v>37</v>
      </c>
      <c r="D77" s="15">
        <v>34</v>
      </c>
      <c r="E77" s="17">
        <f t="shared" si="20"/>
        <v>0.91891891891891897</v>
      </c>
      <c r="F77" s="14">
        <f t="shared" si="21"/>
        <v>34</v>
      </c>
      <c r="G77" s="16">
        <v>12700</v>
      </c>
      <c r="H77" s="15">
        <v>12340</v>
      </c>
      <c r="I77" s="15">
        <v>2580</v>
      </c>
      <c r="J77" s="15">
        <v>806</v>
      </c>
      <c r="K77" s="15">
        <v>11454</v>
      </c>
      <c r="L77" s="15">
        <v>2248</v>
      </c>
      <c r="M77" s="14">
        <v>10141</v>
      </c>
      <c r="N77" s="13">
        <f t="shared" si="22"/>
        <v>0.44665012406947846</v>
      </c>
      <c r="O77" s="12">
        <f t="shared" si="23"/>
        <v>1.313676835498466E-2</v>
      </c>
      <c r="P77" s="11">
        <f>IF(ISNUMBER(O77),O77,"")</f>
        <v>1.313676835498466E-2</v>
      </c>
      <c r="U77" s="2"/>
      <c r="Y77" s="19"/>
      <c r="Z77" s="10"/>
    </row>
    <row r="78" spans="1:26" ht="12.75" customHeight="1" x14ac:dyDescent="0.2">
      <c r="A78" s="18" t="s">
        <v>2</v>
      </c>
      <c r="B78" s="14"/>
      <c r="C78" s="16">
        <v>98</v>
      </c>
      <c r="D78" s="15">
        <v>100</v>
      </c>
      <c r="E78" s="17">
        <f t="shared" si="20"/>
        <v>1.0204081632653061</v>
      </c>
      <c r="F78" s="14">
        <f t="shared" si="21"/>
        <v>100</v>
      </c>
      <c r="G78" s="16">
        <v>45880</v>
      </c>
      <c r="H78" s="15">
        <v>40000</v>
      </c>
      <c r="I78" s="15">
        <v>12407</v>
      </c>
      <c r="J78" s="15">
        <v>1445</v>
      </c>
      <c r="K78" s="15">
        <v>12300</v>
      </c>
      <c r="L78" s="15">
        <v>5204</v>
      </c>
      <c r="M78" s="14">
        <v>5640</v>
      </c>
      <c r="N78" s="13">
        <f t="shared" si="22"/>
        <v>4.0692041522491333</v>
      </c>
      <c r="O78" s="12">
        <f t="shared" si="23"/>
        <v>4.0692041522491333E-2</v>
      </c>
      <c r="P78" s="11">
        <f>IF(ISNUMBER(O78),O78,"")</f>
        <v>4.0692041522491333E-2</v>
      </c>
      <c r="U78" s="2"/>
      <c r="Y78" s="19"/>
      <c r="Z78" s="10"/>
    </row>
    <row r="79" spans="1:26" ht="12.75" customHeight="1" x14ac:dyDescent="0.2">
      <c r="A79" s="18" t="s">
        <v>1</v>
      </c>
      <c r="B79" s="14"/>
      <c r="C79" s="16">
        <v>460</v>
      </c>
      <c r="D79" s="15">
        <v>300</v>
      </c>
      <c r="E79" s="17">
        <f t="shared" si="20"/>
        <v>0.65217391304347827</v>
      </c>
      <c r="F79" s="14">
        <f t="shared" si="21"/>
        <v>300</v>
      </c>
      <c r="G79" s="16">
        <v>242000</v>
      </c>
      <c r="H79" s="15">
        <v>181000</v>
      </c>
      <c r="I79" s="15">
        <v>76561</v>
      </c>
      <c r="J79" s="15">
        <v>7723</v>
      </c>
      <c r="K79" s="15">
        <v>45813</v>
      </c>
      <c r="L79" s="15">
        <v>17372</v>
      </c>
      <c r="M79" s="14">
        <v>0</v>
      </c>
      <c r="N79" s="13">
        <f t="shared" si="22"/>
        <v>7.8984850446717614</v>
      </c>
      <c r="O79" s="12">
        <f t="shared" si="23"/>
        <v>2.6328283482239204E-2</v>
      </c>
      <c r="P79" s="11">
        <f>IF(ISNUMBER(O79),O79,"")</f>
        <v>2.6328283482239204E-2</v>
      </c>
      <c r="U79" s="2"/>
      <c r="Z79" s="10"/>
    </row>
    <row r="80" spans="1:26" ht="15" thickBot="1" x14ac:dyDescent="0.25">
      <c r="A80" s="9" t="s">
        <v>0</v>
      </c>
      <c r="B80" s="5"/>
      <c r="C80" s="7">
        <v>290</v>
      </c>
      <c r="D80" s="6">
        <v>261</v>
      </c>
      <c r="E80" s="8">
        <f t="shared" si="20"/>
        <v>0.9</v>
      </c>
      <c r="F80" s="5">
        <f t="shared" si="21"/>
        <v>261</v>
      </c>
      <c r="G80" s="7">
        <v>158758</v>
      </c>
      <c r="H80" s="6">
        <v>126099</v>
      </c>
      <c r="I80" s="6">
        <v>50753</v>
      </c>
      <c r="J80" s="6">
        <v>4260</v>
      </c>
      <c r="K80" s="6">
        <v>126098</v>
      </c>
      <c r="L80" s="6">
        <v>7778</v>
      </c>
      <c r="M80" s="5">
        <v>108862</v>
      </c>
      <c r="N80" s="4">
        <f t="shared" si="22"/>
        <v>7.6664319248826294</v>
      </c>
      <c r="O80" s="3">
        <f t="shared" si="23"/>
        <v>2.9373302394186319E-2</v>
      </c>
      <c r="U80" s="2"/>
    </row>
    <row r="81" spans="21:21" x14ac:dyDescent="0.2">
      <c r="U81" s="2"/>
    </row>
    <row r="82" spans="21:21" x14ac:dyDescent="0.2">
      <c r="U82" s="2"/>
    </row>
    <row r="83" spans="21:21" x14ac:dyDescent="0.2">
      <c r="U83" s="2"/>
    </row>
  </sheetData>
  <autoFilter ref="A4:AI78" xr:uid="{00000000-0009-0000-0000-000002000000}"/>
  <mergeCells count="2">
    <mergeCell ref="AD29:AE29"/>
    <mergeCell ref="C2: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workbookViewId="0">
      <selection activeCell="D7" sqref="D7:D8"/>
    </sheetView>
  </sheetViews>
  <sheetFormatPr baseColWidth="10" defaultRowHeight="16" x14ac:dyDescent="0.2"/>
  <cols>
    <col min="1" max="1" width="30.1640625" customWidth="1"/>
    <col min="2" max="2" width="19.6640625" customWidth="1"/>
    <col min="3" max="3" width="18.5" customWidth="1"/>
    <col min="4" max="4" width="40.33203125" customWidth="1"/>
  </cols>
  <sheetData>
    <row r="1" spans="1:10" ht="19" x14ac:dyDescent="0.25">
      <c r="A1" s="166" t="s">
        <v>279</v>
      </c>
      <c r="B1" s="166"/>
    </row>
    <row r="2" spans="1:10" x14ac:dyDescent="0.2">
      <c r="A2" s="161" t="s">
        <v>280</v>
      </c>
      <c r="B2" s="161"/>
    </row>
    <row r="3" spans="1:10" x14ac:dyDescent="0.2">
      <c r="A3" s="161" t="s">
        <v>281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">
      <c r="A4" s="161" t="s">
        <v>282</v>
      </c>
      <c r="B4" s="161"/>
      <c r="C4" s="161"/>
      <c r="D4" s="161"/>
      <c r="E4" s="161"/>
      <c r="F4" s="161"/>
      <c r="G4" s="161"/>
      <c r="H4" s="161"/>
      <c r="I4" s="161"/>
      <c r="J4" s="161"/>
    </row>
    <row r="5" spans="1:10" x14ac:dyDescent="0.2">
      <c r="A5" s="161" t="s">
        <v>283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7" thickBot="1" x14ac:dyDescent="0.25">
      <c r="A6" s="83"/>
      <c r="B6" s="83"/>
      <c r="C6" s="83"/>
    </row>
    <row r="7" spans="1:10" x14ac:dyDescent="0.2">
      <c r="A7" s="162" t="s">
        <v>161</v>
      </c>
      <c r="B7" s="164" t="s">
        <v>160</v>
      </c>
      <c r="C7" s="162" t="s">
        <v>305</v>
      </c>
      <c r="D7" s="162" t="s">
        <v>325</v>
      </c>
    </row>
    <row r="8" spans="1:10" x14ac:dyDescent="0.2">
      <c r="A8" s="163"/>
      <c r="B8" s="165"/>
      <c r="C8" s="163"/>
      <c r="D8" s="163"/>
    </row>
    <row r="9" spans="1:10" x14ac:dyDescent="0.2">
      <c r="A9" s="130" t="s">
        <v>79</v>
      </c>
      <c r="B9" s="112">
        <v>4788</v>
      </c>
      <c r="C9" s="67">
        <v>1</v>
      </c>
    </row>
    <row r="10" spans="1:10" x14ac:dyDescent="0.2">
      <c r="A10" s="130" t="s">
        <v>120</v>
      </c>
      <c r="B10" s="112">
        <v>4132</v>
      </c>
      <c r="C10" s="67">
        <v>2</v>
      </c>
    </row>
    <row r="11" spans="1:10" x14ac:dyDescent="0.2">
      <c r="A11" s="130" t="s">
        <v>118</v>
      </c>
      <c r="B11" s="112">
        <v>1637</v>
      </c>
      <c r="C11" s="67">
        <v>3</v>
      </c>
    </row>
    <row r="12" spans="1:10" x14ac:dyDescent="0.2">
      <c r="A12" s="130" t="s">
        <v>121</v>
      </c>
      <c r="B12" s="112">
        <v>1243</v>
      </c>
      <c r="C12" s="67">
        <v>4</v>
      </c>
    </row>
    <row r="13" spans="1:10" x14ac:dyDescent="0.2">
      <c r="A13" s="130" t="s">
        <v>119</v>
      </c>
      <c r="B13" s="112">
        <v>1009</v>
      </c>
      <c r="C13" s="67">
        <v>5</v>
      </c>
    </row>
    <row r="14" spans="1:10" x14ac:dyDescent="0.2">
      <c r="A14" s="130" t="s">
        <v>81</v>
      </c>
      <c r="B14" s="112">
        <v>979</v>
      </c>
      <c r="C14" s="67">
        <v>6</v>
      </c>
    </row>
    <row r="15" spans="1:10" x14ac:dyDescent="0.2">
      <c r="A15" s="130" t="s">
        <v>56</v>
      </c>
      <c r="B15" s="112">
        <v>805</v>
      </c>
      <c r="C15" s="67">
        <v>7</v>
      </c>
    </row>
    <row r="16" spans="1:10" x14ac:dyDescent="0.2">
      <c r="A16" s="130" t="s">
        <v>102</v>
      </c>
      <c r="B16" s="112">
        <v>795</v>
      </c>
      <c r="C16" s="67">
        <v>8</v>
      </c>
    </row>
    <row r="17" spans="1:3" x14ac:dyDescent="0.2">
      <c r="A17" s="130" t="s">
        <v>115</v>
      </c>
      <c r="B17" s="112">
        <v>707</v>
      </c>
      <c r="C17" s="67">
        <v>9</v>
      </c>
    </row>
    <row r="18" spans="1:3" x14ac:dyDescent="0.2">
      <c r="A18" s="130" t="s">
        <v>25</v>
      </c>
      <c r="B18" s="112">
        <v>624</v>
      </c>
      <c r="C18" s="67">
        <v>10</v>
      </c>
    </row>
    <row r="19" spans="1:3" x14ac:dyDescent="0.2">
      <c r="A19" s="130" t="s">
        <v>159</v>
      </c>
      <c r="B19" s="160">
        <v>601</v>
      </c>
      <c r="C19" s="67">
        <v>11</v>
      </c>
    </row>
    <row r="20" spans="1:3" x14ac:dyDescent="0.2">
      <c r="A20" s="130" t="s">
        <v>158</v>
      </c>
      <c r="B20" s="160"/>
      <c r="C20" s="67">
        <v>12</v>
      </c>
    </row>
    <row r="21" spans="1:3" x14ac:dyDescent="0.2">
      <c r="A21" s="130" t="s">
        <v>77</v>
      </c>
      <c r="B21" s="112">
        <v>556</v>
      </c>
      <c r="C21" s="67">
        <v>13</v>
      </c>
    </row>
    <row r="22" spans="1:3" x14ac:dyDescent="0.2">
      <c r="A22" s="130" t="s">
        <v>53</v>
      </c>
      <c r="B22" s="112">
        <v>540</v>
      </c>
      <c r="C22" s="67">
        <v>14</v>
      </c>
    </row>
    <row r="23" spans="1:3" x14ac:dyDescent="0.2">
      <c r="A23" s="130" t="s">
        <v>116</v>
      </c>
      <c r="B23" s="112">
        <v>502</v>
      </c>
      <c r="C23" s="67">
        <v>15</v>
      </c>
    </row>
    <row r="24" spans="1:3" x14ac:dyDescent="0.2">
      <c r="A24" s="130" t="s">
        <v>23</v>
      </c>
      <c r="B24" s="112">
        <v>501</v>
      </c>
      <c r="C24" s="67">
        <v>16</v>
      </c>
    </row>
    <row r="25" spans="1:3" x14ac:dyDescent="0.2">
      <c r="A25" s="130" t="s">
        <v>11</v>
      </c>
      <c r="B25" s="112">
        <v>479</v>
      </c>
      <c r="C25" s="67">
        <v>17</v>
      </c>
    </row>
    <row r="26" spans="1:3" x14ac:dyDescent="0.2">
      <c r="A26" s="130" t="s">
        <v>37</v>
      </c>
      <c r="B26" s="112">
        <v>471</v>
      </c>
      <c r="C26" s="67">
        <v>18</v>
      </c>
    </row>
    <row r="27" spans="1:3" x14ac:dyDescent="0.2">
      <c r="A27" s="130" t="s">
        <v>32</v>
      </c>
      <c r="B27" s="112">
        <v>462</v>
      </c>
      <c r="C27" s="67">
        <v>19</v>
      </c>
    </row>
    <row r="28" spans="1:3" x14ac:dyDescent="0.2">
      <c r="A28" s="130" t="s">
        <v>61</v>
      </c>
      <c r="B28" s="160">
        <v>391</v>
      </c>
      <c r="C28" s="67">
        <v>20</v>
      </c>
    </row>
    <row r="29" spans="1:3" x14ac:dyDescent="0.2">
      <c r="A29" s="130" t="s">
        <v>60</v>
      </c>
      <c r="B29" s="160"/>
      <c r="C29" s="67">
        <v>21</v>
      </c>
    </row>
    <row r="30" spans="1:3" x14ac:dyDescent="0.2">
      <c r="A30" s="130" t="s">
        <v>0</v>
      </c>
      <c r="B30" s="112">
        <v>365</v>
      </c>
      <c r="C30" s="67">
        <v>22</v>
      </c>
    </row>
    <row r="31" spans="1:3" x14ac:dyDescent="0.2">
      <c r="A31" s="130" t="s">
        <v>54</v>
      </c>
      <c r="B31" s="112">
        <v>363</v>
      </c>
      <c r="C31" s="67">
        <v>23</v>
      </c>
    </row>
    <row r="32" spans="1:3" x14ac:dyDescent="0.2">
      <c r="A32" s="130" t="s">
        <v>117</v>
      </c>
      <c r="B32" s="112">
        <v>355</v>
      </c>
      <c r="C32" s="67">
        <v>24</v>
      </c>
    </row>
    <row r="33" spans="1:3" x14ac:dyDescent="0.2">
      <c r="A33" s="130" t="s">
        <v>157</v>
      </c>
      <c r="B33" s="112">
        <v>347</v>
      </c>
      <c r="C33" s="67">
        <v>25</v>
      </c>
    </row>
    <row r="34" spans="1:3" x14ac:dyDescent="0.2">
      <c r="A34" s="130" t="s">
        <v>109</v>
      </c>
      <c r="B34" s="112">
        <v>321</v>
      </c>
      <c r="C34" s="67">
        <v>26</v>
      </c>
    </row>
    <row r="35" spans="1:3" x14ac:dyDescent="0.2">
      <c r="A35" s="130" t="s">
        <v>30</v>
      </c>
      <c r="B35" s="112">
        <v>315</v>
      </c>
      <c r="C35" s="67">
        <v>27</v>
      </c>
    </row>
    <row r="36" spans="1:3" x14ac:dyDescent="0.2">
      <c r="A36" s="130" t="s">
        <v>68</v>
      </c>
      <c r="B36" s="112">
        <v>302</v>
      </c>
      <c r="C36" s="67">
        <v>28</v>
      </c>
    </row>
    <row r="37" spans="1:3" x14ac:dyDescent="0.2">
      <c r="A37" s="130" t="s">
        <v>39</v>
      </c>
      <c r="B37" s="112">
        <v>291</v>
      </c>
      <c r="C37" s="67">
        <v>29</v>
      </c>
    </row>
    <row r="38" spans="1:3" x14ac:dyDescent="0.2">
      <c r="A38" s="130" t="s">
        <v>106</v>
      </c>
      <c r="B38" s="112">
        <v>237</v>
      </c>
      <c r="C38" s="67">
        <v>30</v>
      </c>
    </row>
    <row r="39" spans="1:3" x14ac:dyDescent="0.2">
      <c r="A39" s="130" t="s">
        <v>48</v>
      </c>
      <c r="B39" s="112">
        <v>232</v>
      </c>
      <c r="C39" s="67">
        <v>31</v>
      </c>
    </row>
    <row r="40" spans="1:3" x14ac:dyDescent="0.2">
      <c r="A40" s="130" t="s">
        <v>100</v>
      </c>
      <c r="B40" s="112">
        <v>220</v>
      </c>
      <c r="C40" s="67">
        <v>32</v>
      </c>
    </row>
    <row r="41" spans="1:3" x14ac:dyDescent="0.2">
      <c r="A41" s="130" t="s">
        <v>91</v>
      </c>
      <c r="B41" s="112">
        <v>214</v>
      </c>
      <c r="C41" s="67">
        <v>33</v>
      </c>
    </row>
    <row r="42" spans="1:3" x14ac:dyDescent="0.2">
      <c r="A42" s="130" t="s">
        <v>104</v>
      </c>
      <c r="B42" s="112">
        <v>208</v>
      </c>
      <c r="C42" s="67">
        <v>34</v>
      </c>
    </row>
    <row r="43" spans="1:3" x14ac:dyDescent="0.2">
      <c r="A43" s="130" t="s">
        <v>128</v>
      </c>
      <c r="B43" s="112">
        <v>200</v>
      </c>
      <c r="C43" s="67">
        <v>35</v>
      </c>
    </row>
    <row r="44" spans="1:3" x14ac:dyDescent="0.2">
      <c r="A44" s="130" t="s">
        <v>4</v>
      </c>
      <c r="B44" s="112">
        <v>188</v>
      </c>
      <c r="C44" s="67">
        <v>36</v>
      </c>
    </row>
    <row r="45" spans="1:3" x14ac:dyDescent="0.2">
      <c r="A45" s="130" t="s">
        <v>84</v>
      </c>
      <c r="B45" s="112">
        <v>161</v>
      </c>
      <c r="C45" s="67">
        <v>37</v>
      </c>
    </row>
    <row r="46" spans="1:3" x14ac:dyDescent="0.2">
      <c r="A46" s="130" t="s">
        <v>19</v>
      </c>
      <c r="B46" s="112">
        <v>161</v>
      </c>
      <c r="C46" s="67">
        <v>38</v>
      </c>
    </row>
    <row r="47" spans="1:3" x14ac:dyDescent="0.2">
      <c r="A47" s="130" t="s">
        <v>44</v>
      </c>
      <c r="B47" s="112">
        <v>157</v>
      </c>
      <c r="C47" s="67">
        <v>39</v>
      </c>
    </row>
    <row r="48" spans="1:3" x14ac:dyDescent="0.2">
      <c r="A48" s="130" t="s">
        <v>26</v>
      </c>
      <c r="B48" s="112">
        <v>157</v>
      </c>
      <c r="C48" s="67">
        <v>40</v>
      </c>
    </row>
    <row r="49" spans="1:3" x14ac:dyDescent="0.2">
      <c r="A49" s="130" t="s">
        <v>34</v>
      </c>
      <c r="B49" s="112">
        <v>152</v>
      </c>
      <c r="C49" s="67">
        <v>41</v>
      </c>
    </row>
    <row r="50" spans="1:3" x14ac:dyDescent="0.2">
      <c r="A50" s="130" t="s">
        <v>98</v>
      </c>
      <c r="B50" s="112">
        <v>145</v>
      </c>
      <c r="C50" s="67">
        <v>42</v>
      </c>
    </row>
    <row r="51" spans="1:3" x14ac:dyDescent="0.2">
      <c r="A51" s="130" t="s">
        <v>74</v>
      </c>
      <c r="B51" s="112">
        <v>142</v>
      </c>
      <c r="C51" s="67">
        <v>43</v>
      </c>
    </row>
    <row r="52" spans="1:3" x14ac:dyDescent="0.2">
      <c r="A52" s="130" t="s">
        <v>87</v>
      </c>
      <c r="B52" s="112">
        <v>141</v>
      </c>
      <c r="C52" s="67">
        <v>44</v>
      </c>
    </row>
    <row r="53" spans="1:3" x14ac:dyDescent="0.2">
      <c r="A53" s="130" t="s">
        <v>2</v>
      </c>
      <c r="B53" s="112">
        <v>131</v>
      </c>
      <c r="C53" s="67">
        <v>45</v>
      </c>
    </row>
    <row r="54" spans="1:3" x14ac:dyDescent="0.2">
      <c r="A54" s="130" t="s">
        <v>15</v>
      </c>
      <c r="B54" s="112">
        <v>127</v>
      </c>
      <c r="C54" s="67">
        <v>46</v>
      </c>
    </row>
    <row r="55" spans="1:3" x14ac:dyDescent="0.2">
      <c r="A55" s="130" t="s">
        <v>9</v>
      </c>
      <c r="B55" s="112">
        <v>109</v>
      </c>
      <c r="C55" s="67">
        <v>47</v>
      </c>
    </row>
    <row r="56" spans="1:3" x14ac:dyDescent="0.2">
      <c r="A56" s="130" t="s">
        <v>35</v>
      </c>
      <c r="B56" s="112">
        <v>40</v>
      </c>
      <c r="C56" s="67">
        <v>48</v>
      </c>
    </row>
    <row r="57" spans="1:3" x14ac:dyDescent="0.2">
      <c r="A57" s="130" t="s">
        <v>17</v>
      </c>
      <c r="B57" s="112">
        <v>40</v>
      </c>
      <c r="C57" s="67">
        <v>49</v>
      </c>
    </row>
    <row r="58" spans="1:3" ht="17" thickBot="1" x14ac:dyDescent="0.25">
      <c r="A58" s="131" t="s">
        <v>95</v>
      </c>
      <c r="B58" s="129">
        <v>38</v>
      </c>
      <c r="C58" s="110">
        <v>50</v>
      </c>
    </row>
  </sheetData>
  <mergeCells count="11">
    <mergeCell ref="B28:B29"/>
    <mergeCell ref="A5:J5"/>
    <mergeCell ref="A7:A8"/>
    <mergeCell ref="B7:B8"/>
    <mergeCell ref="A1:B1"/>
    <mergeCell ref="A2:B2"/>
    <mergeCell ref="A3:J3"/>
    <mergeCell ref="A4:J4"/>
    <mergeCell ref="B19:B20"/>
    <mergeCell ref="C7:C8"/>
    <mergeCell ref="D7:D8"/>
  </mergeCells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3BA8-C869-9B47-8AC7-2111ABABAB8A}">
  <dimension ref="A1:K52"/>
  <sheetViews>
    <sheetView workbookViewId="0">
      <selection activeCell="K5" sqref="K5"/>
    </sheetView>
  </sheetViews>
  <sheetFormatPr baseColWidth="10" defaultRowHeight="16" x14ac:dyDescent="0.2"/>
  <cols>
    <col min="1" max="1" width="32.33203125" customWidth="1"/>
    <col min="10" max="10" width="22.1640625" customWidth="1"/>
    <col min="11" max="11" width="25.5" customWidth="1"/>
  </cols>
  <sheetData>
    <row r="1" spans="1:11" ht="16" customHeight="1" x14ac:dyDescent="0.2">
      <c r="A1" s="147" t="s">
        <v>154</v>
      </c>
      <c r="B1" s="145" t="s">
        <v>151</v>
      </c>
      <c r="C1" s="145" t="s">
        <v>148</v>
      </c>
      <c r="D1" s="145" t="s">
        <v>147</v>
      </c>
      <c r="E1" s="145" t="s">
        <v>146</v>
      </c>
      <c r="F1" s="145" t="s">
        <v>145</v>
      </c>
      <c r="G1" s="145" t="s">
        <v>144</v>
      </c>
      <c r="H1" s="145" t="s">
        <v>143</v>
      </c>
      <c r="I1" s="145" t="s">
        <v>142</v>
      </c>
      <c r="J1" s="145" t="s">
        <v>162</v>
      </c>
      <c r="K1" s="145" t="s">
        <v>300</v>
      </c>
    </row>
    <row r="2" spans="1:11" ht="17" thickBot="1" x14ac:dyDescent="0.25">
      <c r="A2" s="148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x14ac:dyDescent="0.2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11">
        <v>55691</v>
      </c>
      <c r="H3" s="111">
        <v>6232</v>
      </c>
      <c r="I3" s="111">
        <v>50013</v>
      </c>
      <c r="J3" s="123">
        <f>(G3-I3)/(H3-F3)</f>
        <v>2.2460443037974684</v>
      </c>
      <c r="K3" s="123">
        <f>J3/B3</f>
        <v>1.4973628691983123E-2</v>
      </c>
    </row>
    <row r="4" spans="1:11" x14ac:dyDescent="0.2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11">
        <v>17400</v>
      </c>
      <c r="H4" s="111">
        <v>5413</v>
      </c>
      <c r="I4" s="111">
        <v>15600</v>
      </c>
      <c r="J4" s="123">
        <f t="shared" ref="J4:J52" si="0">(G4-I4)/(H4-F4)</f>
        <v>2.2988505747126435</v>
      </c>
      <c r="K4" s="123">
        <f t="shared" ref="K4:K52" si="1">J4/B4</f>
        <v>1.7155601303825697E-2</v>
      </c>
    </row>
    <row r="5" spans="1:11" x14ac:dyDescent="0.2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11">
        <v>19750</v>
      </c>
      <c r="H5" s="111">
        <v>5200</v>
      </c>
      <c r="I5" s="111">
        <v>16125</v>
      </c>
      <c r="J5" s="123">
        <f t="shared" si="0"/>
        <v>2.7503793626707131</v>
      </c>
      <c r="K5" s="123">
        <f t="shared" si="1"/>
        <v>1.8335862417804754E-2</v>
      </c>
    </row>
    <row r="6" spans="1:11" x14ac:dyDescent="0.2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11">
        <v>19250</v>
      </c>
      <c r="H6" s="111">
        <v>6315</v>
      </c>
      <c r="I6" s="111">
        <v>15150</v>
      </c>
      <c r="J6" s="123">
        <f t="shared" si="0"/>
        <v>2.2943480693900393</v>
      </c>
      <c r="K6" s="123">
        <f t="shared" si="1"/>
        <v>1.3905139814485087E-2</v>
      </c>
    </row>
    <row r="7" spans="1:11" x14ac:dyDescent="0.2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11">
        <v>24242</v>
      </c>
      <c r="H7" s="111">
        <v>5460</v>
      </c>
      <c r="I7" s="111">
        <v>20152</v>
      </c>
      <c r="J7" s="123">
        <f t="shared" si="0"/>
        <v>3.285140562248996</v>
      </c>
      <c r="K7" s="123">
        <f t="shared" si="1"/>
        <v>1.7757516552697274E-2</v>
      </c>
    </row>
    <row r="8" spans="1:11" x14ac:dyDescent="0.2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11">
        <v>23950</v>
      </c>
      <c r="H8" s="111">
        <v>6482</v>
      </c>
      <c r="I8" s="111">
        <v>21350</v>
      </c>
      <c r="J8" s="123">
        <f t="shared" si="0"/>
        <v>3.1197504199664041</v>
      </c>
      <c r="K8" s="123">
        <f t="shared" si="1"/>
        <v>1.514441951440002E-2</v>
      </c>
    </row>
    <row r="9" spans="1:11" x14ac:dyDescent="0.2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11">
        <v>45813</v>
      </c>
      <c r="H9" s="111">
        <v>16455</v>
      </c>
      <c r="I9" s="111">
        <v>6350</v>
      </c>
      <c r="J9" s="123">
        <f t="shared" si="0"/>
        <v>5.0137212552407568</v>
      </c>
      <c r="K9" s="123">
        <f t="shared" si="1"/>
        <v>2.0380980712360799E-2</v>
      </c>
    </row>
    <row r="10" spans="1:11" x14ac:dyDescent="0.2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11">
        <v>45359</v>
      </c>
      <c r="H10" s="111">
        <v>10038</v>
      </c>
      <c r="I10" s="111">
        <v>34927</v>
      </c>
      <c r="J10" s="123">
        <f t="shared" si="0"/>
        <v>4.5062634989200863</v>
      </c>
      <c r="K10" s="123">
        <f t="shared" si="1"/>
        <v>1.502087832973362E-2</v>
      </c>
    </row>
    <row r="11" spans="1:11" x14ac:dyDescent="0.2">
      <c r="A11" s="68" t="s">
        <v>109</v>
      </c>
      <c r="B11" s="111">
        <v>315</v>
      </c>
      <c r="C11" s="111">
        <v>280000</v>
      </c>
      <c r="D11" s="111">
        <v>195700</v>
      </c>
      <c r="E11" s="111">
        <v>108330</v>
      </c>
      <c r="F11" s="111">
        <v>10797</v>
      </c>
      <c r="G11" s="111">
        <v>53700</v>
      </c>
      <c r="H11" s="111">
        <v>15890</v>
      </c>
      <c r="I11" s="111">
        <v>24800</v>
      </c>
      <c r="J11" s="123">
        <f t="shared" si="0"/>
        <v>5.6744551344983307</v>
      </c>
      <c r="K11" s="123">
        <f t="shared" si="1"/>
        <v>1.8014143284121684E-2</v>
      </c>
    </row>
    <row r="12" spans="1:11" x14ac:dyDescent="0.2">
      <c r="A12" s="68" t="s">
        <v>106</v>
      </c>
      <c r="B12" s="111">
        <v>575</v>
      </c>
      <c r="C12" s="111">
        <v>575000</v>
      </c>
      <c r="D12" s="111">
        <v>369000</v>
      </c>
      <c r="E12" s="111">
        <v>323546</v>
      </c>
      <c r="F12" s="111">
        <v>12131</v>
      </c>
      <c r="G12" s="111">
        <v>83571</v>
      </c>
      <c r="H12" s="111">
        <v>16298</v>
      </c>
      <c r="I12" s="111">
        <v>34286</v>
      </c>
      <c r="J12" s="123">
        <f t="shared" si="0"/>
        <v>11.827453803695704</v>
      </c>
      <c r="K12" s="123">
        <f t="shared" si="1"/>
        <v>2.0569484875992528E-2</v>
      </c>
    </row>
    <row r="13" spans="1:11" x14ac:dyDescent="0.2">
      <c r="A13" s="68" t="s">
        <v>104</v>
      </c>
      <c r="B13" s="111">
        <v>48</v>
      </c>
      <c r="C13" s="111">
        <v>18600</v>
      </c>
      <c r="D13" s="111">
        <v>16700</v>
      </c>
      <c r="E13" s="111">
        <v>4500</v>
      </c>
      <c r="F13" s="111">
        <v>969</v>
      </c>
      <c r="G13" s="111">
        <v>5045</v>
      </c>
      <c r="H13" s="111">
        <v>3034</v>
      </c>
      <c r="I13" s="111">
        <v>2455</v>
      </c>
      <c r="J13" s="123">
        <f t="shared" si="0"/>
        <v>1.2542372881355932</v>
      </c>
      <c r="K13" s="123">
        <f t="shared" si="1"/>
        <v>2.6129943502824857E-2</v>
      </c>
    </row>
    <row r="14" spans="1:11" x14ac:dyDescent="0.2">
      <c r="A14" s="68" t="s">
        <v>102</v>
      </c>
      <c r="B14" s="111">
        <v>68</v>
      </c>
      <c r="C14" s="111">
        <v>22500</v>
      </c>
      <c r="D14" s="111">
        <v>20500</v>
      </c>
      <c r="E14" s="111">
        <v>5000</v>
      </c>
      <c r="F14" s="111">
        <v>926</v>
      </c>
      <c r="G14" s="111">
        <v>7000</v>
      </c>
      <c r="H14" s="111">
        <v>3087</v>
      </c>
      <c r="I14" s="111">
        <v>4000</v>
      </c>
      <c r="J14" s="123">
        <f t="shared" si="0"/>
        <v>1.3882461823229986</v>
      </c>
      <c r="K14" s="123">
        <f t="shared" si="1"/>
        <v>2.0415385034161744E-2</v>
      </c>
    </row>
    <row r="15" spans="1:11" x14ac:dyDescent="0.2">
      <c r="A15" s="68" t="s">
        <v>100</v>
      </c>
      <c r="B15" s="111">
        <v>19</v>
      </c>
      <c r="C15" s="111">
        <v>7766</v>
      </c>
      <c r="D15" s="111">
        <v>6879</v>
      </c>
      <c r="E15" s="111">
        <v>2022</v>
      </c>
      <c r="F15" s="111">
        <v>585</v>
      </c>
      <c r="G15" s="111">
        <v>1984</v>
      </c>
      <c r="H15" s="111">
        <v>975</v>
      </c>
      <c r="I15" s="111">
        <v>1724</v>
      </c>
      <c r="J15" s="123">
        <f t="shared" si="0"/>
        <v>0.66666666666666663</v>
      </c>
      <c r="K15" s="123">
        <f t="shared" si="1"/>
        <v>3.5087719298245612E-2</v>
      </c>
    </row>
    <row r="16" spans="1:11" x14ac:dyDescent="0.2">
      <c r="A16" s="68" t="s">
        <v>98</v>
      </c>
      <c r="B16" s="111">
        <v>106</v>
      </c>
      <c r="C16" s="111">
        <v>54884</v>
      </c>
      <c r="D16" s="111">
        <v>45586</v>
      </c>
      <c r="E16" s="111">
        <v>13382</v>
      </c>
      <c r="F16" s="111">
        <v>2185</v>
      </c>
      <c r="G16" s="111">
        <v>45589</v>
      </c>
      <c r="H16" s="111">
        <v>3704</v>
      </c>
      <c r="I16" s="111">
        <v>42000</v>
      </c>
      <c r="J16" s="123">
        <f t="shared" si="0"/>
        <v>2.3627386438446347</v>
      </c>
      <c r="K16" s="123">
        <f t="shared" si="1"/>
        <v>2.2289987206081458E-2</v>
      </c>
    </row>
    <row r="17" spans="1:11" x14ac:dyDescent="0.2">
      <c r="A17" s="68" t="s">
        <v>157</v>
      </c>
      <c r="B17" s="111">
        <v>162</v>
      </c>
      <c r="C17" s="111">
        <v>82644</v>
      </c>
      <c r="D17" s="111">
        <v>65952</v>
      </c>
      <c r="E17" s="111">
        <v>20730</v>
      </c>
      <c r="F17" s="111">
        <v>4842</v>
      </c>
      <c r="G17" s="111">
        <v>65930</v>
      </c>
      <c r="H17" s="111">
        <v>6426</v>
      </c>
      <c r="I17" s="111">
        <v>61983</v>
      </c>
      <c r="J17" s="123">
        <f t="shared" si="0"/>
        <v>2.4917929292929295</v>
      </c>
      <c r="K17" s="123">
        <f t="shared" si="1"/>
        <v>1.5381437835141541E-2</v>
      </c>
    </row>
    <row r="18" spans="1:11" x14ac:dyDescent="0.2">
      <c r="A18" s="68" t="s">
        <v>95</v>
      </c>
      <c r="B18" s="111">
        <v>180</v>
      </c>
      <c r="C18" s="111">
        <v>88314</v>
      </c>
      <c r="D18" s="111">
        <v>70987</v>
      </c>
      <c r="E18" s="111">
        <v>20730</v>
      </c>
      <c r="F18" s="111">
        <v>4630</v>
      </c>
      <c r="G18" s="111">
        <v>70964.5</v>
      </c>
      <c r="H18" s="111">
        <v>5843</v>
      </c>
      <c r="I18" s="111">
        <v>67653</v>
      </c>
      <c r="J18" s="123">
        <f t="shared" si="0"/>
        <v>2.7300082440230833</v>
      </c>
      <c r="K18" s="123">
        <f t="shared" si="1"/>
        <v>1.5166712466794907E-2</v>
      </c>
    </row>
    <row r="19" spans="1:11" x14ac:dyDescent="0.2">
      <c r="A19" s="68" t="s">
        <v>91</v>
      </c>
      <c r="B19" s="111">
        <v>126</v>
      </c>
      <c r="C19" s="111">
        <v>61235</v>
      </c>
      <c r="D19" s="111">
        <v>48308</v>
      </c>
      <c r="E19" s="111">
        <v>18602</v>
      </c>
      <c r="F19" s="111">
        <v>3439</v>
      </c>
      <c r="G19" s="111">
        <v>48357</v>
      </c>
      <c r="H19" s="111">
        <v>5159</v>
      </c>
      <c r="I19" s="111">
        <v>43667</v>
      </c>
      <c r="J19" s="123">
        <f t="shared" si="0"/>
        <v>2.7267441860465116</v>
      </c>
      <c r="K19" s="123">
        <f t="shared" si="1"/>
        <v>2.1640826873385012E-2</v>
      </c>
    </row>
    <row r="20" spans="1:11" x14ac:dyDescent="0.2">
      <c r="A20" s="68" t="s">
        <v>87</v>
      </c>
      <c r="B20" s="111">
        <v>147</v>
      </c>
      <c r="C20" s="111">
        <v>68039</v>
      </c>
      <c r="D20" s="111">
        <v>53070</v>
      </c>
      <c r="E20" s="111">
        <v>18602</v>
      </c>
      <c r="F20" s="111">
        <v>3258</v>
      </c>
      <c r="G20" s="111">
        <v>53167</v>
      </c>
      <c r="H20" s="111">
        <v>4630</v>
      </c>
      <c r="I20" s="111">
        <v>48667</v>
      </c>
      <c r="J20" s="123">
        <f t="shared" si="0"/>
        <v>3.2798833819241984</v>
      </c>
      <c r="K20" s="123">
        <f t="shared" si="1"/>
        <v>2.2312131849824477E-2</v>
      </c>
    </row>
    <row r="21" spans="1:11" x14ac:dyDescent="0.2">
      <c r="A21" s="68" t="s">
        <v>84</v>
      </c>
      <c r="B21" s="111">
        <v>110</v>
      </c>
      <c r="C21" s="111">
        <v>60555</v>
      </c>
      <c r="D21" s="111">
        <v>46493</v>
      </c>
      <c r="E21" s="111">
        <v>18602</v>
      </c>
      <c r="F21" s="111">
        <v>2910</v>
      </c>
      <c r="G21" s="111">
        <v>46667</v>
      </c>
      <c r="H21" s="111">
        <v>4994</v>
      </c>
      <c r="I21" s="111">
        <v>41333</v>
      </c>
      <c r="J21" s="123">
        <f t="shared" si="0"/>
        <v>2.5595009596928984</v>
      </c>
      <c r="K21" s="123">
        <f t="shared" si="1"/>
        <v>2.3268190542662711E-2</v>
      </c>
    </row>
    <row r="22" spans="1:11" x14ac:dyDescent="0.2">
      <c r="A22" s="68" t="s">
        <v>81</v>
      </c>
      <c r="B22" s="111">
        <v>128</v>
      </c>
      <c r="C22" s="111">
        <v>70080</v>
      </c>
      <c r="D22" s="111">
        <v>55202</v>
      </c>
      <c r="E22" s="111">
        <v>20894</v>
      </c>
      <c r="F22" s="111">
        <v>3945</v>
      </c>
      <c r="G22" s="111">
        <v>55202</v>
      </c>
      <c r="H22" s="111">
        <v>6186</v>
      </c>
      <c r="I22" s="111">
        <v>49237</v>
      </c>
      <c r="J22" s="123">
        <f t="shared" si="0"/>
        <v>2.6617581436858546</v>
      </c>
      <c r="K22" s="123">
        <f t="shared" si="1"/>
        <v>2.0794985497545739E-2</v>
      </c>
    </row>
    <row r="23" spans="1:11" x14ac:dyDescent="0.2">
      <c r="A23" s="68" t="s">
        <v>79</v>
      </c>
      <c r="B23" s="111">
        <v>160</v>
      </c>
      <c r="C23" s="111">
        <v>79016</v>
      </c>
      <c r="D23" s="111">
        <v>62732</v>
      </c>
      <c r="E23" s="111">
        <v>20894</v>
      </c>
      <c r="F23" s="111">
        <v>3750</v>
      </c>
      <c r="G23" s="111">
        <v>62596</v>
      </c>
      <c r="H23" s="111">
        <v>5223</v>
      </c>
      <c r="I23" s="111">
        <v>58128</v>
      </c>
      <c r="J23" s="123">
        <f t="shared" si="0"/>
        <v>3.0332654446707399</v>
      </c>
      <c r="K23" s="123">
        <f t="shared" si="1"/>
        <v>1.8957909029192123E-2</v>
      </c>
    </row>
    <row r="24" spans="1:11" x14ac:dyDescent="0.2">
      <c r="A24" s="68" t="s">
        <v>77</v>
      </c>
      <c r="B24" s="111">
        <v>177</v>
      </c>
      <c r="C24" s="111">
        <v>74389</v>
      </c>
      <c r="D24" s="111">
        <v>62732</v>
      </c>
      <c r="E24" s="111">
        <v>20894</v>
      </c>
      <c r="F24" s="111">
        <v>3704</v>
      </c>
      <c r="G24" s="111">
        <v>62732</v>
      </c>
      <c r="H24" s="111">
        <v>5149</v>
      </c>
      <c r="I24" s="111">
        <v>58173</v>
      </c>
      <c r="J24" s="123">
        <f t="shared" si="0"/>
        <v>3.1550173010380624</v>
      </c>
      <c r="K24" s="123">
        <f t="shared" si="1"/>
        <v>1.7824956503039901E-2</v>
      </c>
    </row>
    <row r="25" spans="1:11" x14ac:dyDescent="0.2">
      <c r="A25" s="68" t="s">
        <v>74</v>
      </c>
      <c r="B25" s="111">
        <v>416</v>
      </c>
      <c r="C25" s="111">
        <v>396894</v>
      </c>
      <c r="D25" s="111">
        <v>246074</v>
      </c>
      <c r="E25" s="111">
        <v>173425</v>
      </c>
      <c r="F25" s="111">
        <v>10570</v>
      </c>
      <c r="G25" s="111">
        <v>246073</v>
      </c>
      <c r="H25" s="111">
        <v>13100</v>
      </c>
      <c r="I25" s="111">
        <v>222273</v>
      </c>
      <c r="J25" s="123">
        <f t="shared" si="0"/>
        <v>9.4071146245059296</v>
      </c>
      <c r="K25" s="123">
        <f t="shared" si="1"/>
        <v>2.2613256308908484E-2</v>
      </c>
    </row>
    <row r="26" spans="1:11" x14ac:dyDescent="0.2">
      <c r="A26" s="68" t="s">
        <v>68</v>
      </c>
      <c r="B26" s="111">
        <v>200</v>
      </c>
      <c r="C26" s="111">
        <v>108850</v>
      </c>
      <c r="D26" s="111">
        <v>83450</v>
      </c>
      <c r="E26" s="111">
        <v>34260</v>
      </c>
      <c r="F26" s="111">
        <v>4321</v>
      </c>
      <c r="G26" s="111">
        <v>83450</v>
      </c>
      <c r="H26" s="111">
        <v>6482</v>
      </c>
      <c r="I26" s="111">
        <v>74000</v>
      </c>
      <c r="J26" s="123">
        <f t="shared" si="0"/>
        <v>4.372975474317446</v>
      </c>
      <c r="K26" s="123">
        <f t="shared" si="1"/>
        <v>2.1864877371587231E-2</v>
      </c>
    </row>
    <row r="27" spans="1:11" x14ac:dyDescent="0.2">
      <c r="A27" s="68" t="s">
        <v>0</v>
      </c>
      <c r="B27" s="111">
        <v>261</v>
      </c>
      <c r="C27" s="111">
        <v>158758</v>
      </c>
      <c r="D27" s="111">
        <v>126099</v>
      </c>
      <c r="E27" s="111">
        <v>50753</v>
      </c>
      <c r="F27" s="111">
        <v>4260</v>
      </c>
      <c r="G27" s="111">
        <v>126098</v>
      </c>
      <c r="H27" s="111">
        <v>7778</v>
      </c>
      <c r="I27" s="111">
        <v>108862</v>
      </c>
      <c r="J27" s="123">
        <f t="shared" si="0"/>
        <v>4.8993746446844799</v>
      </c>
      <c r="K27" s="123">
        <f t="shared" si="1"/>
        <v>1.8771550362775787E-2</v>
      </c>
    </row>
    <row r="28" spans="1:11" x14ac:dyDescent="0.2">
      <c r="A28" s="68" t="s">
        <v>61</v>
      </c>
      <c r="B28" s="111">
        <v>305</v>
      </c>
      <c r="C28" s="111">
        <v>242630</v>
      </c>
      <c r="D28" s="111">
        <v>190470</v>
      </c>
      <c r="E28" s="111">
        <v>94240</v>
      </c>
      <c r="F28" s="111">
        <v>6112</v>
      </c>
      <c r="G28" s="111">
        <v>190500</v>
      </c>
      <c r="H28" s="111">
        <v>11973</v>
      </c>
      <c r="I28" s="111">
        <v>153201</v>
      </c>
      <c r="J28" s="123">
        <f t="shared" si="0"/>
        <v>6.3639310697833134</v>
      </c>
      <c r="K28" s="123">
        <f t="shared" si="1"/>
        <v>2.0865347769781356E-2</v>
      </c>
    </row>
    <row r="29" spans="1:11" x14ac:dyDescent="0.2">
      <c r="A29" s="68" t="s">
        <v>60</v>
      </c>
      <c r="B29" s="111">
        <v>305</v>
      </c>
      <c r="C29" s="111">
        <v>233600</v>
      </c>
      <c r="D29" s="111">
        <v>190500</v>
      </c>
      <c r="E29" s="111">
        <v>94240</v>
      </c>
      <c r="F29" s="111">
        <v>5848</v>
      </c>
      <c r="G29" s="111">
        <v>190500</v>
      </c>
      <c r="H29" s="111">
        <v>12038</v>
      </c>
      <c r="I29" s="111">
        <v>150952</v>
      </c>
      <c r="J29" s="123">
        <f t="shared" si="0"/>
        <v>6.3890145395799678</v>
      </c>
      <c r="K29" s="123">
        <f t="shared" si="1"/>
        <v>2.0947588654360551E-2</v>
      </c>
    </row>
    <row r="30" spans="1:11" x14ac:dyDescent="0.2">
      <c r="A30" s="68" t="s">
        <v>56</v>
      </c>
      <c r="B30" s="111">
        <v>365</v>
      </c>
      <c r="C30" s="111">
        <v>351535</v>
      </c>
      <c r="D30" s="111">
        <v>237682</v>
      </c>
      <c r="E30" s="111">
        <v>145540</v>
      </c>
      <c r="F30" s="111">
        <v>10533</v>
      </c>
      <c r="G30" s="111">
        <v>237682</v>
      </c>
      <c r="H30" s="111">
        <v>14585</v>
      </c>
      <c r="I30" s="111">
        <v>206389</v>
      </c>
      <c r="J30" s="123">
        <f t="shared" si="0"/>
        <v>7.7228529121421516</v>
      </c>
      <c r="K30" s="123">
        <f t="shared" si="1"/>
        <v>2.1158501129156581E-2</v>
      </c>
    </row>
    <row r="31" spans="1:11" x14ac:dyDescent="0.2">
      <c r="A31" s="68" t="s">
        <v>54</v>
      </c>
      <c r="B31" s="111">
        <v>242</v>
      </c>
      <c r="C31" s="111">
        <v>227930</v>
      </c>
      <c r="D31" s="111">
        <v>161025</v>
      </c>
      <c r="E31" s="111">
        <v>101343</v>
      </c>
      <c r="F31" s="111">
        <v>10186</v>
      </c>
      <c r="G31" s="111">
        <v>161025</v>
      </c>
      <c r="H31" s="111">
        <v>17536</v>
      </c>
      <c r="I31" s="111">
        <v>127008</v>
      </c>
      <c r="J31" s="123">
        <f t="shared" si="0"/>
        <v>4.6281632653061227</v>
      </c>
      <c r="K31" s="123">
        <f t="shared" si="1"/>
        <v>1.9124641592174061E-2</v>
      </c>
    </row>
    <row r="32" spans="1:11" x14ac:dyDescent="0.2">
      <c r="A32" s="68" t="s">
        <v>53</v>
      </c>
      <c r="B32" s="111">
        <v>290</v>
      </c>
      <c r="C32" s="111">
        <v>254011</v>
      </c>
      <c r="D32" s="111">
        <v>181437</v>
      </c>
      <c r="E32" s="111">
        <v>101522</v>
      </c>
      <c r="F32" s="111">
        <v>9714</v>
      </c>
      <c r="G32" s="111">
        <v>181437</v>
      </c>
      <c r="H32" s="111">
        <v>15223</v>
      </c>
      <c r="I32" s="111">
        <v>152316</v>
      </c>
      <c r="J32" s="123">
        <f t="shared" si="0"/>
        <v>5.2860773280087132</v>
      </c>
      <c r="K32" s="123">
        <f t="shared" si="1"/>
        <v>1.822785285520246E-2</v>
      </c>
    </row>
    <row r="33" spans="1:11" x14ac:dyDescent="0.2">
      <c r="A33" s="68" t="s">
        <v>48</v>
      </c>
      <c r="B33" s="111">
        <v>143</v>
      </c>
      <c r="C33" s="111">
        <v>63504</v>
      </c>
      <c r="D33" s="111">
        <v>50802</v>
      </c>
      <c r="E33" s="111">
        <v>17764</v>
      </c>
      <c r="F33" s="111">
        <v>2621</v>
      </c>
      <c r="G33" s="111">
        <v>17600</v>
      </c>
      <c r="H33" s="111">
        <v>4389</v>
      </c>
      <c r="I33" s="111">
        <v>12701</v>
      </c>
      <c r="J33" s="123">
        <f t="shared" si="0"/>
        <v>2.7709276018099547</v>
      </c>
      <c r="K33" s="123">
        <f t="shared" si="1"/>
        <v>1.937711609657311E-2</v>
      </c>
    </row>
    <row r="34" spans="1:11" x14ac:dyDescent="0.2">
      <c r="A34" s="68" t="s">
        <v>159</v>
      </c>
      <c r="B34" s="111">
        <v>50</v>
      </c>
      <c r="C34" s="111">
        <v>21523</v>
      </c>
      <c r="D34" s="111">
        <v>19142</v>
      </c>
      <c r="E34" s="111">
        <v>4161</v>
      </c>
      <c r="F34" s="111">
        <v>1019</v>
      </c>
      <c r="G34" s="111">
        <v>5480</v>
      </c>
      <c r="H34" s="111">
        <v>2593</v>
      </c>
      <c r="I34" s="111">
        <v>3800</v>
      </c>
      <c r="J34" s="123">
        <f t="shared" si="0"/>
        <v>1.0673443456162643</v>
      </c>
      <c r="K34" s="123">
        <f t="shared" si="1"/>
        <v>2.1346886912325287E-2</v>
      </c>
    </row>
    <row r="35" spans="1:11" x14ac:dyDescent="0.2">
      <c r="A35" s="68" t="s">
        <v>158</v>
      </c>
      <c r="B35" s="111">
        <v>50</v>
      </c>
      <c r="C35" s="111">
        <v>21523</v>
      </c>
      <c r="D35" s="111">
        <v>19142</v>
      </c>
      <c r="E35" s="111">
        <v>4255</v>
      </c>
      <c r="F35" s="111">
        <v>1061</v>
      </c>
      <c r="G35" s="111">
        <v>5443.2</v>
      </c>
      <c r="H35" s="111">
        <v>2559</v>
      </c>
      <c r="I35" s="111">
        <v>3628.8</v>
      </c>
      <c r="J35" s="123">
        <f t="shared" si="0"/>
        <v>1.2112149532710279</v>
      </c>
      <c r="K35" s="123">
        <f t="shared" si="1"/>
        <v>2.4224299065420559E-2</v>
      </c>
    </row>
    <row r="36" spans="1:11" x14ac:dyDescent="0.2">
      <c r="A36" s="68" t="s">
        <v>39</v>
      </c>
      <c r="B36" s="111">
        <v>78</v>
      </c>
      <c r="C36" s="111">
        <v>32995</v>
      </c>
      <c r="D36" s="111">
        <v>28259</v>
      </c>
      <c r="E36" s="111">
        <v>8991</v>
      </c>
      <c r="F36" s="111">
        <v>1759</v>
      </c>
      <c r="G36" s="111">
        <v>8505</v>
      </c>
      <c r="H36" s="111">
        <v>4260</v>
      </c>
      <c r="I36" s="111">
        <v>4536</v>
      </c>
      <c r="J36" s="123">
        <f t="shared" si="0"/>
        <v>1.5869652139144341</v>
      </c>
      <c r="K36" s="123">
        <f t="shared" si="1"/>
        <v>2.0345707870697873E-2</v>
      </c>
    </row>
    <row r="37" spans="1:11" x14ac:dyDescent="0.2">
      <c r="A37" s="68" t="s">
        <v>37</v>
      </c>
      <c r="B37" s="111">
        <v>90</v>
      </c>
      <c r="C37" s="111">
        <v>38329</v>
      </c>
      <c r="D37" s="111">
        <v>31752</v>
      </c>
      <c r="E37" s="111">
        <v>8888</v>
      </c>
      <c r="F37" s="111">
        <v>1926</v>
      </c>
      <c r="G37" s="111">
        <v>9979</v>
      </c>
      <c r="H37" s="111">
        <v>3630</v>
      </c>
      <c r="I37" s="111">
        <v>6940</v>
      </c>
      <c r="J37" s="123">
        <f t="shared" si="0"/>
        <v>1.783450704225352</v>
      </c>
      <c r="K37" s="123">
        <f t="shared" si="1"/>
        <v>1.9816118935837245E-2</v>
      </c>
    </row>
    <row r="38" spans="1:11" x14ac:dyDescent="0.2">
      <c r="A38" s="68" t="s">
        <v>35</v>
      </c>
      <c r="B38" s="111">
        <v>104</v>
      </c>
      <c r="C38" s="111">
        <v>41640</v>
      </c>
      <c r="D38" s="111">
        <v>35153</v>
      </c>
      <c r="E38" s="111">
        <v>8822</v>
      </c>
      <c r="F38" s="111">
        <v>2222</v>
      </c>
      <c r="G38" s="111">
        <v>11975</v>
      </c>
      <c r="H38" s="111">
        <v>3510</v>
      </c>
      <c r="I38" s="111">
        <v>9639</v>
      </c>
      <c r="J38" s="123">
        <f t="shared" si="0"/>
        <v>1.813664596273292</v>
      </c>
      <c r="K38" s="123">
        <f t="shared" si="1"/>
        <v>1.743908265647396E-2</v>
      </c>
    </row>
    <row r="39" spans="1:11" x14ac:dyDescent="0.2">
      <c r="A39" s="68" t="s">
        <v>34</v>
      </c>
      <c r="B39" s="111">
        <v>37</v>
      </c>
      <c r="C39" s="111">
        <v>15650</v>
      </c>
      <c r="D39" s="111">
        <v>14061</v>
      </c>
      <c r="E39" s="111">
        <v>2576</v>
      </c>
      <c r="F39" s="111">
        <v>926</v>
      </c>
      <c r="G39" s="111">
        <v>3813</v>
      </c>
      <c r="H39" s="111">
        <v>1991</v>
      </c>
      <c r="I39" s="111">
        <v>2750</v>
      </c>
      <c r="J39" s="123">
        <f t="shared" si="0"/>
        <v>0.99812206572769957</v>
      </c>
      <c r="K39" s="123">
        <f t="shared" si="1"/>
        <v>2.6976272046694581E-2</v>
      </c>
    </row>
    <row r="40" spans="1:11" x14ac:dyDescent="0.2">
      <c r="A40" s="68" t="s">
        <v>44</v>
      </c>
      <c r="B40" s="111">
        <v>50</v>
      </c>
      <c r="C40" s="111">
        <v>19500</v>
      </c>
      <c r="D40" s="111">
        <v>17920</v>
      </c>
      <c r="E40" s="111">
        <v>2574</v>
      </c>
      <c r="F40" s="111">
        <v>715</v>
      </c>
      <c r="G40" s="111">
        <v>6223</v>
      </c>
      <c r="H40" s="111">
        <v>1700</v>
      </c>
      <c r="I40" s="111">
        <v>5289</v>
      </c>
      <c r="J40" s="123">
        <f t="shared" si="0"/>
        <v>0.94822335025380711</v>
      </c>
      <c r="K40" s="123">
        <f t="shared" si="1"/>
        <v>1.8964467005076143E-2</v>
      </c>
    </row>
    <row r="41" spans="1:11" x14ac:dyDescent="0.2">
      <c r="A41" s="68" t="s">
        <v>32</v>
      </c>
      <c r="B41" s="111">
        <v>82</v>
      </c>
      <c r="C41" s="111">
        <v>29257</v>
      </c>
      <c r="D41" s="111">
        <v>25855</v>
      </c>
      <c r="E41" s="111">
        <v>5318</v>
      </c>
      <c r="F41" s="111">
        <v>1396</v>
      </c>
      <c r="G41" s="111">
        <v>8500</v>
      </c>
      <c r="H41" s="111">
        <v>2847</v>
      </c>
      <c r="I41" s="111">
        <v>6468</v>
      </c>
      <c r="J41" s="123">
        <f t="shared" si="0"/>
        <v>1.4004135079255686</v>
      </c>
      <c r="K41" s="123">
        <f t="shared" si="1"/>
        <v>1.7078213511287424E-2</v>
      </c>
    </row>
    <row r="42" spans="1:11" x14ac:dyDescent="0.2">
      <c r="A42" s="68" t="s">
        <v>30</v>
      </c>
      <c r="B42" s="111">
        <v>19</v>
      </c>
      <c r="C42" s="111">
        <v>5670</v>
      </c>
      <c r="D42" s="111">
        <v>4581</v>
      </c>
      <c r="E42" s="111">
        <v>1159</v>
      </c>
      <c r="F42" s="111">
        <v>92.6</v>
      </c>
      <c r="G42" s="111">
        <v>1649</v>
      </c>
      <c r="H42" s="111">
        <v>370.4</v>
      </c>
      <c r="I42" s="111">
        <v>1378</v>
      </c>
      <c r="J42" s="123">
        <f t="shared" si="0"/>
        <v>0.97552195824334065</v>
      </c>
      <c r="K42" s="123">
        <f t="shared" si="1"/>
        <v>5.1343260960175822E-2</v>
      </c>
    </row>
    <row r="43" spans="1:11" x14ac:dyDescent="0.2">
      <c r="A43" s="68" t="s">
        <v>26</v>
      </c>
      <c r="B43" s="111">
        <v>74</v>
      </c>
      <c r="C43" s="111">
        <v>35990</v>
      </c>
      <c r="D43" s="111">
        <v>29600</v>
      </c>
      <c r="E43" s="111">
        <v>9428</v>
      </c>
      <c r="F43" s="111">
        <v>1945</v>
      </c>
      <c r="G43" s="111">
        <v>9400</v>
      </c>
      <c r="H43" s="111">
        <v>4074</v>
      </c>
      <c r="I43" s="111">
        <v>5800</v>
      </c>
      <c r="J43" s="123">
        <f t="shared" si="0"/>
        <v>1.6909347111319868</v>
      </c>
      <c r="K43" s="123">
        <f t="shared" si="1"/>
        <v>2.2850469069351172E-2</v>
      </c>
    </row>
    <row r="44" spans="1:11" x14ac:dyDescent="0.2">
      <c r="A44" s="68" t="s">
        <v>25</v>
      </c>
      <c r="B44" s="111">
        <v>78</v>
      </c>
      <c r="C44" s="111">
        <v>37500</v>
      </c>
      <c r="D44" s="111">
        <v>31700</v>
      </c>
      <c r="E44" s="111">
        <v>9428</v>
      </c>
      <c r="F44" s="111">
        <v>1815</v>
      </c>
      <c r="G44" s="111">
        <v>10200</v>
      </c>
      <c r="H44" s="111">
        <v>3852</v>
      </c>
      <c r="I44" s="111">
        <v>6600</v>
      </c>
      <c r="J44" s="123">
        <f t="shared" si="0"/>
        <v>1.7673048600883652</v>
      </c>
      <c r="K44" s="123">
        <f t="shared" si="1"/>
        <v>2.2657754616517502E-2</v>
      </c>
    </row>
    <row r="45" spans="1:11" x14ac:dyDescent="0.2">
      <c r="A45" s="68" t="s">
        <v>23</v>
      </c>
      <c r="B45" s="111">
        <v>100</v>
      </c>
      <c r="C45" s="111">
        <v>47790</v>
      </c>
      <c r="D45" s="111">
        <v>40800</v>
      </c>
      <c r="E45" s="111">
        <v>13000</v>
      </c>
      <c r="F45" s="111">
        <v>1801</v>
      </c>
      <c r="G45" s="111">
        <v>12900</v>
      </c>
      <c r="H45" s="111">
        <v>4352</v>
      </c>
      <c r="I45" s="111">
        <v>6800</v>
      </c>
      <c r="J45" s="123">
        <f t="shared" si="0"/>
        <v>2.3912191297530381</v>
      </c>
      <c r="K45" s="123">
        <f t="shared" si="1"/>
        <v>2.3912191297530382E-2</v>
      </c>
    </row>
    <row r="46" spans="1:11" x14ac:dyDescent="0.2">
      <c r="A46" s="68" t="s">
        <v>19</v>
      </c>
      <c r="B46" s="111">
        <v>124</v>
      </c>
      <c r="C46" s="111">
        <v>48790</v>
      </c>
      <c r="D46" s="111">
        <v>42500</v>
      </c>
      <c r="E46" s="111">
        <v>13100</v>
      </c>
      <c r="F46" s="111">
        <v>1482</v>
      </c>
      <c r="G46" s="111">
        <v>13800</v>
      </c>
      <c r="H46" s="111">
        <v>4352</v>
      </c>
      <c r="I46" s="111">
        <v>7000</v>
      </c>
      <c r="J46" s="123">
        <f t="shared" si="0"/>
        <v>2.3693379790940767</v>
      </c>
      <c r="K46" s="123">
        <f t="shared" si="1"/>
        <v>1.9107564347532878E-2</v>
      </c>
    </row>
    <row r="47" spans="1:11" x14ac:dyDescent="0.2">
      <c r="A47" s="68" t="s">
        <v>17</v>
      </c>
      <c r="B47" s="111">
        <v>104</v>
      </c>
      <c r="C47" s="111">
        <v>61500</v>
      </c>
      <c r="D47" s="111">
        <v>51850</v>
      </c>
      <c r="E47" s="111">
        <v>13690</v>
      </c>
      <c r="F47" s="111">
        <v>3519</v>
      </c>
      <c r="G47" s="111">
        <v>16100</v>
      </c>
      <c r="H47" s="111">
        <v>5649</v>
      </c>
      <c r="I47" s="111">
        <v>12000</v>
      </c>
      <c r="J47" s="123">
        <f t="shared" si="0"/>
        <v>1.9248826291079812</v>
      </c>
      <c r="K47" s="123">
        <f t="shared" si="1"/>
        <v>1.8508486818345972E-2</v>
      </c>
    </row>
    <row r="48" spans="1:11" x14ac:dyDescent="0.2">
      <c r="A48" s="68" t="s">
        <v>15</v>
      </c>
      <c r="B48" s="111">
        <v>30</v>
      </c>
      <c r="C48" s="111">
        <v>11500</v>
      </c>
      <c r="D48" s="111">
        <v>10500</v>
      </c>
      <c r="E48" s="111">
        <v>2622</v>
      </c>
      <c r="F48" s="111">
        <v>537</v>
      </c>
      <c r="G48" s="111">
        <v>3281</v>
      </c>
      <c r="H48" s="111">
        <v>2926</v>
      </c>
      <c r="I48" s="111">
        <v>1700</v>
      </c>
      <c r="J48" s="123">
        <f t="shared" si="0"/>
        <v>0.66178317287568023</v>
      </c>
      <c r="K48" s="123">
        <f t="shared" si="1"/>
        <v>2.2059439095856007E-2</v>
      </c>
    </row>
    <row r="49" spans="1:11" x14ac:dyDescent="0.2">
      <c r="A49" s="68" t="s">
        <v>11</v>
      </c>
      <c r="B49" s="111">
        <v>50</v>
      </c>
      <c r="C49" s="111">
        <v>20600</v>
      </c>
      <c r="D49" s="111">
        <v>17100</v>
      </c>
      <c r="E49" s="111">
        <v>4173</v>
      </c>
      <c r="F49" s="111">
        <v>1759</v>
      </c>
      <c r="G49" s="111">
        <v>5250</v>
      </c>
      <c r="H49" s="111">
        <v>2222</v>
      </c>
      <c r="I49" s="111">
        <v>4600</v>
      </c>
      <c r="J49" s="123">
        <f t="shared" si="0"/>
        <v>1.4038876889848813</v>
      </c>
      <c r="K49" s="123">
        <f t="shared" si="1"/>
        <v>2.8077753779697626E-2</v>
      </c>
    </row>
    <row r="50" spans="1:11" x14ac:dyDescent="0.2">
      <c r="A50" s="68" t="s">
        <v>9</v>
      </c>
      <c r="B50" s="111">
        <v>97</v>
      </c>
      <c r="C50" s="111">
        <v>44450</v>
      </c>
      <c r="D50" s="111">
        <v>36740</v>
      </c>
      <c r="E50" s="111">
        <v>10293</v>
      </c>
      <c r="F50" s="111">
        <v>2037</v>
      </c>
      <c r="G50" s="111">
        <v>10700</v>
      </c>
      <c r="H50" s="111">
        <v>3111</v>
      </c>
      <c r="I50" s="111">
        <v>8400</v>
      </c>
      <c r="J50" s="123">
        <f t="shared" si="0"/>
        <v>2.1415270018621975</v>
      </c>
      <c r="K50" s="123">
        <f t="shared" si="1"/>
        <v>2.2077597957342241E-2</v>
      </c>
    </row>
    <row r="51" spans="1:11" x14ac:dyDescent="0.2">
      <c r="A51" s="68" t="s">
        <v>4</v>
      </c>
      <c r="B51" s="111">
        <v>34</v>
      </c>
      <c r="C51" s="111">
        <v>12700</v>
      </c>
      <c r="D51" s="111">
        <v>12340</v>
      </c>
      <c r="E51" s="111">
        <v>2580</v>
      </c>
      <c r="F51" s="111">
        <v>806</v>
      </c>
      <c r="G51" s="111">
        <v>11454</v>
      </c>
      <c r="H51" s="111">
        <v>2248</v>
      </c>
      <c r="I51" s="111">
        <v>10141</v>
      </c>
      <c r="J51" s="123">
        <f t="shared" si="0"/>
        <v>0.91054091539528437</v>
      </c>
      <c r="K51" s="123">
        <f t="shared" si="1"/>
        <v>2.6780615158684833E-2</v>
      </c>
    </row>
    <row r="52" spans="1:11" x14ac:dyDescent="0.2">
      <c r="A52" s="68" t="s">
        <v>2</v>
      </c>
      <c r="B52" s="111">
        <v>100</v>
      </c>
      <c r="C52" s="111">
        <v>45880</v>
      </c>
      <c r="D52" s="111">
        <v>40000</v>
      </c>
      <c r="E52" s="111">
        <v>12407</v>
      </c>
      <c r="F52" s="111">
        <v>1445</v>
      </c>
      <c r="G52" s="111">
        <v>12300</v>
      </c>
      <c r="H52" s="111">
        <v>5204</v>
      </c>
      <c r="I52" s="111">
        <v>5640</v>
      </c>
      <c r="J52" s="123">
        <f t="shared" si="0"/>
        <v>1.7717478052673583</v>
      </c>
      <c r="K52" s="123">
        <f t="shared" si="1"/>
        <v>1.7717478052673583E-2</v>
      </c>
    </row>
  </sheetData>
  <autoFilter ref="A1:K52" xr:uid="{1BDF3BA8-C869-9B47-8AC7-2111ABABAB8A}"/>
  <mergeCells count="11">
    <mergeCell ref="G1:G2"/>
    <mergeCell ref="H1:H2"/>
    <mergeCell ref="I1:I2"/>
    <mergeCell ref="J1:J2"/>
    <mergeCell ref="K1:K2"/>
    <mergeCell ref="F1:F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49268-5F09-9F47-AF4A-92742FF728F1}">
  <dimension ref="A1:H52"/>
  <sheetViews>
    <sheetView workbookViewId="0">
      <selection activeCell="G23" sqref="G23"/>
    </sheetView>
  </sheetViews>
  <sheetFormatPr baseColWidth="10" defaultRowHeight="16" x14ac:dyDescent="0.2"/>
  <cols>
    <col min="1" max="1" width="32.6640625" customWidth="1"/>
    <col min="7" max="7" width="27" customWidth="1"/>
    <col min="8" max="8" width="37.6640625" customWidth="1"/>
    <col min="10" max="10" width="28.5" customWidth="1"/>
    <col min="11" max="11" width="37" customWidth="1"/>
  </cols>
  <sheetData>
    <row r="1" spans="1:8" ht="16" customHeight="1" x14ac:dyDescent="0.2">
      <c r="A1" s="147" t="s">
        <v>154</v>
      </c>
      <c r="B1" s="145" t="s">
        <v>151</v>
      </c>
      <c r="C1" s="145" t="s">
        <v>148</v>
      </c>
      <c r="D1" s="145" t="s">
        <v>147</v>
      </c>
      <c r="E1" s="145" t="s">
        <v>146</v>
      </c>
      <c r="F1" s="145" t="s">
        <v>145</v>
      </c>
      <c r="G1" s="145" t="s">
        <v>163</v>
      </c>
      <c r="H1" s="145" t="s">
        <v>298</v>
      </c>
    </row>
    <row r="2" spans="1:8" ht="17" thickBot="1" x14ac:dyDescent="0.25">
      <c r="A2" s="148"/>
      <c r="B2" s="146"/>
      <c r="C2" s="146"/>
      <c r="D2" s="146"/>
      <c r="E2" s="146"/>
      <c r="F2" s="146"/>
      <c r="G2" s="146"/>
      <c r="H2" s="146"/>
    </row>
    <row r="3" spans="1:8" x14ac:dyDescent="0.2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23">
        <f t="shared" ref="G3:G34" si="0">C3*(1-(D3/C3))/F3</f>
        <v>3.1838552915766734</v>
      </c>
      <c r="H3" s="123">
        <f t="shared" ref="H3:H34" si="1">G3/B3</f>
        <v>2.1225701943844488E-2</v>
      </c>
    </row>
    <row r="4" spans="1:8" x14ac:dyDescent="0.2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23">
        <f t="shared" si="0"/>
        <v>3.6717062634989208</v>
      </c>
      <c r="H4" s="123">
        <f t="shared" si="1"/>
        <v>2.7400793011185975E-2</v>
      </c>
    </row>
    <row r="5" spans="1:8" x14ac:dyDescent="0.2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23">
        <f t="shared" si="0"/>
        <v>3.9927872230808852</v>
      </c>
      <c r="H5" s="123">
        <f t="shared" si="1"/>
        <v>2.6618581487205903E-2</v>
      </c>
    </row>
    <row r="6" spans="1:8" x14ac:dyDescent="0.2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23">
        <f t="shared" si="0"/>
        <v>3.5777385159010597</v>
      </c>
      <c r="H6" s="123">
        <f t="shared" si="1"/>
        <v>2.1683263732733694E-2</v>
      </c>
    </row>
    <row r="7" spans="1:8" x14ac:dyDescent="0.2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23">
        <f t="shared" si="0"/>
        <v>3.7247924080664307</v>
      </c>
      <c r="H7" s="123">
        <f t="shared" si="1"/>
        <v>2.0134013016575303E-2</v>
      </c>
    </row>
    <row r="8" spans="1:8" x14ac:dyDescent="0.2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23">
        <f t="shared" si="0"/>
        <v>4.195729915377262</v>
      </c>
      <c r="H8" s="123">
        <f t="shared" si="1"/>
        <v>2.0367620948433311E-2</v>
      </c>
    </row>
    <row r="9" spans="1:8" x14ac:dyDescent="0.2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23">
        <f t="shared" si="0"/>
        <v>8.387698042870456</v>
      </c>
      <c r="H9" s="123">
        <f t="shared" si="1"/>
        <v>3.409633350760348E-2</v>
      </c>
    </row>
    <row r="10" spans="1:8" x14ac:dyDescent="0.2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23">
        <f t="shared" si="0"/>
        <v>8.6753852130001281</v>
      </c>
      <c r="H10" s="123">
        <f t="shared" si="1"/>
        <v>2.8917950710000428E-2</v>
      </c>
    </row>
    <row r="11" spans="1:8" x14ac:dyDescent="0.2">
      <c r="A11" s="68" t="s">
        <v>109</v>
      </c>
      <c r="B11" s="111">
        <v>315</v>
      </c>
      <c r="C11" s="111">
        <v>280000</v>
      </c>
      <c r="D11" s="111">
        <v>195700</v>
      </c>
      <c r="E11" s="111">
        <v>108330</v>
      </c>
      <c r="F11" s="111">
        <v>10797</v>
      </c>
      <c r="G11" s="123">
        <f t="shared" si="0"/>
        <v>7.807724367879965</v>
      </c>
      <c r="H11" s="123">
        <f t="shared" si="1"/>
        <v>2.4786426564698302E-2</v>
      </c>
    </row>
    <row r="12" spans="1:8" x14ac:dyDescent="0.2">
      <c r="A12" s="68" t="s">
        <v>106</v>
      </c>
      <c r="B12" s="111">
        <v>575</v>
      </c>
      <c r="C12" s="111">
        <v>575000</v>
      </c>
      <c r="D12" s="111">
        <v>369000</v>
      </c>
      <c r="E12" s="111">
        <v>323546</v>
      </c>
      <c r="F12" s="111">
        <v>12131</v>
      </c>
      <c r="G12" s="123">
        <f t="shared" si="0"/>
        <v>16.981287610254718</v>
      </c>
      <c r="H12" s="123">
        <f t="shared" si="1"/>
        <v>2.9532674104790813E-2</v>
      </c>
    </row>
    <row r="13" spans="1:8" x14ac:dyDescent="0.2">
      <c r="A13" s="68" t="s">
        <v>104</v>
      </c>
      <c r="B13" s="111">
        <v>48</v>
      </c>
      <c r="C13" s="111">
        <v>18600</v>
      </c>
      <c r="D13" s="111">
        <v>16700</v>
      </c>
      <c r="E13" s="111">
        <v>4500</v>
      </c>
      <c r="F13" s="111">
        <v>969</v>
      </c>
      <c r="G13" s="123">
        <f t="shared" si="0"/>
        <v>1.9607843137254906</v>
      </c>
      <c r="H13" s="123">
        <f t="shared" si="1"/>
        <v>4.0849673202614387E-2</v>
      </c>
    </row>
    <row r="14" spans="1:8" x14ac:dyDescent="0.2">
      <c r="A14" s="68" t="s">
        <v>102</v>
      </c>
      <c r="B14" s="111">
        <v>68</v>
      </c>
      <c r="C14" s="111">
        <v>22500</v>
      </c>
      <c r="D14" s="111">
        <v>20500</v>
      </c>
      <c r="E14" s="111">
        <v>5000</v>
      </c>
      <c r="F14" s="111">
        <v>926</v>
      </c>
      <c r="G14" s="123">
        <f t="shared" si="0"/>
        <v>2.1598272138228944</v>
      </c>
      <c r="H14" s="123">
        <f t="shared" si="1"/>
        <v>3.1762164909160215E-2</v>
      </c>
    </row>
    <row r="15" spans="1:8" x14ac:dyDescent="0.2">
      <c r="A15" s="68" t="s">
        <v>100</v>
      </c>
      <c r="B15" s="111">
        <v>19</v>
      </c>
      <c r="C15" s="111">
        <v>7766</v>
      </c>
      <c r="D15" s="111">
        <v>6879</v>
      </c>
      <c r="E15" s="111">
        <v>2022</v>
      </c>
      <c r="F15" s="111">
        <v>585</v>
      </c>
      <c r="G15" s="123">
        <f t="shared" si="0"/>
        <v>1.5162393162393162</v>
      </c>
      <c r="H15" s="123">
        <f t="shared" si="1"/>
        <v>7.9802069275753479E-2</v>
      </c>
    </row>
    <row r="16" spans="1:8" x14ac:dyDescent="0.2">
      <c r="A16" s="68" t="s">
        <v>98</v>
      </c>
      <c r="B16" s="111">
        <v>106</v>
      </c>
      <c r="C16" s="111">
        <v>54884</v>
      </c>
      <c r="D16" s="111">
        <v>45586</v>
      </c>
      <c r="E16" s="111">
        <v>13382</v>
      </c>
      <c r="F16" s="111">
        <v>2185</v>
      </c>
      <c r="G16" s="123">
        <f t="shared" si="0"/>
        <v>4.2553775743707094</v>
      </c>
      <c r="H16" s="123">
        <f t="shared" si="1"/>
        <v>4.0145071456327446E-2</v>
      </c>
    </row>
    <row r="17" spans="1:8" x14ac:dyDescent="0.2">
      <c r="A17" s="68" t="s">
        <v>157</v>
      </c>
      <c r="B17" s="111">
        <v>162</v>
      </c>
      <c r="C17" s="111">
        <v>82644</v>
      </c>
      <c r="D17" s="111">
        <v>65952</v>
      </c>
      <c r="E17" s="111">
        <v>20730</v>
      </c>
      <c r="F17" s="111">
        <v>4842</v>
      </c>
      <c r="G17" s="123">
        <f t="shared" si="0"/>
        <v>3.4473358116480783</v>
      </c>
      <c r="H17" s="123">
        <f t="shared" si="1"/>
        <v>2.127985068918567E-2</v>
      </c>
    </row>
    <row r="18" spans="1:8" x14ac:dyDescent="0.2">
      <c r="A18" s="68" t="s">
        <v>95</v>
      </c>
      <c r="B18" s="111">
        <v>180</v>
      </c>
      <c r="C18" s="111">
        <v>88314</v>
      </c>
      <c r="D18" s="111">
        <v>70987</v>
      </c>
      <c r="E18" s="111">
        <v>20730</v>
      </c>
      <c r="F18" s="111">
        <v>4630</v>
      </c>
      <c r="G18" s="123">
        <f t="shared" si="0"/>
        <v>3.742332613390928</v>
      </c>
      <c r="H18" s="123">
        <f t="shared" si="1"/>
        <v>2.079073674106071E-2</v>
      </c>
    </row>
    <row r="19" spans="1:8" x14ac:dyDescent="0.2">
      <c r="A19" s="68" t="s">
        <v>91</v>
      </c>
      <c r="B19" s="111">
        <v>126</v>
      </c>
      <c r="C19" s="111">
        <v>61235</v>
      </c>
      <c r="D19" s="111">
        <v>48308</v>
      </c>
      <c r="E19" s="111">
        <v>18602</v>
      </c>
      <c r="F19" s="111">
        <v>3439</v>
      </c>
      <c r="G19" s="123">
        <f t="shared" si="0"/>
        <v>3.7589415527769701</v>
      </c>
      <c r="H19" s="123">
        <f t="shared" si="1"/>
        <v>2.9832869466483888E-2</v>
      </c>
    </row>
    <row r="20" spans="1:8" x14ac:dyDescent="0.2">
      <c r="A20" s="68" t="s">
        <v>87</v>
      </c>
      <c r="B20" s="111">
        <v>147</v>
      </c>
      <c r="C20" s="111">
        <v>68039</v>
      </c>
      <c r="D20" s="111">
        <v>53070</v>
      </c>
      <c r="E20" s="111">
        <v>18602</v>
      </c>
      <c r="F20" s="111">
        <v>3258</v>
      </c>
      <c r="G20" s="123">
        <f t="shared" si="0"/>
        <v>4.5945365254757515</v>
      </c>
      <c r="H20" s="123">
        <f t="shared" si="1"/>
        <v>3.1255350513440486E-2</v>
      </c>
    </row>
    <row r="21" spans="1:8" x14ac:dyDescent="0.2">
      <c r="A21" s="68" t="s">
        <v>84</v>
      </c>
      <c r="B21" s="111">
        <v>110</v>
      </c>
      <c r="C21" s="111">
        <v>60555</v>
      </c>
      <c r="D21" s="111">
        <v>46493</v>
      </c>
      <c r="E21" s="111">
        <v>18602</v>
      </c>
      <c r="F21" s="111">
        <v>2910</v>
      </c>
      <c r="G21" s="123">
        <f t="shared" si="0"/>
        <v>4.8323024054982833</v>
      </c>
      <c r="H21" s="123">
        <f t="shared" si="1"/>
        <v>4.3930021868166212E-2</v>
      </c>
    </row>
    <row r="22" spans="1:8" x14ac:dyDescent="0.2">
      <c r="A22" s="68" t="s">
        <v>81</v>
      </c>
      <c r="B22" s="111">
        <v>128</v>
      </c>
      <c r="C22" s="111">
        <v>70080</v>
      </c>
      <c r="D22" s="111">
        <v>55202</v>
      </c>
      <c r="E22" s="111">
        <v>20894</v>
      </c>
      <c r="F22" s="111">
        <v>3945</v>
      </c>
      <c r="G22" s="123">
        <f t="shared" si="0"/>
        <v>3.7713561470215473</v>
      </c>
      <c r="H22" s="123">
        <f t="shared" si="1"/>
        <v>2.9463719898605838E-2</v>
      </c>
    </row>
    <row r="23" spans="1:8" x14ac:dyDescent="0.2">
      <c r="A23" s="68" t="s">
        <v>79</v>
      </c>
      <c r="B23" s="111">
        <v>160</v>
      </c>
      <c r="C23" s="111">
        <v>79016</v>
      </c>
      <c r="D23" s="111">
        <v>62732</v>
      </c>
      <c r="E23" s="111">
        <v>20894</v>
      </c>
      <c r="F23" s="111">
        <v>3750</v>
      </c>
      <c r="G23" s="123">
        <f t="shared" si="0"/>
        <v>4.3423999999999987</v>
      </c>
      <c r="H23" s="123">
        <f t="shared" si="1"/>
        <v>2.7139999999999991E-2</v>
      </c>
    </row>
    <row r="24" spans="1:8" x14ac:dyDescent="0.2">
      <c r="A24" s="68" t="s">
        <v>77</v>
      </c>
      <c r="B24" s="111">
        <v>177</v>
      </c>
      <c r="C24" s="111">
        <v>74389</v>
      </c>
      <c r="D24" s="111">
        <v>62732</v>
      </c>
      <c r="E24" s="111">
        <v>20894</v>
      </c>
      <c r="F24" s="111">
        <v>3704</v>
      </c>
      <c r="G24" s="123">
        <f t="shared" si="0"/>
        <v>3.1471382289416852</v>
      </c>
      <c r="H24" s="123">
        <f t="shared" si="1"/>
        <v>1.7780441971421951E-2</v>
      </c>
    </row>
    <row r="25" spans="1:8" x14ac:dyDescent="0.2">
      <c r="A25" s="68" t="s">
        <v>74</v>
      </c>
      <c r="B25" s="111">
        <v>416</v>
      </c>
      <c r="C25" s="111">
        <v>396894</v>
      </c>
      <c r="D25" s="111">
        <v>246074</v>
      </c>
      <c r="E25" s="111">
        <v>173425</v>
      </c>
      <c r="F25" s="111">
        <v>10570</v>
      </c>
      <c r="G25" s="123">
        <f t="shared" si="0"/>
        <v>14.268684957426679</v>
      </c>
      <c r="H25" s="123">
        <f t="shared" si="1"/>
        <v>3.4299723455352593E-2</v>
      </c>
    </row>
    <row r="26" spans="1:8" x14ac:dyDescent="0.2">
      <c r="A26" s="68" t="s">
        <v>68</v>
      </c>
      <c r="B26" s="111">
        <v>200</v>
      </c>
      <c r="C26" s="111">
        <v>108850</v>
      </c>
      <c r="D26" s="111">
        <v>83450</v>
      </c>
      <c r="E26" s="111">
        <v>34260</v>
      </c>
      <c r="F26" s="111">
        <v>4321</v>
      </c>
      <c r="G26" s="123">
        <f t="shared" si="0"/>
        <v>5.8782689192316582</v>
      </c>
      <c r="H26" s="123">
        <f t="shared" si="1"/>
        <v>2.9391344596158289E-2</v>
      </c>
    </row>
    <row r="27" spans="1:8" x14ac:dyDescent="0.2">
      <c r="A27" s="68" t="s">
        <v>0</v>
      </c>
      <c r="B27" s="111">
        <v>261</v>
      </c>
      <c r="C27" s="111">
        <v>158758</v>
      </c>
      <c r="D27" s="111">
        <v>126099</v>
      </c>
      <c r="E27" s="111">
        <v>50753</v>
      </c>
      <c r="F27" s="111">
        <v>4260</v>
      </c>
      <c r="G27" s="123">
        <f t="shared" si="0"/>
        <v>7.6664319248826294</v>
      </c>
      <c r="H27" s="123">
        <f t="shared" si="1"/>
        <v>2.9373302394186319E-2</v>
      </c>
    </row>
    <row r="28" spans="1:8" x14ac:dyDescent="0.2">
      <c r="A28" s="68" t="s">
        <v>61</v>
      </c>
      <c r="B28" s="111">
        <v>305</v>
      </c>
      <c r="C28" s="111">
        <v>242630</v>
      </c>
      <c r="D28" s="111">
        <v>190470</v>
      </c>
      <c r="E28" s="111">
        <v>94240</v>
      </c>
      <c r="F28" s="111">
        <v>6112</v>
      </c>
      <c r="G28" s="123">
        <f t="shared" si="0"/>
        <v>8.5340314136125635</v>
      </c>
      <c r="H28" s="123">
        <f t="shared" si="1"/>
        <v>2.7980430864303487E-2</v>
      </c>
    </row>
    <row r="29" spans="1:8" x14ac:dyDescent="0.2">
      <c r="A29" s="68" t="s">
        <v>60</v>
      </c>
      <c r="B29" s="111">
        <v>305</v>
      </c>
      <c r="C29" s="111">
        <v>233600</v>
      </c>
      <c r="D29" s="111">
        <v>190500</v>
      </c>
      <c r="E29" s="111">
        <v>94240</v>
      </c>
      <c r="F29" s="111">
        <v>5848</v>
      </c>
      <c r="G29" s="123">
        <f t="shared" si="0"/>
        <v>7.3700410396716816</v>
      </c>
      <c r="H29" s="123">
        <f t="shared" si="1"/>
        <v>2.4164068982530103E-2</v>
      </c>
    </row>
    <row r="30" spans="1:8" x14ac:dyDescent="0.2">
      <c r="A30" s="68" t="s">
        <v>56</v>
      </c>
      <c r="B30" s="111">
        <v>365</v>
      </c>
      <c r="C30" s="111">
        <v>351535</v>
      </c>
      <c r="D30" s="111">
        <v>237682</v>
      </c>
      <c r="E30" s="111">
        <v>145540</v>
      </c>
      <c r="F30" s="111">
        <v>10533</v>
      </c>
      <c r="G30" s="123">
        <f t="shared" si="0"/>
        <v>10.80917117630305</v>
      </c>
      <c r="H30" s="123">
        <f t="shared" si="1"/>
        <v>2.9614167606309725E-2</v>
      </c>
    </row>
    <row r="31" spans="1:8" x14ac:dyDescent="0.2">
      <c r="A31" s="68" t="s">
        <v>54</v>
      </c>
      <c r="B31" s="111">
        <v>242</v>
      </c>
      <c r="C31" s="111">
        <v>227930</v>
      </c>
      <c r="D31" s="111">
        <v>161025</v>
      </c>
      <c r="E31" s="111">
        <v>101343</v>
      </c>
      <c r="F31" s="111">
        <v>10186</v>
      </c>
      <c r="G31" s="123">
        <f t="shared" si="0"/>
        <v>6.5683290791282154</v>
      </c>
      <c r="H31" s="123">
        <f t="shared" si="1"/>
        <v>2.7141855698876925E-2</v>
      </c>
    </row>
    <row r="32" spans="1:8" x14ac:dyDescent="0.2">
      <c r="A32" s="68" t="s">
        <v>53</v>
      </c>
      <c r="B32" s="111">
        <v>290</v>
      </c>
      <c r="C32" s="111">
        <v>254011</v>
      </c>
      <c r="D32" s="111">
        <v>181437</v>
      </c>
      <c r="E32" s="111">
        <v>101522</v>
      </c>
      <c r="F32" s="111">
        <v>9714</v>
      </c>
      <c r="G32" s="123">
        <f t="shared" si="0"/>
        <v>7.4710726786081931</v>
      </c>
      <c r="H32" s="123">
        <f t="shared" si="1"/>
        <v>2.5762319581407563E-2</v>
      </c>
    </row>
    <row r="33" spans="1:8" x14ac:dyDescent="0.2">
      <c r="A33" s="68" t="s">
        <v>48</v>
      </c>
      <c r="B33" s="111">
        <v>143</v>
      </c>
      <c r="C33" s="111">
        <v>63504</v>
      </c>
      <c r="D33" s="111">
        <v>50802</v>
      </c>
      <c r="E33" s="111">
        <v>17764</v>
      </c>
      <c r="F33" s="111">
        <v>2621</v>
      </c>
      <c r="G33" s="123">
        <f t="shared" si="0"/>
        <v>4.8462418924074777</v>
      </c>
      <c r="H33" s="123">
        <f t="shared" si="1"/>
        <v>3.3889803443408938E-2</v>
      </c>
    </row>
    <row r="34" spans="1:8" x14ac:dyDescent="0.2">
      <c r="A34" s="68" t="s">
        <v>159</v>
      </c>
      <c r="B34" s="111">
        <v>50</v>
      </c>
      <c r="C34" s="111">
        <v>21523</v>
      </c>
      <c r="D34" s="111">
        <v>19142</v>
      </c>
      <c r="E34" s="111">
        <v>4161</v>
      </c>
      <c r="F34" s="111">
        <v>1019</v>
      </c>
      <c r="G34" s="123">
        <f t="shared" si="0"/>
        <v>2.3366045142296366</v>
      </c>
      <c r="H34" s="123">
        <f t="shared" si="1"/>
        <v>4.6732090284592728E-2</v>
      </c>
    </row>
    <row r="35" spans="1:8" x14ac:dyDescent="0.2">
      <c r="A35" s="68" t="s">
        <v>158</v>
      </c>
      <c r="B35" s="111">
        <v>50</v>
      </c>
      <c r="C35" s="111">
        <v>21523</v>
      </c>
      <c r="D35" s="111">
        <v>19142</v>
      </c>
      <c r="E35" s="111">
        <v>4255</v>
      </c>
      <c r="F35" s="111">
        <v>1061</v>
      </c>
      <c r="G35" s="123">
        <f t="shared" ref="G35:G52" si="2">C35*(1-(D35/C35))/F35</f>
        <v>2.2441093308199807</v>
      </c>
      <c r="H35" s="123">
        <f t="shared" ref="H35:H52" si="3">G35/B35</f>
        <v>4.4882186616399616E-2</v>
      </c>
    </row>
    <row r="36" spans="1:8" x14ac:dyDescent="0.2">
      <c r="A36" s="68" t="s">
        <v>39</v>
      </c>
      <c r="B36" s="111">
        <v>78</v>
      </c>
      <c r="C36" s="111">
        <v>32995</v>
      </c>
      <c r="D36" s="111">
        <v>28259</v>
      </c>
      <c r="E36" s="111">
        <v>8991</v>
      </c>
      <c r="F36" s="111">
        <v>1759</v>
      </c>
      <c r="G36" s="123">
        <f t="shared" si="2"/>
        <v>2.6924388857305286</v>
      </c>
      <c r="H36" s="123">
        <f t="shared" si="3"/>
        <v>3.4518447252955498E-2</v>
      </c>
    </row>
    <row r="37" spans="1:8" x14ac:dyDescent="0.2">
      <c r="A37" s="68" t="s">
        <v>37</v>
      </c>
      <c r="B37" s="111">
        <v>90</v>
      </c>
      <c r="C37" s="111">
        <v>38329</v>
      </c>
      <c r="D37" s="111">
        <v>31752</v>
      </c>
      <c r="E37" s="111">
        <v>8888</v>
      </c>
      <c r="F37" s="111">
        <v>1926</v>
      </c>
      <c r="G37" s="123">
        <f t="shared" si="2"/>
        <v>3.4148494288681213</v>
      </c>
      <c r="H37" s="123">
        <f t="shared" si="3"/>
        <v>3.7942771431868014E-2</v>
      </c>
    </row>
    <row r="38" spans="1:8" x14ac:dyDescent="0.2">
      <c r="A38" s="68" t="s">
        <v>35</v>
      </c>
      <c r="B38" s="111">
        <v>104</v>
      </c>
      <c r="C38" s="111">
        <v>41640</v>
      </c>
      <c r="D38" s="111">
        <v>35153</v>
      </c>
      <c r="E38" s="111">
        <v>8822</v>
      </c>
      <c r="F38" s="111">
        <v>2222</v>
      </c>
      <c r="G38" s="123">
        <f t="shared" si="2"/>
        <v>2.9194419441944186</v>
      </c>
      <c r="H38" s="123">
        <f t="shared" si="3"/>
        <v>2.8071557155715562E-2</v>
      </c>
    </row>
    <row r="39" spans="1:8" x14ac:dyDescent="0.2">
      <c r="A39" s="68" t="s">
        <v>34</v>
      </c>
      <c r="B39" s="111">
        <v>37</v>
      </c>
      <c r="C39" s="111">
        <v>15650</v>
      </c>
      <c r="D39" s="111">
        <v>14061</v>
      </c>
      <c r="E39" s="111">
        <v>2576</v>
      </c>
      <c r="F39" s="111">
        <v>926</v>
      </c>
      <c r="G39" s="123">
        <f t="shared" si="2"/>
        <v>1.7159827213822902</v>
      </c>
      <c r="H39" s="123">
        <f t="shared" si="3"/>
        <v>4.6377911388710544E-2</v>
      </c>
    </row>
    <row r="40" spans="1:8" x14ac:dyDescent="0.2">
      <c r="A40" s="68" t="s">
        <v>44</v>
      </c>
      <c r="B40" s="111">
        <v>50</v>
      </c>
      <c r="C40" s="111">
        <v>19500</v>
      </c>
      <c r="D40" s="111">
        <v>17920</v>
      </c>
      <c r="E40" s="111">
        <v>2574</v>
      </c>
      <c r="F40" s="111">
        <v>715</v>
      </c>
      <c r="G40" s="123">
        <f t="shared" si="2"/>
        <v>2.2097902097902096</v>
      </c>
      <c r="H40" s="123">
        <f t="shared" si="3"/>
        <v>4.4195804195804191E-2</v>
      </c>
    </row>
    <row r="41" spans="1:8" x14ac:dyDescent="0.2">
      <c r="A41" s="68" t="s">
        <v>32</v>
      </c>
      <c r="B41" s="111">
        <v>82</v>
      </c>
      <c r="C41" s="111">
        <v>29257</v>
      </c>
      <c r="D41" s="111">
        <v>25855</v>
      </c>
      <c r="E41" s="111">
        <v>5318</v>
      </c>
      <c r="F41" s="111">
        <v>1396</v>
      </c>
      <c r="G41" s="123">
        <f t="shared" si="2"/>
        <v>2.4369627507163325</v>
      </c>
      <c r="H41" s="123">
        <f t="shared" si="3"/>
        <v>2.9719057935565032E-2</v>
      </c>
    </row>
    <row r="42" spans="1:8" x14ac:dyDescent="0.2">
      <c r="A42" s="68" t="s">
        <v>30</v>
      </c>
      <c r="B42" s="111">
        <v>19</v>
      </c>
      <c r="C42" s="111">
        <v>5670</v>
      </c>
      <c r="D42" s="111">
        <v>4581</v>
      </c>
      <c r="E42" s="111">
        <v>1159</v>
      </c>
      <c r="F42" s="111">
        <v>92.6</v>
      </c>
      <c r="G42" s="123">
        <f t="shared" si="2"/>
        <v>11.76025917926566</v>
      </c>
      <c r="H42" s="123">
        <f t="shared" si="3"/>
        <v>0.61896100943503474</v>
      </c>
    </row>
    <row r="43" spans="1:8" x14ac:dyDescent="0.2">
      <c r="A43" s="68" t="s">
        <v>26</v>
      </c>
      <c r="B43" s="111">
        <v>74</v>
      </c>
      <c r="C43" s="111">
        <v>35990</v>
      </c>
      <c r="D43" s="111">
        <v>29600</v>
      </c>
      <c r="E43" s="111">
        <v>9428</v>
      </c>
      <c r="F43" s="111">
        <v>1945</v>
      </c>
      <c r="G43" s="123">
        <f t="shared" si="2"/>
        <v>3.2853470437017984</v>
      </c>
      <c r="H43" s="123">
        <f t="shared" si="3"/>
        <v>4.4396581671645924E-2</v>
      </c>
    </row>
    <row r="44" spans="1:8" x14ac:dyDescent="0.2">
      <c r="A44" s="68" t="s">
        <v>25</v>
      </c>
      <c r="B44" s="111">
        <v>78</v>
      </c>
      <c r="C44" s="111">
        <v>37500</v>
      </c>
      <c r="D44" s="111">
        <v>31700</v>
      </c>
      <c r="E44" s="111">
        <v>9428</v>
      </c>
      <c r="F44" s="111">
        <v>1815</v>
      </c>
      <c r="G44" s="123">
        <f t="shared" si="2"/>
        <v>3.1955922865013764</v>
      </c>
      <c r="H44" s="123">
        <f t="shared" si="3"/>
        <v>4.0969131878222771E-2</v>
      </c>
    </row>
    <row r="45" spans="1:8" x14ac:dyDescent="0.2">
      <c r="A45" s="68" t="s">
        <v>23</v>
      </c>
      <c r="B45" s="111">
        <v>100</v>
      </c>
      <c r="C45" s="111">
        <v>47790</v>
      </c>
      <c r="D45" s="111">
        <v>40800</v>
      </c>
      <c r="E45" s="111">
        <v>13000</v>
      </c>
      <c r="F45" s="111">
        <v>1801</v>
      </c>
      <c r="G45" s="123">
        <f t="shared" si="2"/>
        <v>3.8811771238200996</v>
      </c>
      <c r="H45" s="123">
        <f t="shared" si="3"/>
        <v>3.8811771238200996E-2</v>
      </c>
    </row>
    <row r="46" spans="1:8" x14ac:dyDescent="0.2">
      <c r="A46" s="68" t="s">
        <v>19</v>
      </c>
      <c r="B46" s="111">
        <v>124</v>
      </c>
      <c r="C46" s="111">
        <v>48790</v>
      </c>
      <c r="D46" s="111">
        <v>42500</v>
      </c>
      <c r="E46" s="111">
        <v>13100</v>
      </c>
      <c r="F46" s="111">
        <v>1482</v>
      </c>
      <c r="G46" s="123">
        <f t="shared" si="2"/>
        <v>4.2442645074224039</v>
      </c>
      <c r="H46" s="123">
        <f t="shared" si="3"/>
        <v>3.4227939575987125E-2</v>
      </c>
    </row>
    <row r="47" spans="1:8" x14ac:dyDescent="0.2">
      <c r="A47" s="68" t="s">
        <v>17</v>
      </c>
      <c r="B47" s="111">
        <v>104</v>
      </c>
      <c r="C47" s="111">
        <v>61500</v>
      </c>
      <c r="D47" s="111">
        <v>51850</v>
      </c>
      <c r="E47" s="111">
        <v>13690</v>
      </c>
      <c r="F47" s="111">
        <v>3519</v>
      </c>
      <c r="G47" s="123">
        <f t="shared" si="2"/>
        <v>2.7422563228189816</v>
      </c>
      <c r="H47" s="123">
        <f t="shared" si="3"/>
        <v>2.6367849257874824E-2</v>
      </c>
    </row>
    <row r="48" spans="1:8" x14ac:dyDescent="0.2">
      <c r="A48" s="68" t="s">
        <v>15</v>
      </c>
      <c r="B48" s="111">
        <v>30</v>
      </c>
      <c r="C48" s="111">
        <v>11500</v>
      </c>
      <c r="D48" s="111">
        <v>10500</v>
      </c>
      <c r="E48" s="111">
        <v>2622</v>
      </c>
      <c r="F48" s="111">
        <v>537</v>
      </c>
      <c r="G48" s="123">
        <f t="shared" si="2"/>
        <v>1.8621973929236511</v>
      </c>
      <c r="H48" s="123">
        <f t="shared" si="3"/>
        <v>6.2073246430788369E-2</v>
      </c>
    </row>
    <row r="49" spans="1:8" x14ac:dyDescent="0.2">
      <c r="A49" s="68" t="s">
        <v>11</v>
      </c>
      <c r="B49" s="111">
        <v>50</v>
      </c>
      <c r="C49" s="111">
        <v>20600</v>
      </c>
      <c r="D49" s="111">
        <v>17100</v>
      </c>
      <c r="E49" s="111">
        <v>4173</v>
      </c>
      <c r="F49" s="111">
        <v>1759</v>
      </c>
      <c r="G49" s="123">
        <f t="shared" si="2"/>
        <v>1.9897669130187612</v>
      </c>
      <c r="H49" s="123">
        <f t="shared" si="3"/>
        <v>3.9795338260375221E-2</v>
      </c>
    </row>
    <row r="50" spans="1:8" x14ac:dyDescent="0.2">
      <c r="A50" s="68" t="s">
        <v>9</v>
      </c>
      <c r="B50" s="111">
        <v>97</v>
      </c>
      <c r="C50" s="111">
        <v>44450</v>
      </c>
      <c r="D50" s="111">
        <v>36740</v>
      </c>
      <c r="E50" s="111">
        <v>10293</v>
      </c>
      <c r="F50" s="111">
        <v>2037</v>
      </c>
      <c r="G50" s="123">
        <f t="shared" si="2"/>
        <v>3.7849779086892479</v>
      </c>
      <c r="H50" s="123">
        <f t="shared" si="3"/>
        <v>3.9020390811229357E-2</v>
      </c>
    </row>
    <row r="51" spans="1:8" x14ac:dyDescent="0.2">
      <c r="A51" s="68" t="s">
        <v>4</v>
      </c>
      <c r="B51" s="111">
        <v>34</v>
      </c>
      <c r="C51" s="111">
        <v>12700</v>
      </c>
      <c r="D51" s="111">
        <v>12340</v>
      </c>
      <c r="E51" s="111">
        <v>2580</v>
      </c>
      <c r="F51" s="111">
        <v>806</v>
      </c>
      <c r="G51" s="123">
        <f t="shared" si="2"/>
        <v>0.44665012406947846</v>
      </c>
      <c r="H51" s="123">
        <f t="shared" si="3"/>
        <v>1.313676835498466E-2</v>
      </c>
    </row>
    <row r="52" spans="1:8" x14ac:dyDescent="0.2">
      <c r="A52" s="68" t="s">
        <v>2</v>
      </c>
      <c r="B52" s="111">
        <v>100</v>
      </c>
      <c r="C52" s="111">
        <v>45880</v>
      </c>
      <c r="D52" s="111">
        <v>40000</v>
      </c>
      <c r="E52" s="111">
        <v>12407</v>
      </c>
      <c r="F52" s="111">
        <v>1445</v>
      </c>
      <c r="G52" s="123">
        <f t="shared" si="2"/>
        <v>4.0692041522491333</v>
      </c>
      <c r="H52" s="123">
        <f t="shared" si="3"/>
        <v>4.0692041522491333E-2</v>
      </c>
    </row>
  </sheetData>
  <autoFilter ref="A1:H52" xr:uid="{B7149268-5F09-9F47-AF4A-92742FF728F1}"/>
  <mergeCells count="8">
    <mergeCell ref="B1:B2"/>
    <mergeCell ref="G1:G2"/>
    <mergeCell ref="H1:H2"/>
    <mergeCell ref="A1:A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21FE-3CB9-6B46-BEA4-D974365267C8}">
  <dimension ref="A1:O52"/>
  <sheetViews>
    <sheetView workbookViewId="0">
      <selection activeCell="C5" sqref="C5"/>
    </sheetView>
  </sheetViews>
  <sheetFormatPr baseColWidth="10" defaultRowHeight="16" x14ac:dyDescent="0.2"/>
  <cols>
    <col min="1" max="1" width="20.33203125" customWidth="1"/>
    <col min="2" max="6" width="10.83203125" customWidth="1"/>
    <col min="7" max="7" width="25.1640625" customWidth="1"/>
    <col min="8" max="8" width="32.83203125" customWidth="1"/>
    <col min="9" max="9" width="26.1640625" customWidth="1"/>
    <col min="10" max="10" width="39.1640625" customWidth="1"/>
    <col min="11" max="12" width="25.5" customWidth="1"/>
    <col min="13" max="13" width="40.6640625" customWidth="1"/>
  </cols>
  <sheetData>
    <row r="1" spans="1:15" x14ac:dyDescent="0.2">
      <c r="A1" s="145" t="s">
        <v>154</v>
      </c>
      <c r="B1" s="145" t="s">
        <v>151</v>
      </c>
      <c r="C1" s="145" t="s">
        <v>214</v>
      </c>
      <c r="D1" s="145" t="s">
        <v>231</v>
      </c>
      <c r="E1" s="145" t="s">
        <v>232</v>
      </c>
      <c r="F1" s="145" t="s">
        <v>233</v>
      </c>
      <c r="G1" s="145" t="s">
        <v>230</v>
      </c>
      <c r="H1" s="145" t="s">
        <v>304</v>
      </c>
    </row>
    <row r="2" spans="1:15" ht="17" thickBot="1" x14ac:dyDescent="0.25">
      <c r="A2" s="150"/>
      <c r="B2" s="146"/>
      <c r="C2" s="146"/>
      <c r="D2" s="146"/>
      <c r="E2" s="146"/>
      <c r="F2" s="146"/>
      <c r="G2" s="146"/>
      <c r="H2" s="146"/>
    </row>
    <row r="3" spans="1:15" ht="15" customHeight="1" x14ac:dyDescent="0.2">
      <c r="A3" s="68" t="s">
        <v>128</v>
      </c>
      <c r="B3" s="111">
        <v>150</v>
      </c>
      <c r="C3" s="111">
        <v>3704</v>
      </c>
      <c r="D3" s="111">
        <v>55691</v>
      </c>
      <c r="E3" s="111">
        <v>6232</v>
      </c>
      <c r="F3" s="111">
        <v>50013</v>
      </c>
      <c r="G3" s="141">
        <v>2.74</v>
      </c>
      <c r="H3" s="123">
        <f t="shared" ref="H3:H34" si="0">G3/B3</f>
        <v>1.8266666666666667E-2</v>
      </c>
      <c r="O3" s="149"/>
    </row>
    <row r="4" spans="1:15" x14ac:dyDescent="0.2">
      <c r="A4" s="68" t="s">
        <v>121</v>
      </c>
      <c r="B4" s="111">
        <v>134</v>
      </c>
      <c r="C4" s="111">
        <v>4630</v>
      </c>
      <c r="D4" s="111">
        <v>17400</v>
      </c>
      <c r="E4" s="111">
        <v>5413</v>
      </c>
      <c r="F4" s="111">
        <v>15600</v>
      </c>
      <c r="G4" s="141">
        <v>3</v>
      </c>
      <c r="H4" s="123">
        <f t="shared" si="0"/>
        <v>2.2388059701492536E-2</v>
      </c>
      <c r="O4" s="149"/>
    </row>
    <row r="5" spans="1:15" x14ac:dyDescent="0.2">
      <c r="A5" s="68" t="s">
        <v>120</v>
      </c>
      <c r="B5" s="111">
        <v>150</v>
      </c>
      <c r="C5" s="111">
        <v>3882</v>
      </c>
      <c r="D5" s="111">
        <v>19750</v>
      </c>
      <c r="E5" s="111">
        <v>5200</v>
      </c>
      <c r="F5" s="111">
        <v>16125</v>
      </c>
      <c r="G5" s="141">
        <v>3.14</v>
      </c>
      <c r="H5" s="123">
        <f t="shared" si="0"/>
        <v>2.0933333333333335E-2</v>
      </c>
    </row>
    <row r="6" spans="1:15" x14ac:dyDescent="0.2">
      <c r="A6" s="68" t="s">
        <v>119</v>
      </c>
      <c r="B6" s="111">
        <v>165</v>
      </c>
      <c r="C6" s="111">
        <v>4528</v>
      </c>
      <c r="D6" s="111">
        <v>19250</v>
      </c>
      <c r="E6" s="111">
        <v>6315</v>
      </c>
      <c r="F6" s="111">
        <v>15150</v>
      </c>
      <c r="G6" s="141">
        <v>2.9</v>
      </c>
      <c r="H6" s="123">
        <f t="shared" si="0"/>
        <v>1.7575757575757574E-2</v>
      </c>
    </row>
    <row r="7" spans="1:15" x14ac:dyDescent="0.2">
      <c r="A7" s="68" t="s">
        <v>118</v>
      </c>
      <c r="B7" s="111">
        <v>185</v>
      </c>
      <c r="C7" s="111">
        <v>4215</v>
      </c>
      <c r="D7" s="111">
        <v>24242</v>
      </c>
      <c r="E7" s="111">
        <v>5460</v>
      </c>
      <c r="F7" s="111">
        <v>20152</v>
      </c>
      <c r="G7" s="141">
        <v>2.98</v>
      </c>
      <c r="H7" s="123">
        <f t="shared" si="0"/>
        <v>1.6108108108108109E-2</v>
      </c>
    </row>
    <row r="8" spans="1:15" x14ac:dyDescent="0.2">
      <c r="A8" s="68" t="s">
        <v>117</v>
      </c>
      <c r="B8" s="111">
        <v>206</v>
      </c>
      <c r="C8" s="111">
        <v>5648.6</v>
      </c>
      <c r="D8" s="111">
        <v>23950</v>
      </c>
      <c r="E8" s="111">
        <v>6482</v>
      </c>
      <c r="F8" s="111">
        <v>21350</v>
      </c>
      <c r="G8" s="141">
        <v>3.54</v>
      </c>
      <c r="H8" s="123">
        <f t="shared" si="0"/>
        <v>1.7184466019417477E-2</v>
      </c>
    </row>
    <row r="9" spans="1:15" x14ac:dyDescent="0.2">
      <c r="A9" s="68" t="s">
        <v>116</v>
      </c>
      <c r="B9" s="111">
        <v>246</v>
      </c>
      <c r="C9" s="111">
        <v>8584</v>
      </c>
      <c r="D9" s="111">
        <v>45813</v>
      </c>
      <c r="E9" s="111">
        <v>16455</v>
      </c>
      <c r="F9" s="111">
        <v>6350</v>
      </c>
      <c r="G9" s="141">
        <v>7.41</v>
      </c>
      <c r="H9" s="123">
        <f t="shared" si="0"/>
        <v>3.0121951219512194E-2</v>
      </c>
    </row>
    <row r="10" spans="1:15" x14ac:dyDescent="0.2">
      <c r="A10" s="68" t="s">
        <v>115</v>
      </c>
      <c r="B10" s="111">
        <v>300</v>
      </c>
      <c r="C10" s="111">
        <v>7723</v>
      </c>
      <c r="D10" s="111">
        <v>45359</v>
      </c>
      <c r="E10" s="111">
        <v>10038</v>
      </c>
      <c r="F10" s="111">
        <v>34927</v>
      </c>
      <c r="G10" s="141">
        <v>7.58</v>
      </c>
      <c r="H10" s="123">
        <f t="shared" si="0"/>
        <v>2.5266666666666666E-2</v>
      </c>
    </row>
    <row r="11" spans="1:15" x14ac:dyDescent="0.2">
      <c r="A11" s="68" t="s">
        <v>109</v>
      </c>
      <c r="B11" s="111">
        <v>315</v>
      </c>
      <c r="C11" s="111">
        <v>10797</v>
      </c>
      <c r="D11" s="111">
        <v>53700</v>
      </c>
      <c r="E11" s="111">
        <v>15890</v>
      </c>
      <c r="F11" s="111">
        <v>24800</v>
      </c>
      <c r="G11" s="141">
        <v>7.02</v>
      </c>
      <c r="H11" s="123">
        <f t="shared" si="0"/>
        <v>2.2285714285714284E-2</v>
      </c>
    </row>
    <row r="12" spans="1:15" x14ac:dyDescent="0.2">
      <c r="A12" s="68" t="s">
        <v>106</v>
      </c>
      <c r="B12" s="111">
        <v>575</v>
      </c>
      <c r="C12" s="111">
        <v>12131</v>
      </c>
      <c r="D12" s="111">
        <v>83571</v>
      </c>
      <c r="E12" s="111">
        <v>16298</v>
      </c>
      <c r="F12" s="111">
        <v>34286</v>
      </c>
      <c r="G12" s="141">
        <v>15.43</v>
      </c>
      <c r="H12" s="123">
        <f t="shared" si="0"/>
        <v>2.6834782608695651E-2</v>
      </c>
    </row>
    <row r="13" spans="1:15" x14ac:dyDescent="0.2">
      <c r="A13" s="68" t="s">
        <v>104</v>
      </c>
      <c r="B13" s="111">
        <v>48</v>
      </c>
      <c r="C13" s="111">
        <v>969</v>
      </c>
      <c r="D13" s="111">
        <v>5045</v>
      </c>
      <c r="E13" s="111">
        <v>3034</v>
      </c>
      <c r="F13" s="111">
        <v>2455</v>
      </c>
      <c r="G13" s="141">
        <v>1.53</v>
      </c>
      <c r="H13" s="123">
        <f t="shared" si="0"/>
        <v>3.1875000000000001E-2</v>
      </c>
    </row>
    <row r="14" spans="1:15" x14ac:dyDescent="0.2">
      <c r="A14" s="68" t="s">
        <v>102</v>
      </c>
      <c r="B14" s="111">
        <v>68</v>
      </c>
      <c r="C14" s="111">
        <v>926</v>
      </c>
      <c r="D14" s="111">
        <v>7000</v>
      </c>
      <c r="E14" s="111">
        <v>3087</v>
      </c>
      <c r="F14" s="111">
        <v>4000</v>
      </c>
      <c r="G14" s="141">
        <v>1.49</v>
      </c>
      <c r="H14" s="123">
        <f t="shared" si="0"/>
        <v>2.1911764705882353E-2</v>
      </c>
    </row>
    <row r="15" spans="1:15" x14ac:dyDescent="0.2">
      <c r="A15" s="68" t="s">
        <v>100</v>
      </c>
      <c r="B15" s="111">
        <v>19</v>
      </c>
      <c r="C15" s="111">
        <v>585</v>
      </c>
      <c r="D15" s="111">
        <v>1984</v>
      </c>
      <c r="E15" s="111">
        <v>975</v>
      </c>
      <c r="F15" s="111">
        <v>1724</v>
      </c>
      <c r="G15" s="141">
        <v>0.4</v>
      </c>
      <c r="H15" s="123">
        <f t="shared" si="0"/>
        <v>2.1052631578947368E-2</v>
      </c>
    </row>
    <row r="16" spans="1:15" x14ac:dyDescent="0.2">
      <c r="A16" s="68" t="s">
        <v>98</v>
      </c>
      <c r="B16" s="111">
        <v>106</v>
      </c>
      <c r="C16" s="111">
        <v>2185</v>
      </c>
      <c r="D16" s="111">
        <v>45589</v>
      </c>
      <c r="E16" s="111">
        <v>3704</v>
      </c>
      <c r="F16" s="111">
        <v>42000</v>
      </c>
      <c r="G16" s="141">
        <v>2.73</v>
      </c>
      <c r="H16" s="123">
        <f t="shared" si="0"/>
        <v>2.5754716981132075E-2</v>
      </c>
    </row>
    <row r="17" spans="1:8" x14ac:dyDescent="0.2">
      <c r="A17" s="68" t="s">
        <v>157</v>
      </c>
      <c r="B17" s="111">
        <v>162</v>
      </c>
      <c r="C17" s="111">
        <v>4842</v>
      </c>
      <c r="D17" s="111">
        <v>65930</v>
      </c>
      <c r="E17" s="111">
        <v>6426</v>
      </c>
      <c r="F17" s="111">
        <v>61983</v>
      </c>
      <c r="G17" s="141">
        <v>2.83</v>
      </c>
      <c r="H17" s="123">
        <f t="shared" si="0"/>
        <v>1.7469135802469136E-2</v>
      </c>
    </row>
    <row r="18" spans="1:8" x14ac:dyDescent="0.2">
      <c r="A18" s="68" t="s">
        <v>95</v>
      </c>
      <c r="B18" s="111">
        <v>180</v>
      </c>
      <c r="C18" s="111">
        <v>4630</v>
      </c>
      <c r="D18" s="111">
        <v>70964.5</v>
      </c>
      <c r="E18" s="111">
        <v>5843</v>
      </c>
      <c r="F18" s="111">
        <v>67653</v>
      </c>
      <c r="G18" s="141">
        <v>3.05</v>
      </c>
      <c r="H18" s="123">
        <f t="shared" si="0"/>
        <v>1.6944444444444443E-2</v>
      </c>
    </row>
    <row r="19" spans="1:8" x14ac:dyDescent="0.2">
      <c r="A19" s="68" t="s">
        <v>91</v>
      </c>
      <c r="B19" s="111">
        <v>126</v>
      </c>
      <c r="C19" s="111">
        <v>3439</v>
      </c>
      <c r="D19" s="111">
        <v>48357</v>
      </c>
      <c r="E19" s="111">
        <v>5159</v>
      </c>
      <c r="F19" s="111">
        <v>43667</v>
      </c>
      <c r="G19" s="141">
        <v>2.87</v>
      </c>
      <c r="H19" s="123">
        <f t="shared" si="0"/>
        <v>2.2777777777777779E-2</v>
      </c>
    </row>
    <row r="20" spans="1:8" x14ac:dyDescent="0.2">
      <c r="A20" s="68" t="s">
        <v>87</v>
      </c>
      <c r="B20" s="111">
        <v>147</v>
      </c>
      <c r="C20" s="111">
        <v>3258</v>
      </c>
      <c r="D20" s="111">
        <v>53167</v>
      </c>
      <c r="E20" s="111">
        <v>4630</v>
      </c>
      <c r="F20" s="111">
        <v>48667</v>
      </c>
      <c r="G20" s="141">
        <v>3.46</v>
      </c>
      <c r="H20" s="123">
        <f t="shared" si="0"/>
        <v>2.3537414965986395E-2</v>
      </c>
    </row>
    <row r="21" spans="1:8" x14ac:dyDescent="0.2">
      <c r="A21" s="68" t="s">
        <v>84</v>
      </c>
      <c r="B21" s="111">
        <v>110</v>
      </c>
      <c r="C21" s="111">
        <v>2910</v>
      </c>
      <c r="D21" s="111">
        <v>46667</v>
      </c>
      <c r="E21" s="111">
        <v>4994</v>
      </c>
      <c r="F21" s="111">
        <v>41333</v>
      </c>
      <c r="G21" s="141">
        <v>3.51</v>
      </c>
      <c r="H21" s="123">
        <f t="shared" si="0"/>
        <v>3.1909090909090908E-2</v>
      </c>
    </row>
    <row r="22" spans="1:8" x14ac:dyDescent="0.2">
      <c r="A22" s="68" t="s">
        <v>81</v>
      </c>
      <c r="B22" s="111">
        <v>128</v>
      </c>
      <c r="C22" s="111">
        <v>3945</v>
      </c>
      <c r="D22" s="111">
        <v>55202</v>
      </c>
      <c r="E22" s="111">
        <v>6186</v>
      </c>
      <c r="F22" s="111">
        <v>49237</v>
      </c>
      <c r="G22" s="141">
        <v>2.98</v>
      </c>
      <c r="H22" s="123">
        <f t="shared" si="0"/>
        <v>2.328125E-2</v>
      </c>
    </row>
    <row r="23" spans="1:8" x14ac:dyDescent="0.2">
      <c r="A23" s="68" t="s">
        <v>79</v>
      </c>
      <c r="B23" s="111">
        <v>160</v>
      </c>
      <c r="C23" s="111">
        <v>3750</v>
      </c>
      <c r="D23" s="111">
        <v>62596</v>
      </c>
      <c r="E23" s="111">
        <v>5223</v>
      </c>
      <c r="F23" s="111">
        <v>58128</v>
      </c>
      <c r="G23" s="141">
        <v>3.39</v>
      </c>
      <c r="H23" s="123">
        <f t="shared" si="0"/>
        <v>2.1187500000000001E-2</v>
      </c>
    </row>
    <row r="24" spans="1:8" x14ac:dyDescent="0.2">
      <c r="A24" s="68" t="s">
        <v>77</v>
      </c>
      <c r="B24" s="111">
        <v>177</v>
      </c>
      <c r="C24" s="111">
        <v>3704</v>
      </c>
      <c r="D24" s="111">
        <v>62732</v>
      </c>
      <c r="E24" s="111">
        <v>5149</v>
      </c>
      <c r="F24" s="111">
        <v>58173</v>
      </c>
      <c r="G24" s="141">
        <v>2.44</v>
      </c>
      <c r="H24" s="123">
        <f t="shared" si="0"/>
        <v>1.3785310734463277E-2</v>
      </c>
    </row>
    <row r="25" spans="1:8" x14ac:dyDescent="0.2">
      <c r="A25" s="68" t="s">
        <v>74</v>
      </c>
      <c r="B25" s="111">
        <v>416</v>
      </c>
      <c r="C25" s="111">
        <v>10570</v>
      </c>
      <c r="D25" s="111">
        <v>246073</v>
      </c>
      <c r="E25" s="111">
        <v>13100</v>
      </c>
      <c r="F25" s="111">
        <v>222273</v>
      </c>
      <c r="G25" s="141">
        <v>12.87</v>
      </c>
      <c r="H25" s="123">
        <f t="shared" si="0"/>
        <v>3.09375E-2</v>
      </c>
    </row>
    <row r="26" spans="1:8" x14ac:dyDescent="0.2">
      <c r="A26" s="68" t="s">
        <v>68</v>
      </c>
      <c r="B26" s="111">
        <v>200</v>
      </c>
      <c r="C26" s="111">
        <v>4321</v>
      </c>
      <c r="D26" s="111">
        <v>83450</v>
      </c>
      <c r="E26" s="111">
        <v>6482</v>
      </c>
      <c r="F26" s="111">
        <v>74000</v>
      </c>
      <c r="G26" s="141">
        <v>4.74</v>
      </c>
      <c r="H26" s="123">
        <f t="shared" si="0"/>
        <v>2.3700000000000002E-2</v>
      </c>
    </row>
    <row r="27" spans="1:8" x14ac:dyDescent="0.2">
      <c r="A27" s="68" t="s">
        <v>0</v>
      </c>
      <c r="B27" s="111">
        <v>261</v>
      </c>
      <c r="C27" s="111">
        <v>4260</v>
      </c>
      <c r="D27" s="111">
        <v>126098</v>
      </c>
      <c r="E27" s="111">
        <v>7778</v>
      </c>
      <c r="F27" s="111">
        <v>108862</v>
      </c>
      <c r="G27" s="141">
        <v>6.11</v>
      </c>
      <c r="H27" s="123">
        <f t="shared" si="0"/>
        <v>2.3409961685823755E-2</v>
      </c>
    </row>
    <row r="28" spans="1:8" x14ac:dyDescent="0.2">
      <c r="A28" s="68" t="s">
        <v>61</v>
      </c>
      <c r="B28" s="111">
        <v>305</v>
      </c>
      <c r="C28" s="111">
        <v>6112</v>
      </c>
      <c r="D28" s="111">
        <v>190500</v>
      </c>
      <c r="E28" s="111">
        <v>11973</v>
      </c>
      <c r="F28" s="111">
        <v>153201</v>
      </c>
      <c r="G28" s="141">
        <v>7.23</v>
      </c>
      <c r="H28" s="123">
        <f t="shared" si="0"/>
        <v>2.3704918032786886E-2</v>
      </c>
    </row>
    <row r="29" spans="1:8" x14ac:dyDescent="0.2">
      <c r="A29" s="68" t="s">
        <v>60</v>
      </c>
      <c r="B29" s="111">
        <v>305</v>
      </c>
      <c r="C29" s="111">
        <v>5848</v>
      </c>
      <c r="D29" s="111">
        <v>190500</v>
      </c>
      <c r="E29" s="111">
        <v>12038</v>
      </c>
      <c r="F29" s="111">
        <v>150952</v>
      </c>
      <c r="G29" s="141">
        <v>6.19</v>
      </c>
      <c r="H29" s="123">
        <f t="shared" si="0"/>
        <v>2.0295081967213115E-2</v>
      </c>
    </row>
    <row r="30" spans="1:8" x14ac:dyDescent="0.2">
      <c r="A30" s="68" t="s">
        <v>56</v>
      </c>
      <c r="B30" s="111">
        <v>365</v>
      </c>
      <c r="C30" s="111">
        <v>10533</v>
      </c>
      <c r="D30" s="111">
        <v>237682</v>
      </c>
      <c r="E30" s="111">
        <v>14585</v>
      </c>
      <c r="F30" s="111">
        <v>206389</v>
      </c>
      <c r="G30" s="141">
        <v>9.7100000000000009</v>
      </c>
      <c r="H30" s="123">
        <f t="shared" si="0"/>
        <v>2.6602739726027398E-2</v>
      </c>
    </row>
    <row r="31" spans="1:8" x14ac:dyDescent="0.2">
      <c r="A31" s="68" t="s">
        <v>54</v>
      </c>
      <c r="B31" s="111">
        <v>242</v>
      </c>
      <c r="C31" s="111">
        <v>10186</v>
      </c>
      <c r="D31" s="111">
        <v>161025</v>
      </c>
      <c r="E31" s="111">
        <v>17536</v>
      </c>
      <c r="F31" s="111">
        <v>127008</v>
      </c>
      <c r="G31" s="141">
        <v>5.88</v>
      </c>
      <c r="H31" s="123">
        <f t="shared" si="0"/>
        <v>2.4297520661157024E-2</v>
      </c>
    </row>
    <row r="32" spans="1:8" x14ac:dyDescent="0.2">
      <c r="A32" s="68" t="s">
        <v>53</v>
      </c>
      <c r="B32" s="111">
        <v>290</v>
      </c>
      <c r="C32" s="111">
        <v>9714</v>
      </c>
      <c r="D32" s="111">
        <v>181437</v>
      </c>
      <c r="E32" s="111">
        <v>15223</v>
      </c>
      <c r="F32" s="111">
        <v>152316</v>
      </c>
      <c r="G32" s="141">
        <v>6.66</v>
      </c>
      <c r="H32" s="123">
        <f t="shared" si="0"/>
        <v>2.296551724137931E-2</v>
      </c>
    </row>
    <row r="33" spans="1:8" x14ac:dyDescent="0.2">
      <c r="A33" s="68" t="s">
        <v>48</v>
      </c>
      <c r="B33" s="111">
        <v>143</v>
      </c>
      <c r="C33" s="111">
        <v>2621</v>
      </c>
      <c r="D33" s="111">
        <v>17600</v>
      </c>
      <c r="E33" s="111">
        <v>4389</v>
      </c>
      <c r="F33" s="111">
        <v>12701</v>
      </c>
      <c r="G33" s="141">
        <v>3.38</v>
      </c>
      <c r="H33" s="123">
        <f t="shared" si="0"/>
        <v>2.3636363636363636E-2</v>
      </c>
    </row>
    <row r="34" spans="1:8" x14ac:dyDescent="0.2">
      <c r="A34" s="68" t="s">
        <v>159</v>
      </c>
      <c r="B34" s="111">
        <v>50</v>
      </c>
      <c r="C34" s="111">
        <v>1019</v>
      </c>
      <c r="D34" s="111">
        <v>5480</v>
      </c>
      <c r="E34" s="111">
        <v>2593</v>
      </c>
      <c r="F34" s="111">
        <v>3800</v>
      </c>
      <c r="G34" s="141">
        <v>0.56999999999999995</v>
      </c>
      <c r="H34" s="123">
        <f t="shared" si="0"/>
        <v>1.1399999999999999E-2</v>
      </c>
    </row>
    <row r="35" spans="1:8" x14ac:dyDescent="0.2">
      <c r="A35" s="68" t="s">
        <v>158</v>
      </c>
      <c r="B35" s="111">
        <v>50</v>
      </c>
      <c r="C35" s="111">
        <v>1061</v>
      </c>
      <c r="D35" s="111">
        <v>5443.2</v>
      </c>
      <c r="E35" s="111">
        <v>2559</v>
      </c>
      <c r="F35" s="111">
        <v>3628.8</v>
      </c>
      <c r="G35" s="141">
        <v>0.62</v>
      </c>
      <c r="H35" s="123">
        <f t="shared" ref="H35:H52" si="1">G35/B35</f>
        <v>1.24E-2</v>
      </c>
    </row>
    <row r="36" spans="1:8" x14ac:dyDescent="0.2">
      <c r="A36" s="68" t="s">
        <v>39</v>
      </c>
      <c r="B36" s="111">
        <v>78</v>
      </c>
      <c r="C36" s="111">
        <v>1759</v>
      </c>
      <c r="D36" s="111">
        <v>8505</v>
      </c>
      <c r="E36" s="111">
        <v>4260</v>
      </c>
      <c r="F36" s="111">
        <v>4536</v>
      </c>
      <c r="G36" s="141">
        <v>1.51</v>
      </c>
      <c r="H36" s="123">
        <f t="shared" si="1"/>
        <v>1.9358974358974358E-2</v>
      </c>
    </row>
    <row r="37" spans="1:8" x14ac:dyDescent="0.2">
      <c r="A37" s="68" t="s">
        <v>37</v>
      </c>
      <c r="B37" s="111">
        <v>90</v>
      </c>
      <c r="C37" s="111">
        <v>1926</v>
      </c>
      <c r="D37" s="111">
        <v>9979</v>
      </c>
      <c r="E37" s="111">
        <v>3630</v>
      </c>
      <c r="F37" s="111">
        <v>6940</v>
      </c>
      <c r="G37" s="141">
        <v>2.0299999999999998</v>
      </c>
      <c r="H37" s="123">
        <f t="shared" si="1"/>
        <v>2.2555555555555554E-2</v>
      </c>
    </row>
    <row r="38" spans="1:8" x14ac:dyDescent="0.2">
      <c r="A38" s="68" t="s">
        <v>35</v>
      </c>
      <c r="B38" s="111">
        <v>104</v>
      </c>
      <c r="C38" s="111">
        <v>2222</v>
      </c>
      <c r="D38" s="111">
        <v>11975</v>
      </c>
      <c r="E38" s="111">
        <v>3510</v>
      </c>
      <c r="F38" s="111">
        <v>9639</v>
      </c>
      <c r="G38" s="141">
        <v>1.89</v>
      </c>
      <c r="H38" s="123">
        <f t="shared" si="1"/>
        <v>1.8173076923076924E-2</v>
      </c>
    </row>
    <row r="39" spans="1:8" x14ac:dyDescent="0.2">
      <c r="A39" s="68" t="s">
        <v>34</v>
      </c>
      <c r="B39" s="111">
        <v>37</v>
      </c>
      <c r="C39" s="111">
        <v>926</v>
      </c>
      <c r="D39" s="111">
        <v>3813</v>
      </c>
      <c r="E39" s="111">
        <v>1991</v>
      </c>
      <c r="F39" s="111">
        <v>2750</v>
      </c>
      <c r="G39" s="141">
        <v>0.28999999999999998</v>
      </c>
      <c r="H39" s="123">
        <f t="shared" si="1"/>
        <v>7.8378378378378376E-3</v>
      </c>
    </row>
    <row r="40" spans="1:8" x14ac:dyDescent="0.2">
      <c r="A40" s="68" t="s">
        <v>44</v>
      </c>
      <c r="B40" s="111">
        <v>50</v>
      </c>
      <c r="C40" s="111">
        <v>715</v>
      </c>
      <c r="D40" s="111">
        <v>6223</v>
      </c>
      <c r="E40" s="111">
        <v>1700</v>
      </c>
      <c r="F40" s="111">
        <v>5289</v>
      </c>
      <c r="G40" s="141">
        <v>0.17</v>
      </c>
      <c r="H40" s="123">
        <f t="shared" si="1"/>
        <v>3.4000000000000002E-3</v>
      </c>
    </row>
    <row r="41" spans="1:8" x14ac:dyDescent="0.2">
      <c r="A41" s="68" t="s">
        <v>32</v>
      </c>
      <c r="B41" s="111">
        <v>82</v>
      </c>
      <c r="C41" s="111">
        <v>1396</v>
      </c>
      <c r="D41" s="111">
        <v>8500</v>
      </c>
      <c r="E41" s="111">
        <v>2847</v>
      </c>
      <c r="F41" s="111">
        <v>6468</v>
      </c>
      <c r="G41" s="141">
        <v>1.1000000000000001</v>
      </c>
      <c r="H41" s="123">
        <f t="shared" si="1"/>
        <v>1.3414634146341465E-2</v>
      </c>
    </row>
    <row r="42" spans="1:8" x14ac:dyDescent="0.2">
      <c r="A42" s="68" t="s">
        <v>30</v>
      </c>
      <c r="B42" s="111">
        <v>19</v>
      </c>
      <c r="C42" s="111">
        <v>92.6</v>
      </c>
      <c r="D42" s="111">
        <v>1649</v>
      </c>
      <c r="E42" s="111">
        <v>370.4</v>
      </c>
      <c r="F42" s="111">
        <v>1378</v>
      </c>
      <c r="G42" s="111"/>
      <c r="H42" s="123">
        <f t="shared" si="1"/>
        <v>0</v>
      </c>
    </row>
    <row r="43" spans="1:8" x14ac:dyDescent="0.2">
      <c r="A43" s="68" t="s">
        <v>26</v>
      </c>
      <c r="B43" s="111">
        <v>74</v>
      </c>
      <c r="C43" s="111">
        <v>1945</v>
      </c>
      <c r="D43" s="111">
        <v>9400</v>
      </c>
      <c r="E43" s="111">
        <v>4074</v>
      </c>
      <c r="F43" s="111">
        <v>5800</v>
      </c>
      <c r="G43" s="141">
        <v>1.97</v>
      </c>
      <c r="H43" s="123">
        <f t="shared" si="1"/>
        <v>2.662162162162162E-2</v>
      </c>
    </row>
    <row r="44" spans="1:8" x14ac:dyDescent="0.2">
      <c r="A44" s="68" t="s">
        <v>25</v>
      </c>
      <c r="B44" s="111">
        <v>78</v>
      </c>
      <c r="C44" s="111">
        <v>1815</v>
      </c>
      <c r="D44" s="111">
        <v>10200</v>
      </c>
      <c r="E44" s="111">
        <v>3852</v>
      </c>
      <c r="F44" s="111">
        <v>6600</v>
      </c>
      <c r="G44" s="141">
        <v>1.83</v>
      </c>
      <c r="H44" s="123">
        <f t="shared" si="1"/>
        <v>2.3461538461538461E-2</v>
      </c>
    </row>
    <row r="45" spans="1:8" x14ac:dyDescent="0.2">
      <c r="A45" s="68" t="s">
        <v>23</v>
      </c>
      <c r="B45" s="111">
        <v>100</v>
      </c>
      <c r="C45" s="111">
        <v>1801</v>
      </c>
      <c r="D45" s="111">
        <v>12900</v>
      </c>
      <c r="E45" s="111">
        <v>4352</v>
      </c>
      <c r="F45" s="111">
        <v>6800</v>
      </c>
      <c r="G45" s="141">
        <v>2.21</v>
      </c>
      <c r="H45" s="123">
        <f t="shared" si="1"/>
        <v>2.2099999999999998E-2</v>
      </c>
    </row>
    <row r="46" spans="1:8" x14ac:dyDescent="0.2">
      <c r="A46" s="68" t="s">
        <v>19</v>
      </c>
      <c r="B46" s="111">
        <v>124</v>
      </c>
      <c r="C46" s="111">
        <v>1482</v>
      </c>
      <c r="D46" s="111">
        <v>13800</v>
      </c>
      <c r="E46" s="111">
        <v>4352</v>
      </c>
      <c r="F46" s="111">
        <v>7000</v>
      </c>
      <c r="G46" s="141">
        <v>2.04</v>
      </c>
      <c r="H46" s="123">
        <f t="shared" si="1"/>
        <v>1.6451612903225808E-2</v>
      </c>
    </row>
    <row r="47" spans="1:8" x14ac:dyDescent="0.2">
      <c r="A47" s="68" t="s">
        <v>17</v>
      </c>
      <c r="B47" s="111">
        <v>104</v>
      </c>
      <c r="C47" s="111">
        <v>3519</v>
      </c>
      <c r="D47" s="111">
        <v>16100</v>
      </c>
      <c r="E47" s="111">
        <v>5649</v>
      </c>
      <c r="F47" s="111">
        <v>12000</v>
      </c>
      <c r="G47" s="141">
        <v>2.1</v>
      </c>
      <c r="H47" s="123">
        <f t="shared" si="1"/>
        <v>2.0192307692307693E-2</v>
      </c>
    </row>
    <row r="48" spans="1:8" x14ac:dyDescent="0.2">
      <c r="A48" s="68" t="s">
        <v>15</v>
      </c>
      <c r="B48" s="111">
        <v>30</v>
      </c>
      <c r="C48" s="111">
        <v>537</v>
      </c>
      <c r="D48" s="111">
        <v>3281</v>
      </c>
      <c r="E48" s="111">
        <v>2926</v>
      </c>
      <c r="F48" s="111">
        <v>1700</v>
      </c>
      <c r="G48" s="141">
        <v>0.43</v>
      </c>
      <c r="H48" s="123">
        <f t="shared" si="1"/>
        <v>1.4333333333333333E-2</v>
      </c>
    </row>
    <row r="49" spans="1:8" x14ac:dyDescent="0.2">
      <c r="A49" s="68" t="s">
        <v>11</v>
      </c>
      <c r="B49" s="111">
        <v>50</v>
      </c>
      <c r="C49" s="111">
        <v>1759</v>
      </c>
      <c r="D49" s="111">
        <v>5250</v>
      </c>
      <c r="E49" s="111">
        <v>2222</v>
      </c>
      <c r="F49" s="111">
        <v>4600</v>
      </c>
      <c r="G49" s="141">
        <v>1.1100000000000001</v>
      </c>
      <c r="H49" s="123">
        <f t="shared" si="1"/>
        <v>2.2200000000000001E-2</v>
      </c>
    </row>
    <row r="50" spans="1:8" x14ac:dyDescent="0.2">
      <c r="A50" s="68" t="s">
        <v>9</v>
      </c>
      <c r="B50" s="111">
        <v>97</v>
      </c>
      <c r="C50" s="111">
        <v>2037</v>
      </c>
      <c r="D50" s="111">
        <v>10700</v>
      </c>
      <c r="E50" s="111">
        <v>3111</v>
      </c>
      <c r="F50" s="111">
        <v>8400</v>
      </c>
      <c r="G50" s="141">
        <v>2.33</v>
      </c>
      <c r="H50" s="123">
        <f t="shared" si="1"/>
        <v>2.4020618556701033E-2</v>
      </c>
    </row>
    <row r="51" spans="1:8" x14ac:dyDescent="0.2">
      <c r="A51" s="68" t="s">
        <v>4</v>
      </c>
      <c r="B51" s="111">
        <v>34</v>
      </c>
      <c r="C51" s="111">
        <v>806</v>
      </c>
      <c r="D51" s="111">
        <v>11454</v>
      </c>
      <c r="E51" s="111">
        <v>2248</v>
      </c>
      <c r="F51" s="111">
        <v>10141</v>
      </c>
      <c r="G51" s="141">
        <v>0.05</v>
      </c>
      <c r="H51" s="123">
        <f t="shared" si="1"/>
        <v>1.4705882352941176E-3</v>
      </c>
    </row>
    <row r="52" spans="1:8" x14ac:dyDescent="0.2">
      <c r="A52" s="68" t="s">
        <v>2</v>
      </c>
      <c r="B52" s="111">
        <v>100</v>
      </c>
      <c r="C52" s="111">
        <v>1445</v>
      </c>
      <c r="D52" s="111">
        <v>12300</v>
      </c>
      <c r="E52" s="111">
        <v>5204</v>
      </c>
      <c r="F52" s="111">
        <v>5640</v>
      </c>
      <c r="G52" s="141">
        <v>1.9</v>
      </c>
      <c r="H52" s="123">
        <f t="shared" si="1"/>
        <v>1.9E-2</v>
      </c>
    </row>
  </sheetData>
  <autoFilter ref="A1:H52" xr:uid="{61EC21FE-3CB9-6B46-BEA4-D974365267C8}"/>
  <mergeCells count="9">
    <mergeCell ref="O3:O4"/>
    <mergeCell ref="H1:H2"/>
    <mergeCell ref="A1:A2"/>
    <mergeCell ref="B1:B2"/>
    <mergeCell ref="G1:G2"/>
    <mergeCell ref="F1:F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88B98-D16A-8943-BCAF-4095D871063E}">
  <dimension ref="A1:E52"/>
  <sheetViews>
    <sheetView workbookViewId="0">
      <selection activeCell="I13" sqref="I13"/>
    </sheetView>
  </sheetViews>
  <sheetFormatPr baseColWidth="10" defaultRowHeight="16" x14ac:dyDescent="0.2"/>
  <cols>
    <col min="1" max="1" width="32.33203125" customWidth="1"/>
    <col min="4" max="4" width="26.33203125" customWidth="1"/>
    <col min="5" max="5" width="29.6640625" customWidth="1"/>
  </cols>
  <sheetData>
    <row r="1" spans="1:5" ht="16" customHeight="1" x14ac:dyDescent="0.2">
      <c r="A1" s="147" t="s">
        <v>154</v>
      </c>
      <c r="B1" s="145" t="s">
        <v>151</v>
      </c>
      <c r="C1" s="145" t="s">
        <v>145</v>
      </c>
      <c r="D1" s="145" t="s">
        <v>324</v>
      </c>
      <c r="E1" s="145" t="s">
        <v>299</v>
      </c>
    </row>
    <row r="2" spans="1:5" ht="17" thickBot="1" x14ac:dyDescent="0.25">
      <c r="A2" s="148"/>
      <c r="B2" s="146"/>
      <c r="C2" s="146"/>
      <c r="D2" s="146"/>
      <c r="E2" s="146"/>
    </row>
    <row r="3" spans="1:5" x14ac:dyDescent="0.2">
      <c r="A3" s="132" t="s">
        <v>128</v>
      </c>
      <c r="B3" s="111">
        <v>150</v>
      </c>
      <c r="C3" s="111">
        <v>3704</v>
      </c>
      <c r="D3" s="111"/>
      <c r="E3" s="123"/>
    </row>
    <row r="4" spans="1:5" x14ac:dyDescent="0.2">
      <c r="A4" s="68" t="s">
        <v>121</v>
      </c>
      <c r="B4" s="111">
        <v>134</v>
      </c>
      <c r="C4" s="111">
        <v>4630</v>
      </c>
      <c r="D4" s="141">
        <v>6699.3</v>
      </c>
      <c r="E4" s="123">
        <f t="shared" ref="E4:E50" si="0">(D4/(C4*0.5))/B4</f>
        <v>2.1596015602333905E-2</v>
      </c>
    </row>
    <row r="5" spans="1:5" x14ac:dyDescent="0.2">
      <c r="A5" s="68" t="s">
        <v>120</v>
      </c>
      <c r="B5" s="111">
        <v>150</v>
      </c>
      <c r="C5" s="111">
        <v>3882</v>
      </c>
      <c r="D5" s="141">
        <v>6329.1</v>
      </c>
      <c r="E5" s="123">
        <f t="shared" si="0"/>
        <v>2.1738279237506441E-2</v>
      </c>
    </row>
    <row r="6" spans="1:5" x14ac:dyDescent="0.2">
      <c r="A6" s="68" t="s">
        <v>119</v>
      </c>
      <c r="B6" s="111">
        <v>165</v>
      </c>
      <c r="C6" s="111">
        <v>4528</v>
      </c>
      <c r="D6" s="111"/>
      <c r="E6" s="123"/>
    </row>
    <row r="7" spans="1:5" x14ac:dyDescent="0.2">
      <c r="A7" s="68" t="s">
        <v>118</v>
      </c>
      <c r="B7" s="111">
        <v>185</v>
      </c>
      <c r="C7" s="111">
        <v>4215</v>
      </c>
      <c r="D7" s="141">
        <v>8487.5</v>
      </c>
      <c r="E7" s="123">
        <f t="shared" si="0"/>
        <v>2.1769100060915009E-2</v>
      </c>
    </row>
    <row r="8" spans="1:5" x14ac:dyDescent="0.2">
      <c r="A8" s="68" t="s">
        <v>117</v>
      </c>
      <c r="B8" s="111">
        <v>206</v>
      </c>
      <c r="C8" s="111">
        <v>5648.6</v>
      </c>
      <c r="D8" s="111"/>
      <c r="E8" s="123"/>
    </row>
    <row r="9" spans="1:5" x14ac:dyDescent="0.2">
      <c r="A9" s="68" t="s">
        <v>116</v>
      </c>
      <c r="B9" s="111">
        <v>246</v>
      </c>
      <c r="C9" s="111">
        <v>8584</v>
      </c>
      <c r="D9" s="141">
        <v>29023.3</v>
      </c>
      <c r="E9" s="123">
        <f t="shared" si="0"/>
        <v>2.7488558785867451E-2</v>
      </c>
    </row>
    <row r="10" spans="1:5" x14ac:dyDescent="0.2">
      <c r="A10" s="68" t="s">
        <v>115</v>
      </c>
      <c r="B10" s="111">
        <v>300</v>
      </c>
      <c r="C10" s="111">
        <v>7723</v>
      </c>
      <c r="D10" s="141">
        <v>25163.4</v>
      </c>
      <c r="E10" s="123">
        <f t="shared" si="0"/>
        <v>2.1721610773015668E-2</v>
      </c>
    </row>
    <row r="11" spans="1:5" x14ac:dyDescent="0.2">
      <c r="A11" s="68" t="s">
        <v>109</v>
      </c>
      <c r="B11" s="111">
        <v>315</v>
      </c>
      <c r="C11" s="111">
        <v>10797</v>
      </c>
      <c r="D11" s="141">
        <v>31964.9</v>
      </c>
      <c r="E11" s="123">
        <f t="shared" si="0"/>
        <v>1.8797049738978052E-2</v>
      </c>
    </row>
    <row r="12" spans="1:5" x14ac:dyDescent="0.2">
      <c r="A12" s="68" t="s">
        <v>106</v>
      </c>
      <c r="B12" s="111">
        <v>575</v>
      </c>
      <c r="C12" s="111">
        <v>12131</v>
      </c>
      <c r="D12" s="141">
        <v>90508.4</v>
      </c>
      <c r="E12" s="123">
        <f t="shared" si="0"/>
        <v>2.5951020203359699E-2</v>
      </c>
    </row>
    <row r="13" spans="1:5" x14ac:dyDescent="0.2">
      <c r="A13" s="68" t="s">
        <v>104</v>
      </c>
      <c r="B13" s="111">
        <v>48</v>
      </c>
      <c r="C13" s="111">
        <v>969</v>
      </c>
      <c r="D13" s="141">
        <v>787.7</v>
      </c>
      <c r="E13" s="123">
        <f t="shared" si="0"/>
        <v>3.3870829033367737E-2</v>
      </c>
    </row>
    <row r="14" spans="1:5" x14ac:dyDescent="0.2">
      <c r="A14" s="68" t="s">
        <v>102</v>
      </c>
      <c r="B14" s="111">
        <v>68</v>
      </c>
      <c r="C14" s="111">
        <v>926</v>
      </c>
      <c r="D14" s="141">
        <v>874.6</v>
      </c>
      <c r="E14" s="123">
        <f t="shared" si="0"/>
        <v>2.7779189429551519E-2</v>
      </c>
    </row>
    <row r="15" spans="1:5" x14ac:dyDescent="0.2">
      <c r="A15" s="68" t="s">
        <v>100</v>
      </c>
      <c r="B15" s="111">
        <v>19</v>
      </c>
      <c r="C15" s="111">
        <v>585</v>
      </c>
      <c r="D15" s="111"/>
      <c r="E15" s="123"/>
    </row>
    <row r="16" spans="1:5" x14ac:dyDescent="0.2">
      <c r="A16" s="68" t="s">
        <v>98</v>
      </c>
      <c r="B16" s="111">
        <v>106</v>
      </c>
      <c r="C16" s="111">
        <v>2185</v>
      </c>
      <c r="D16" s="141">
        <v>3593.4</v>
      </c>
      <c r="E16" s="123">
        <f t="shared" si="0"/>
        <v>3.1029748283752861E-2</v>
      </c>
    </row>
    <row r="17" spans="1:5" x14ac:dyDescent="0.2">
      <c r="A17" s="68" t="s">
        <v>157</v>
      </c>
      <c r="B17" s="111">
        <v>162</v>
      </c>
      <c r="C17" s="111">
        <v>4842</v>
      </c>
      <c r="D17" s="141">
        <v>8032.09</v>
      </c>
      <c r="E17" s="123">
        <f t="shared" si="0"/>
        <v>2.0479472312736804E-2</v>
      </c>
    </row>
    <row r="18" spans="1:5" x14ac:dyDescent="0.2">
      <c r="A18" s="68" t="s">
        <v>95</v>
      </c>
      <c r="B18" s="111">
        <v>180</v>
      </c>
      <c r="C18" s="111">
        <v>4630</v>
      </c>
      <c r="D18" s="141">
        <v>8084.67</v>
      </c>
      <c r="E18" s="123">
        <f t="shared" si="0"/>
        <v>1.94016558675306E-2</v>
      </c>
    </row>
    <row r="19" spans="1:5" x14ac:dyDescent="0.2">
      <c r="A19" s="68" t="s">
        <v>91</v>
      </c>
      <c r="B19" s="111">
        <v>126</v>
      </c>
      <c r="C19" s="111">
        <v>3439</v>
      </c>
      <c r="D19" s="141">
        <v>6045.9</v>
      </c>
      <c r="E19" s="123">
        <f t="shared" si="0"/>
        <v>2.7905398856256664E-2</v>
      </c>
    </row>
    <row r="20" spans="1:5" x14ac:dyDescent="0.2">
      <c r="A20" s="68" t="s">
        <v>87</v>
      </c>
      <c r="B20" s="111">
        <v>147</v>
      </c>
      <c r="C20" s="111">
        <v>3258</v>
      </c>
      <c r="D20" s="141">
        <v>6229.2</v>
      </c>
      <c r="E20" s="123">
        <f t="shared" si="0"/>
        <v>2.6013204545169817E-2</v>
      </c>
    </row>
    <row r="21" spans="1:5" x14ac:dyDescent="0.2">
      <c r="A21" s="68" t="s">
        <v>84</v>
      </c>
      <c r="B21" s="111">
        <v>110</v>
      </c>
      <c r="C21" s="111">
        <v>2910</v>
      </c>
      <c r="D21" s="141">
        <v>4970.3999999999996</v>
      </c>
      <c r="E21" s="123">
        <f t="shared" si="0"/>
        <v>3.1055295220243671E-2</v>
      </c>
    </row>
    <row r="22" spans="1:5" x14ac:dyDescent="0.2">
      <c r="A22" s="68" t="s">
        <v>81</v>
      </c>
      <c r="B22" s="111">
        <v>128</v>
      </c>
      <c r="C22" s="111">
        <v>3945</v>
      </c>
      <c r="D22" s="141">
        <v>6265.9</v>
      </c>
      <c r="E22" s="123">
        <f t="shared" si="0"/>
        <v>2.4817411280101391E-2</v>
      </c>
    </row>
    <row r="23" spans="1:5" x14ac:dyDescent="0.2">
      <c r="A23" s="68" t="s">
        <v>79</v>
      </c>
      <c r="B23" s="111">
        <v>160</v>
      </c>
      <c r="C23" s="111">
        <v>3750</v>
      </c>
      <c r="D23" s="141">
        <v>6489.6</v>
      </c>
      <c r="E23" s="123">
        <f t="shared" si="0"/>
        <v>2.1632000000000002E-2</v>
      </c>
    </row>
    <row r="24" spans="1:5" x14ac:dyDescent="0.2">
      <c r="A24" s="68" t="s">
        <v>77</v>
      </c>
      <c r="B24" s="111">
        <v>177</v>
      </c>
      <c r="C24" s="111">
        <v>3704</v>
      </c>
      <c r="D24" s="141">
        <v>6710.2</v>
      </c>
      <c r="E24" s="123">
        <f t="shared" si="0"/>
        <v>2.0470158997449694E-2</v>
      </c>
    </row>
    <row r="25" spans="1:5" x14ac:dyDescent="0.2">
      <c r="A25" s="68" t="s">
        <v>74</v>
      </c>
      <c r="B25" s="111">
        <v>416</v>
      </c>
      <c r="C25" s="111">
        <v>10570</v>
      </c>
      <c r="D25" s="141">
        <v>58833.1</v>
      </c>
      <c r="E25" s="123">
        <f t="shared" si="0"/>
        <v>2.675983370933702E-2</v>
      </c>
    </row>
    <row r="26" spans="1:5" x14ac:dyDescent="0.2">
      <c r="A26" s="68" t="s">
        <v>68</v>
      </c>
      <c r="B26" s="111">
        <v>200</v>
      </c>
      <c r="C26" s="111">
        <v>4321</v>
      </c>
      <c r="D26" s="141">
        <v>10489.9</v>
      </c>
      <c r="E26" s="123">
        <f t="shared" si="0"/>
        <v>2.4276556352696134E-2</v>
      </c>
    </row>
    <row r="27" spans="1:5" x14ac:dyDescent="0.2">
      <c r="A27" s="68" t="s">
        <v>0</v>
      </c>
      <c r="B27" s="111">
        <v>261</v>
      </c>
      <c r="C27" s="111">
        <v>4260</v>
      </c>
      <c r="D27" s="141">
        <v>13480.77</v>
      </c>
      <c r="E27" s="123">
        <f t="shared" si="0"/>
        <v>2.4249042145593872E-2</v>
      </c>
    </row>
    <row r="28" spans="1:5" x14ac:dyDescent="0.2">
      <c r="A28" s="68" t="s">
        <v>61</v>
      </c>
      <c r="B28" s="111">
        <v>305</v>
      </c>
      <c r="C28" s="111">
        <v>6112</v>
      </c>
      <c r="D28" s="141">
        <v>23214.5</v>
      </c>
      <c r="E28" s="123">
        <f t="shared" si="0"/>
        <v>2.490612393785941E-2</v>
      </c>
    </row>
    <row r="29" spans="1:5" x14ac:dyDescent="0.2">
      <c r="A29" s="68" t="s">
        <v>60</v>
      </c>
      <c r="B29" s="111">
        <v>305</v>
      </c>
      <c r="C29" s="111">
        <v>5848</v>
      </c>
      <c r="D29" s="141">
        <v>22323.5</v>
      </c>
      <c r="E29" s="123">
        <f t="shared" si="0"/>
        <v>2.5031396470139716E-2</v>
      </c>
    </row>
    <row r="30" spans="1:5" x14ac:dyDescent="0.2">
      <c r="A30" s="68" t="s">
        <v>56</v>
      </c>
      <c r="B30" s="111">
        <v>365</v>
      </c>
      <c r="C30" s="111">
        <v>10533</v>
      </c>
      <c r="D30" s="141">
        <v>50679</v>
      </c>
      <c r="E30" s="123">
        <f t="shared" si="0"/>
        <v>2.6364108106420914E-2</v>
      </c>
    </row>
    <row r="31" spans="1:5" x14ac:dyDescent="0.2">
      <c r="A31" s="68" t="s">
        <v>54</v>
      </c>
      <c r="B31" s="111">
        <v>242</v>
      </c>
      <c r="C31" s="111">
        <v>10186</v>
      </c>
      <c r="D31" s="141">
        <v>28234.6</v>
      </c>
      <c r="E31" s="123">
        <f t="shared" si="0"/>
        <v>2.2908286044854953E-2</v>
      </c>
    </row>
    <row r="32" spans="1:5" x14ac:dyDescent="0.2">
      <c r="A32" s="68" t="s">
        <v>53</v>
      </c>
      <c r="B32" s="111">
        <v>290</v>
      </c>
      <c r="C32" s="111">
        <v>9714</v>
      </c>
      <c r="D32" s="141">
        <v>28953</v>
      </c>
      <c r="E32" s="123">
        <f t="shared" si="0"/>
        <v>2.0555472726885477E-2</v>
      </c>
    </row>
    <row r="33" spans="1:5" x14ac:dyDescent="0.2">
      <c r="A33" s="68" t="s">
        <v>48</v>
      </c>
      <c r="B33" s="111">
        <v>143</v>
      </c>
      <c r="C33" s="111">
        <v>2621</v>
      </c>
      <c r="D33" s="141">
        <v>5748.39</v>
      </c>
      <c r="E33" s="123">
        <f t="shared" si="0"/>
        <v>3.0674194176674149E-2</v>
      </c>
    </row>
    <row r="34" spans="1:5" x14ac:dyDescent="0.2">
      <c r="A34" s="68" t="s">
        <v>159</v>
      </c>
      <c r="B34" s="111">
        <v>50</v>
      </c>
      <c r="C34" s="111">
        <v>1019</v>
      </c>
      <c r="D34" s="111"/>
      <c r="E34" s="123"/>
    </row>
    <row r="35" spans="1:5" x14ac:dyDescent="0.2">
      <c r="A35" s="68" t="s">
        <v>158</v>
      </c>
      <c r="B35" s="111">
        <v>50</v>
      </c>
      <c r="C35" s="111">
        <v>1061</v>
      </c>
      <c r="D35" s="111"/>
      <c r="E35" s="123"/>
    </row>
    <row r="36" spans="1:5" x14ac:dyDescent="0.2">
      <c r="A36" s="68" t="s">
        <v>39</v>
      </c>
      <c r="B36" s="111">
        <v>78</v>
      </c>
      <c r="C36" s="111">
        <v>1759</v>
      </c>
      <c r="D36" s="111"/>
      <c r="E36" s="123"/>
    </row>
    <row r="37" spans="1:5" x14ac:dyDescent="0.2">
      <c r="A37" s="68" t="s">
        <v>37</v>
      </c>
      <c r="B37" s="111">
        <v>90</v>
      </c>
      <c r="C37" s="111">
        <v>1926</v>
      </c>
      <c r="D37" s="141">
        <v>2477.9</v>
      </c>
      <c r="E37" s="123">
        <f t="shared" si="0"/>
        <v>2.859005422868351E-2</v>
      </c>
    </row>
    <row r="38" spans="1:5" x14ac:dyDescent="0.2">
      <c r="A38" s="68" t="s">
        <v>35</v>
      </c>
      <c r="B38" s="111">
        <v>104</v>
      </c>
      <c r="C38" s="111">
        <v>2222</v>
      </c>
      <c r="D38" s="111"/>
      <c r="E38" s="123"/>
    </row>
    <row r="39" spans="1:5" x14ac:dyDescent="0.2">
      <c r="A39" s="68" t="s">
        <v>34</v>
      </c>
      <c r="B39" s="111">
        <v>37</v>
      </c>
      <c r="C39" s="111">
        <v>926</v>
      </c>
      <c r="D39" s="111"/>
      <c r="E39" s="123"/>
    </row>
    <row r="40" spans="1:5" x14ac:dyDescent="0.2">
      <c r="A40" s="68" t="s">
        <v>44</v>
      </c>
      <c r="B40" s="111">
        <v>50</v>
      </c>
      <c r="C40" s="111">
        <v>715</v>
      </c>
      <c r="D40" s="111"/>
      <c r="E40" s="123"/>
    </row>
    <row r="41" spans="1:5" x14ac:dyDescent="0.2">
      <c r="A41" s="68" t="s">
        <v>32</v>
      </c>
      <c r="B41" s="111">
        <v>82</v>
      </c>
      <c r="C41" s="111">
        <v>1396</v>
      </c>
      <c r="D41" s="111"/>
      <c r="E41" s="123"/>
    </row>
    <row r="42" spans="1:5" x14ac:dyDescent="0.2">
      <c r="A42" s="68" t="s">
        <v>30</v>
      </c>
      <c r="B42" s="111">
        <v>19</v>
      </c>
      <c r="C42" s="111">
        <v>92.6</v>
      </c>
      <c r="D42" s="111"/>
      <c r="E42" s="123"/>
    </row>
    <row r="43" spans="1:5" x14ac:dyDescent="0.2">
      <c r="A43" s="68" t="s">
        <v>26</v>
      </c>
      <c r="B43" s="111">
        <v>74</v>
      </c>
      <c r="C43" s="111">
        <v>1945</v>
      </c>
      <c r="D43" s="141">
        <v>2349</v>
      </c>
      <c r="E43" s="123">
        <f t="shared" si="0"/>
        <v>3.2640867088167859E-2</v>
      </c>
    </row>
    <row r="44" spans="1:5" x14ac:dyDescent="0.2">
      <c r="A44" s="68" t="s">
        <v>25</v>
      </c>
      <c r="B44" s="111">
        <v>78</v>
      </c>
      <c r="C44" s="111">
        <v>1815</v>
      </c>
      <c r="D44" s="141">
        <v>2241.1</v>
      </c>
      <c r="E44" s="123">
        <f t="shared" si="0"/>
        <v>3.166066256975348E-2</v>
      </c>
    </row>
    <row r="45" spans="1:5" x14ac:dyDescent="0.2">
      <c r="A45" s="68" t="s">
        <v>23</v>
      </c>
      <c r="B45" s="111">
        <v>100</v>
      </c>
      <c r="C45" s="111">
        <v>1801</v>
      </c>
      <c r="D45" s="141">
        <v>2904.3</v>
      </c>
      <c r="E45" s="123">
        <f t="shared" si="0"/>
        <v>3.2252082176568581E-2</v>
      </c>
    </row>
    <row r="46" spans="1:5" x14ac:dyDescent="0.2">
      <c r="A46" s="68" t="s">
        <v>19</v>
      </c>
      <c r="B46" s="111">
        <v>124</v>
      </c>
      <c r="C46" s="111">
        <v>1482</v>
      </c>
      <c r="D46" s="141">
        <v>2563.6</v>
      </c>
      <c r="E46" s="123">
        <f t="shared" si="0"/>
        <v>2.7900396151669497E-2</v>
      </c>
    </row>
    <row r="47" spans="1:5" x14ac:dyDescent="0.2">
      <c r="A47" s="68" t="s">
        <v>17</v>
      </c>
      <c r="B47" s="111">
        <v>104</v>
      </c>
      <c r="C47" s="111">
        <v>3519</v>
      </c>
      <c r="D47" s="141">
        <v>4689.43</v>
      </c>
      <c r="E47" s="123">
        <f t="shared" si="0"/>
        <v>2.5626981004218858E-2</v>
      </c>
    </row>
    <row r="48" spans="1:5" x14ac:dyDescent="0.2">
      <c r="A48" s="68" t="s">
        <v>15</v>
      </c>
      <c r="B48" s="111">
        <v>30</v>
      </c>
      <c r="C48" s="111">
        <v>537</v>
      </c>
      <c r="D48" s="141">
        <v>469.01</v>
      </c>
      <c r="E48" s="123">
        <f t="shared" si="0"/>
        <v>5.822594661700807E-2</v>
      </c>
    </row>
    <row r="49" spans="1:5" x14ac:dyDescent="0.2">
      <c r="A49" s="68" t="s">
        <v>11</v>
      </c>
      <c r="B49" s="111">
        <v>50</v>
      </c>
      <c r="C49" s="111">
        <v>1759</v>
      </c>
      <c r="D49" s="141">
        <v>1609.7</v>
      </c>
      <c r="E49" s="123">
        <f t="shared" si="0"/>
        <v>3.6604889141557705E-2</v>
      </c>
    </row>
    <row r="50" spans="1:5" x14ac:dyDescent="0.2">
      <c r="A50" s="68" t="s">
        <v>9</v>
      </c>
      <c r="B50" s="111">
        <v>97</v>
      </c>
      <c r="C50" s="111">
        <v>2037</v>
      </c>
      <c r="D50" s="141">
        <v>3351.65</v>
      </c>
      <c r="E50" s="123">
        <f t="shared" si="0"/>
        <v>3.3925471559651602E-2</v>
      </c>
    </row>
    <row r="51" spans="1:5" x14ac:dyDescent="0.2">
      <c r="A51" s="68" t="s">
        <v>4</v>
      </c>
      <c r="B51" s="111">
        <v>34</v>
      </c>
      <c r="C51" s="111">
        <v>806</v>
      </c>
      <c r="D51" s="111"/>
      <c r="E51" s="123"/>
    </row>
    <row r="52" spans="1:5" x14ac:dyDescent="0.2">
      <c r="A52" s="68" t="s">
        <v>2</v>
      </c>
      <c r="B52" s="111">
        <v>100</v>
      </c>
      <c r="C52" s="111">
        <v>1445</v>
      </c>
      <c r="D52" s="111"/>
      <c r="E52" s="123"/>
    </row>
  </sheetData>
  <autoFilter ref="A1:E52" xr:uid="{58B88B98-D16A-8943-BCAF-4095D871063E}"/>
  <mergeCells count="5"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6232-807D-9440-BE26-E14714E1ADF2}">
  <dimension ref="A1:I52"/>
  <sheetViews>
    <sheetView workbookViewId="0">
      <selection activeCell="G5" sqref="G5"/>
    </sheetView>
  </sheetViews>
  <sheetFormatPr baseColWidth="10" defaultRowHeight="16" x14ac:dyDescent="0.2"/>
  <cols>
    <col min="1" max="1" width="20.5" customWidth="1"/>
    <col min="2" max="2" width="18.1640625" customWidth="1"/>
    <col min="3" max="3" width="14.5" customWidth="1"/>
    <col min="4" max="4" width="12.6640625" customWidth="1"/>
    <col min="6" max="6" width="23.6640625" customWidth="1"/>
    <col min="7" max="7" width="19.1640625" customWidth="1"/>
    <col min="8" max="8" width="26.33203125" customWidth="1"/>
  </cols>
  <sheetData>
    <row r="1" spans="1:8" ht="16" customHeight="1" x14ac:dyDescent="0.2">
      <c r="A1" s="145" t="s">
        <v>154</v>
      </c>
      <c r="B1" s="145" t="s">
        <v>151</v>
      </c>
      <c r="C1" s="145" t="s">
        <v>185</v>
      </c>
      <c r="D1" s="145" t="s">
        <v>183</v>
      </c>
      <c r="E1" s="145" t="s">
        <v>184</v>
      </c>
      <c r="F1" s="145" t="s">
        <v>227</v>
      </c>
      <c r="G1" s="145" t="s">
        <v>225</v>
      </c>
      <c r="H1" s="145" t="s">
        <v>301</v>
      </c>
    </row>
    <row r="2" spans="1:8" ht="17" thickBot="1" x14ac:dyDescent="0.25">
      <c r="A2" s="150"/>
      <c r="B2" s="146"/>
      <c r="C2" s="146"/>
      <c r="D2" s="146"/>
      <c r="E2" s="146"/>
      <c r="F2" s="146"/>
      <c r="G2" s="146"/>
      <c r="H2" s="146"/>
    </row>
    <row r="3" spans="1:8" x14ac:dyDescent="0.2">
      <c r="A3" s="68" t="s">
        <v>128</v>
      </c>
      <c r="B3" s="111">
        <v>150</v>
      </c>
      <c r="C3" s="111">
        <v>295.07</v>
      </c>
      <c r="D3" s="111">
        <v>0.78</v>
      </c>
      <c r="E3" s="111">
        <v>230.15460000000002</v>
      </c>
      <c r="F3" s="111"/>
      <c r="G3" s="123"/>
      <c r="H3" s="123"/>
    </row>
    <row r="4" spans="1:8" x14ac:dyDescent="0.2">
      <c r="A4" s="68" t="s">
        <v>121</v>
      </c>
      <c r="B4" s="111">
        <v>134</v>
      </c>
      <c r="C4" s="111">
        <v>295.07</v>
      </c>
      <c r="D4" s="111">
        <v>0.78</v>
      </c>
      <c r="E4" s="111">
        <v>230.15460000000002</v>
      </c>
      <c r="F4" s="111"/>
      <c r="G4" s="123"/>
      <c r="H4" s="123"/>
    </row>
    <row r="5" spans="1:8" x14ac:dyDescent="0.2">
      <c r="A5" s="68" t="s">
        <v>120</v>
      </c>
      <c r="B5" s="111">
        <v>150</v>
      </c>
      <c r="C5" s="111">
        <v>295.07</v>
      </c>
      <c r="D5" s="111">
        <v>0.78</v>
      </c>
      <c r="E5" s="111">
        <v>230.15460000000002</v>
      </c>
      <c r="F5" s="141">
        <v>40</v>
      </c>
      <c r="G5" s="123">
        <f t="shared" ref="G5:G50" si="0">F5*(1/E5)*(50/3)</f>
        <v>2.8966037031919707</v>
      </c>
      <c r="H5" s="123">
        <f t="shared" ref="H5:H50" si="1">G5/B5</f>
        <v>1.9310691354613139E-2</v>
      </c>
    </row>
    <row r="6" spans="1:8" x14ac:dyDescent="0.2">
      <c r="A6" s="68" t="s">
        <v>119</v>
      </c>
      <c r="B6" s="111">
        <v>165</v>
      </c>
      <c r="C6" s="111">
        <v>295.07</v>
      </c>
      <c r="D6" s="111">
        <v>0.78</v>
      </c>
      <c r="E6" s="111">
        <v>230.15460000000002</v>
      </c>
      <c r="F6" s="111"/>
      <c r="G6" s="123"/>
      <c r="H6" s="123"/>
    </row>
    <row r="7" spans="1:8" x14ac:dyDescent="0.2">
      <c r="A7" s="68" t="s">
        <v>118</v>
      </c>
      <c r="B7" s="111">
        <v>185</v>
      </c>
      <c r="C7" s="111">
        <v>295.07</v>
      </c>
      <c r="D7" s="111">
        <v>0.78</v>
      </c>
      <c r="E7" s="111">
        <v>230.15460000000002</v>
      </c>
      <c r="F7" s="111"/>
      <c r="G7" s="123"/>
      <c r="H7" s="123"/>
    </row>
    <row r="8" spans="1:8" x14ac:dyDescent="0.2">
      <c r="A8" s="68" t="s">
        <v>117</v>
      </c>
      <c r="B8" s="111">
        <v>206</v>
      </c>
      <c r="C8" s="111">
        <v>295.07</v>
      </c>
      <c r="D8" s="111">
        <v>0.78</v>
      </c>
      <c r="E8" s="111">
        <v>230.15460000000002</v>
      </c>
      <c r="F8" s="111"/>
      <c r="G8" s="123"/>
      <c r="H8" s="123"/>
    </row>
    <row r="9" spans="1:8" x14ac:dyDescent="0.2">
      <c r="A9" s="68" t="s">
        <v>116</v>
      </c>
      <c r="B9" s="111">
        <v>246</v>
      </c>
      <c r="C9" s="111">
        <v>295.07</v>
      </c>
      <c r="D9" s="111">
        <v>0.82</v>
      </c>
      <c r="E9" s="111">
        <v>241.95739999999998</v>
      </c>
      <c r="F9" s="141">
        <v>89.3</v>
      </c>
      <c r="G9" s="123">
        <f t="shared" si="0"/>
        <v>6.1512205592113878</v>
      </c>
      <c r="H9" s="123">
        <f t="shared" si="1"/>
        <v>2.5004961622810521E-2</v>
      </c>
    </row>
    <row r="10" spans="1:8" x14ac:dyDescent="0.2">
      <c r="A10" s="68" t="s">
        <v>115</v>
      </c>
      <c r="B10" s="111">
        <v>300</v>
      </c>
      <c r="C10" s="111">
        <v>295.07</v>
      </c>
      <c r="D10" s="111">
        <v>0.82</v>
      </c>
      <c r="E10" s="111">
        <v>241.95739999999998</v>
      </c>
      <c r="F10" s="141">
        <v>89.3</v>
      </c>
      <c r="G10" s="123">
        <f t="shared" si="0"/>
        <v>6.1512205592113878</v>
      </c>
      <c r="H10" s="123">
        <f t="shared" si="1"/>
        <v>2.0504068530704626E-2</v>
      </c>
    </row>
    <row r="11" spans="1:8" x14ac:dyDescent="0.2">
      <c r="A11" s="68" t="s">
        <v>109</v>
      </c>
      <c r="B11" s="111">
        <v>315</v>
      </c>
      <c r="C11" s="111">
        <v>295.07</v>
      </c>
      <c r="D11" s="111">
        <v>0.85</v>
      </c>
      <c r="E11" s="111">
        <v>250.80949999999999</v>
      </c>
      <c r="F11" s="111"/>
      <c r="G11" s="123"/>
      <c r="H11" s="123"/>
    </row>
    <row r="12" spans="1:8" x14ac:dyDescent="0.2">
      <c r="A12" s="68" t="s">
        <v>106</v>
      </c>
      <c r="B12" s="111">
        <v>575</v>
      </c>
      <c r="C12" s="111">
        <v>295.07</v>
      </c>
      <c r="D12" s="111">
        <v>0.85</v>
      </c>
      <c r="E12" s="111">
        <v>250.80949999999999</v>
      </c>
      <c r="F12" s="111"/>
      <c r="G12" s="123"/>
      <c r="H12" s="123"/>
    </row>
    <row r="13" spans="1:8" x14ac:dyDescent="0.2">
      <c r="A13" s="68" t="s">
        <v>104</v>
      </c>
      <c r="B13" s="111">
        <v>48</v>
      </c>
      <c r="C13" s="111">
        <v>295.07</v>
      </c>
      <c r="D13" s="135" t="s">
        <v>226</v>
      </c>
      <c r="E13" s="111">
        <v>133.33333333333334</v>
      </c>
      <c r="F13" s="141">
        <v>6.1</v>
      </c>
      <c r="G13" s="123">
        <f t="shared" si="0"/>
        <v>0.76250000000000007</v>
      </c>
      <c r="H13" s="123">
        <f t="shared" si="1"/>
        <v>1.5885416666666669E-2</v>
      </c>
    </row>
    <row r="14" spans="1:8" x14ac:dyDescent="0.2">
      <c r="A14" s="68" t="s">
        <v>102</v>
      </c>
      <c r="B14" s="111">
        <v>68</v>
      </c>
      <c r="C14" s="111">
        <v>295.07</v>
      </c>
      <c r="D14" s="135" t="s">
        <v>226</v>
      </c>
      <c r="E14" s="111">
        <v>138.88888888888889</v>
      </c>
      <c r="F14" s="141">
        <v>6.1</v>
      </c>
      <c r="G14" s="123">
        <f t="shared" si="0"/>
        <v>0.73199999999999998</v>
      </c>
      <c r="H14" s="123">
        <f t="shared" si="1"/>
        <v>1.076470588235294E-2</v>
      </c>
    </row>
    <row r="15" spans="1:8" x14ac:dyDescent="0.2">
      <c r="A15" s="68" t="s">
        <v>100</v>
      </c>
      <c r="B15" s="111">
        <v>19</v>
      </c>
      <c r="C15" s="111">
        <v>295.07</v>
      </c>
      <c r="D15" s="135" t="s">
        <v>226</v>
      </c>
      <c r="E15" s="111">
        <v>118.61111111111111</v>
      </c>
      <c r="F15" s="111"/>
      <c r="G15" s="123"/>
      <c r="H15" s="123"/>
    </row>
    <row r="16" spans="1:8" x14ac:dyDescent="0.2">
      <c r="A16" s="68" t="s">
        <v>98</v>
      </c>
      <c r="B16" s="111">
        <v>106</v>
      </c>
      <c r="C16" s="111">
        <v>295.07</v>
      </c>
      <c r="D16" s="111">
        <v>0.77</v>
      </c>
      <c r="E16" s="111">
        <v>227.2039</v>
      </c>
      <c r="F16" s="111"/>
      <c r="G16" s="123"/>
      <c r="H16" s="123"/>
    </row>
    <row r="17" spans="1:8" x14ac:dyDescent="0.2">
      <c r="A17" s="68" t="s">
        <v>157</v>
      </c>
      <c r="B17" s="111">
        <v>162</v>
      </c>
      <c r="C17" s="111">
        <v>295.07</v>
      </c>
      <c r="D17" s="111">
        <v>0.79</v>
      </c>
      <c r="E17" s="111">
        <v>233.1053</v>
      </c>
      <c r="F17" s="111"/>
      <c r="G17" s="123"/>
      <c r="H17" s="123"/>
    </row>
    <row r="18" spans="1:8" x14ac:dyDescent="0.2">
      <c r="A18" s="68" t="s">
        <v>95</v>
      </c>
      <c r="B18" s="111">
        <v>180</v>
      </c>
      <c r="C18" s="111">
        <v>295.07</v>
      </c>
      <c r="D18" s="111">
        <v>0.79</v>
      </c>
      <c r="E18" s="111">
        <v>233.1053</v>
      </c>
      <c r="F18" s="111"/>
      <c r="G18" s="123"/>
      <c r="H18" s="123"/>
    </row>
    <row r="19" spans="1:8" x14ac:dyDescent="0.2">
      <c r="A19" s="68" t="s">
        <v>91</v>
      </c>
      <c r="B19" s="111">
        <v>126</v>
      </c>
      <c r="C19" s="111">
        <v>295.07</v>
      </c>
      <c r="D19" s="111">
        <v>0.745</v>
      </c>
      <c r="E19" s="111">
        <v>219.82714999999999</v>
      </c>
      <c r="F19" s="141">
        <v>39.1</v>
      </c>
      <c r="G19" s="123">
        <f t="shared" si="0"/>
        <v>2.9644503268439171</v>
      </c>
      <c r="H19" s="123">
        <f t="shared" si="1"/>
        <v>2.3527383546380294E-2</v>
      </c>
    </row>
    <row r="20" spans="1:8" x14ac:dyDescent="0.2">
      <c r="A20" s="68" t="s">
        <v>87</v>
      </c>
      <c r="B20" s="111">
        <v>147</v>
      </c>
      <c r="C20" s="111">
        <v>295.07</v>
      </c>
      <c r="D20" s="111">
        <v>0.745</v>
      </c>
      <c r="E20" s="111">
        <v>219.82714999999999</v>
      </c>
      <c r="F20" s="141">
        <v>39.1</v>
      </c>
      <c r="G20" s="123">
        <f t="shared" si="0"/>
        <v>2.9644503268439171</v>
      </c>
      <c r="H20" s="123">
        <f t="shared" si="1"/>
        <v>2.0166328754040251E-2</v>
      </c>
    </row>
    <row r="21" spans="1:8" x14ac:dyDescent="0.2">
      <c r="A21" s="68" t="s">
        <v>84</v>
      </c>
      <c r="B21" s="111">
        <v>110</v>
      </c>
      <c r="C21" s="111">
        <v>295.07</v>
      </c>
      <c r="D21" s="111">
        <v>0.745</v>
      </c>
      <c r="E21" s="111">
        <v>219.82714999999999</v>
      </c>
      <c r="F21" s="141">
        <v>39.1</v>
      </c>
      <c r="G21" s="123">
        <f t="shared" si="0"/>
        <v>2.9644503268439171</v>
      </c>
      <c r="H21" s="123">
        <f t="shared" si="1"/>
        <v>2.694954842585379E-2</v>
      </c>
    </row>
    <row r="22" spans="1:8" x14ac:dyDescent="0.2">
      <c r="A22" s="68" t="s">
        <v>81</v>
      </c>
      <c r="B22" s="111">
        <v>128</v>
      </c>
      <c r="C22" s="111">
        <v>295.07</v>
      </c>
      <c r="D22" s="111">
        <v>0.78500000000000003</v>
      </c>
      <c r="E22" s="111">
        <v>231.62995000000001</v>
      </c>
      <c r="F22" s="141">
        <v>54</v>
      </c>
      <c r="G22" s="123">
        <f t="shared" si="0"/>
        <v>3.8855078974027322</v>
      </c>
      <c r="H22" s="123">
        <f t="shared" si="1"/>
        <v>3.0355530448458845E-2</v>
      </c>
    </row>
    <row r="23" spans="1:8" x14ac:dyDescent="0.2">
      <c r="A23" s="68" t="s">
        <v>79</v>
      </c>
      <c r="B23" s="111">
        <v>160</v>
      </c>
      <c r="C23" s="111">
        <v>295.07</v>
      </c>
      <c r="D23" s="111">
        <v>0.78500000000000003</v>
      </c>
      <c r="E23" s="111">
        <v>231.62995000000001</v>
      </c>
      <c r="F23" s="141">
        <v>54</v>
      </c>
      <c r="G23" s="123">
        <f t="shared" si="0"/>
        <v>3.8855078974027322</v>
      </c>
      <c r="H23" s="123">
        <f t="shared" si="1"/>
        <v>2.4284424358767077E-2</v>
      </c>
    </row>
    <row r="24" spans="1:8" x14ac:dyDescent="0.2">
      <c r="A24" s="68" t="s">
        <v>77</v>
      </c>
      <c r="B24" s="111">
        <v>177</v>
      </c>
      <c r="C24" s="111">
        <v>295.07</v>
      </c>
      <c r="D24" s="111">
        <v>0.78500000000000003</v>
      </c>
      <c r="E24" s="111">
        <v>231.62995000000001</v>
      </c>
      <c r="F24" s="111"/>
      <c r="G24" s="123"/>
      <c r="H24" s="123"/>
    </row>
    <row r="25" spans="1:8" x14ac:dyDescent="0.2">
      <c r="A25" s="68" t="s">
        <v>74</v>
      </c>
      <c r="B25" s="111">
        <v>416</v>
      </c>
      <c r="C25" s="111">
        <v>295.07</v>
      </c>
      <c r="D25" s="111">
        <v>0.85</v>
      </c>
      <c r="E25" s="111">
        <v>250.80949999999999</v>
      </c>
      <c r="F25" s="141">
        <v>195.9</v>
      </c>
      <c r="G25" s="123">
        <f t="shared" si="0"/>
        <v>13.017848207504104</v>
      </c>
      <c r="H25" s="123">
        <f t="shared" si="1"/>
        <v>3.1292904344961785E-2</v>
      </c>
    </row>
    <row r="26" spans="1:8" x14ac:dyDescent="0.2">
      <c r="A26" s="68" t="s">
        <v>68</v>
      </c>
      <c r="B26" s="111">
        <v>200</v>
      </c>
      <c r="C26" s="111">
        <v>295.07</v>
      </c>
      <c r="D26" s="111">
        <v>0.8</v>
      </c>
      <c r="E26" s="111">
        <v>236.05600000000001</v>
      </c>
      <c r="F26" s="141">
        <v>58.6</v>
      </c>
      <c r="G26" s="123">
        <f t="shared" si="0"/>
        <v>4.1374363145468305</v>
      </c>
      <c r="H26" s="123">
        <f t="shared" si="1"/>
        <v>2.0687181572734151E-2</v>
      </c>
    </row>
    <row r="27" spans="1:8" x14ac:dyDescent="0.2">
      <c r="A27" s="68" t="s">
        <v>0</v>
      </c>
      <c r="B27" s="111">
        <v>261</v>
      </c>
      <c r="C27" s="111">
        <v>295.07</v>
      </c>
      <c r="D27" s="111">
        <v>0.8</v>
      </c>
      <c r="E27" s="111">
        <v>236.05600000000001</v>
      </c>
      <c r="F27" s="141">
        <v>80.5</v>
      </c>
      <c r="G27" s="123">
        <f t="shared" si="0"/>
        <v>5.683679578856994</v>
      </c>
      <c r="H27" s="123">
        <f t="shared" si="1"/>
        <v>2.1776550110563196E-2</v>
      </c>
    </row>
    <row r="28" spans="1:8" x14ac:dyDescent="0.2">
      <c r="A28" s="68" t="s">
        <v>61</v>
      </c>
      <c r="B28" s="111">
        <v>305</v>
      </c>
      <c r="C28" s="111">
        <v>295.07</v>
      </c>
      <c r="D28" s="111">
        <v>0.84</v>
      </c>
      <c r="E28" s="111">
        <v>247.85879999999997</v>
      </c>
      <c r="F28" s="111"/>
      <c r="G28" s="123"/>
      <c r="H28" s="123"/>
    </row>
    <row r="29" spans="1:8" x14ac:dyDescent="0.2">
      <c r="A29" s="68" t="s">
        <v>60</v>
      </c>
      <c r="B29" s="111">
        <v>305</v>
      </c>
      <c r="C29" s="111">
        <v>295.07</v>
      </c>
      <c r="D29" s="111">
        <v>0.84</v>
      </c>
      <c r="E29" s="111">
        <v>247.85879999999997</v>
      </c>
      <c r="F29" s="111"/>
      <c r="G29" s="123"/>
      <c r="H29" s="123"/>
    </row>
    <row r="30" spans="1:8" x14ac:dyDescent="0.2">
      <c r="A30" s="68" t="s">
        <v>56</v>
      </c>
      <c r="B30" s="111">
        <v>365</v>
      </c>
      <c r="C30" s="111">
        <v>295.07</v>
      </c>
      <c r="D30" s="111">
        <v>0.84</v>
      </c>
      <c r="E30" s="111">
        <v>247.85879999999997</v>
      </c>
      <c r="F30" s="111"/>
      <c r="G30" s="123"/>
      <c r="H30" s="123"/>
    </row>
    <row r="31" spans="1:8" x14ac:dyDescent="0.2">
      <c r="A31" s="68" t="s">
        <v>54</v>
      </c>
      <c r="B31" s="111">
        <v>242</v>
      </c>
      <c r="C31" s="111">
        <v>295.07</v>
      </c>
      <c r="D31" s="111">
        <v>0.85</v>
      </c>
      <c r="E31" s="111">
        <v>250.80949999999999</v>
      </c>
      <c r="F31" s="111"/>
      <c r="G31" s="123"/>
      <c r="H31" s="123"/>
    </row>
    <row r="32" spans="1:8" x14ac:dyDescent="0.2">
      <c r="A32" s="68" t="s">
        <v>53</v>
      </c>
      <c r="B32" s="111">
        <v>290</v>
      </c>
      <c r="C32" s="111">
        <v>295.07</v>
      </c>
      <c r="D32" s="111">
        <v>0.85</v>
      </c>
      <c r="E32" s="111">
        <v>250.80949999999999</v>
      </c>
      <c r="F32" s="111"/>
      <c r="G32" s="123"/>
      <c r="H32" s="123"/>
    </row>
    <row r="33" spans="1:9" x14ac:dyDescent="0.2">
      <c r="A33" s="68" t="s">
        <v>48</v>
      </c>
      <c r="B33" s="111">
        <v>143</v>
      </c>
      <c r="C33" s="111">
        <v>295.07</v>
      </c>
      <c r="D33" s="111">
        <v>0.76</v>
      </c>
      <c r="E33" s="111">
        <v>224.25319999999999</v>
      </c>
      <c r="F33" s="141">
        <v>46.3</v>
      </c>
      <c r="G33" s="123">
        <f t="shared" si="0"/>
        <v>3.441050859772198</v>
      </c>
      <c r="H33" s="123">
        <f t="shared" si="1"/>
        <v>2.4063292725679707E-2</v>
      </c>
    </row>
    <row r="34" spans="1:9" x14ac:dyDescent="0.2">
      <c r="A34" s="68" t="s">
        <v>159</v>
      </c>
      <c r="B34" s="111">
        <v>50</v>
      </c>
      <c r="C34" s="111">
        <v>295.07</v>
      </c>
      <c r="D34" s="111">
        <v>0.74</v>
      </c>
      <c r="E34" s="111">
        <v>218.3518</v>
      </c>
      <c r="F34" s="111"/>
      <c r="G34" s="123"/>
      <c r="H34" s="123"/>
    </row>
    <row r="35" spans="1:9" x14ac:dyDescent="0.2">
      <c r="A35" s="68" t="s">
        <v>158</v>
      </c>
      <c r="B35" s="111">
        <v>50</v>
      </c>
      <c r="C35" s="111">
        <v>295.07</v>
      </c>
      <c r="D35" s="111">
        <v>0.74</v>
      </c>
      <c r="E35" s="111">
        <v>218.3518</v>
      </c>
      <c r="F35" s="111"/>
      <c r="G35" s="123"/>
      <c r="H35" s="123"/>
    </row>
    <row r="36" spans="1:9" x14ac:dyDescent="0.2">
      <c r="A36" s="68" t="s">
        <v>39</v>
      </c>
      <c r="B36" s="111">
        <v>78</v>
      </c>
      <c r="C36" s="111">
        <v>295.07</v>
      </c>
      <c r="D36" s="111">
        <v>0.78</v>
      </c>
      <c r="E36" s="111">
        <v>230.15460000000002</v>
      </c>
      <c r="F36" s="111"/>
      <c r="G36" s="123"/>
      <c r="H36" s="123"/>
    </row>
    <row r="37" spans="1:9" x14ac:dyDescent="0.2">
      <c r="A37" s="68" t="s">
        <v>37</v>
      </c>
      <c r="B37" s="111">
        <v>90</v>
      </c>
      <c r="C37" s="111">
        <v>295.07</v>
      </c>
      <c r="D37" s="111">
        <v>0.78</v>
      </c>
      <c r="E37" s="111">
        <v>230.15460000000002</v>
      </c>
      <c r="F37" s="111"/>
      <c r="G37" s="123"/>
      <c r="H37" s="123"/>
    </row>
    <row r="38" spans="1:9" x14ac:dyDescent="0.2">
      <c r="A38" s="68" t="s">
        <v>35</v>
      </c>
      <c r="B38" s="111">
        <v>104</v>
      </c>
      <c r="C38" s="111">
        <v>295.07</v>
      </c>
      <c r="D38" s="111">
        <v>0.78</v>
      </c>
      <c r="E38" s="111">
        <v>230.15460000000002</v>
      </c>
      <c r="F38" s="111"/>
      <c r="G38" s="123"/>
      <c r="H38" s="123"/>
    </row>
    <row r="39" spans="1:9" x14ac:dyDescent="0.2">
      <c r="A39" s="71" t="s">
        <v>34</v>
      </c>
      <c r="B39" s="136">
        <v>37</v>
      </c>
      <c r="C39" s="136">
        <v>295.07</v>
      </c>
      <c r="D39" s="137" t="s">
        <v>226</v>
      </c>
      <c r="E39" s="136">
        <v>138.88888888888889</v>
      </c>
      <c r="F39" s="136">
        <v>5.2</v>
      </c>
      <c r="G39" s="138">
        <f t="shared" si="0"/>
        <v>0.62400000000000011</v>
      </c>
      <c r="H39" s="138">
        <f t="shared" si="1"/>
        <v>1.6864864864864867E-2</v>
      </c>
      <c r="I39" s="72" t="s">
        <v>228</v>
      </c>
    </row>
    <row r="40" spans="1:9" x14ac:dyDescent="0.2">
      <c r="A40" s="71" t="s">
        <v>44</v>
      </c>
      <c r="B40" s="136">
        <v>50</v>
      </c>
      <c r="C40" s="136">
        <v>295.07</v>
      </c>
      <c r="D40" s="137" t="s">
        <v>226</v>
      </c>
      <c r="E40" s="136">
        <v>146.66666666666666</v>
      </c>
      <c r="F40" s="136">
        <v>5.2</v>
      </c>
      <c r="G40" s="138">
        <f t="shared" si="0"/>
        <v>0.59090909090909105</v>
      </c>
      <c r="H40" s="138">
        <f t="shared" si="1"/>
        <v>1.1818181818181821E-2</v>
      </c>
      <c r="I40" s="72" t="s">
        <v>228</v>
      </c>
    </row>
    <row r="41" spans="1:9" x14ac:dyDescent="0.2">
      <c r="A41" s="71" t="s">
        <v>32</v>
      </c>
      <c r="B41" s="136">
        <v>82</v>
      </c>
      <c r="C41" s="136">
        <v>295.07</v>
      </c>
      <c r="D41" s="137" t="s">
        <v>226</v>
      </c>
      <c r="E41" s="136">
        <v>186.11111111111111</v>
      </c>
      <c r="F41" s="136">
        <v>5.2</v>
      </c>
      <c r="G41" s="138">
        <f t="shared" si="0"/>
        <v>0.46567164179104481</v>
      </c>
      <c r="H41" s="138">
        <f t="shared" si="1"/>
        <v>5.6789224608664E-3</v>
      </c>
      <c r="I41" s="72" t="s">
        <v>228</v>
      </c>
    </row>
    <row r="42" spans="1:9" x14ac:dyDescent="0.2">
      <c r="A42" s="68" t="s">
        <v>30</v>
      </c>
      <c r="B42" s="111">
        <v>19</v>
      </c>
      <c r="C42" s="111">
        <v>295.07</v>
      </c>
      <c r="D42" s="135" t="s">
        <v>226</v>
      </c>
      <c r="E42" s="111">
        <v>96.666666666666657</v>
      </c>
      <c r="F42" s="111"/>
      <c r="G42" s="123"/>
      <c r="H42" s="123"/>
    </row>
    <row r="43" spans="1:9" x14ac:dyDescent="0.2">
      <c r="A43" s="68" t="s">
        <v>26</v>
      </c>
      <c r="B43" s="111">
        <v>74</v>
      </c>
      <c r="C43" s="111">
        <v>295.07</v>
      </c>
      <c r="D43" s="111">
        <v>0.75</v>
      </c>
      <c r="E43" s="111">
        <v>221.30250000000001</v>
      </c>
      <c r="F43" s="111"/>
      <c r="G43" s="123"/>
      <c r="H43" s="123"/>
    </row>
    <row r="44" spans="1:9" x14ac:dyDescent="0.2">
      <c r="A44" s="68" t="s">
        <v>25</v>
      </c>
      <c r="B44" s="111">
        <v>78</v>
      </c>
      <c r="C44" s="111">
        <v>295.07</v>
      </c>
      <c r="D44" s="111">
        <v>0.75</v>
      </c>
      <c r="E44" s="111">
        <v>221.30250000000001</v>
      </c>
      <c r="F44" s="111"/>
      <c r="G44" s="123"/>
      <c r="H44" s="123"/>
    </row>
    <row r="45" spans="1:9" x14ac:dyDescent="0.2">
      <c r="A45" s="68" t="s">
        <v>23</v>
      </c>
      <c r="B45" s="111">
        <v>100</v>
      </c>
      <c r="C45" s="111">
        <v>295.07</v>
      </c>
      <c r="D45" s="111">
        <v>0.78</v>
      </c>
      <c r="E45" s="111">
        <v>230.15460000000002</v>
      </c>
      <c r="F45" s="111"/>
      <c r="G45" s="123"/>
      <c r="H45" s="123"/>
    </row>
    <row r="46" spans="1:9" x14ac:dyDescent="0.2">
      <c r="A46" s="68" t="s">
        <v>19</v>
      </c>
      <c r="B46" s="111">
        <v>124</v>
      </c>
      <c r="C46" s="111">
        <v>295.07</v>
      </c>
      <c r="D46" s="111">
        <v>0.78</v>
      </c>
      <c r="E46" s="111">
        <v>230.15460000000002</v>
      </c>
      <c r="F46" s="111"/>
      <c r="G46" s="123"/>
      <c r="H46" s="123"/>
    </row>
    <row r="47" spans="1:9" x14ac:dyDescent="0.2">
      <c r="A47" s="68" t="s">
        <v>17</v>
      </c>
      <c r="B47" s="111">
        <v>104</v>
      </c>
      <c r="C47" s="111">
        <v>295.07</v>
      </c>
      <c r="D47" s="111">
        <v>0.78</v>
      </c>
      <c r="E47" s="111">
        <v>230.15460000000002</v>
      </c>
      <c r="F47" s="111"/>
      <c r="G47" s="123"/>
      <c r="H47" s="123"/>
    </row>
    <row r="48" spans="1:9" x14ac:dyDescent="0.2">
      <c r="A48" s="71" t="s">
        <v>15</v>
      </c>
      <c r="B48" s="136">
        <v>30</v>
      </c>
      <c r="C48" s="136">
        <v>295.07</v>
      </c>
      <c r="D48" s="137" t="s">
        <v>226</v>
      </c>
      <c r="E48" s="136">
        <v>159.44444444444443</v>
      </c>
      <c r="F48" s="136">
        <v>5.0999999999999996</v>
      </c>
      <c r="G48" s="138">
        <f t="shared" si="0"/>
        <v>0.53310104529616742</v>
      </c>
      <c r="H48" s="138">
        <f t="shared" si="1"/>
        <v>1.7770034843205582E-2</v>
      </c>
      <c r="I48" s="72" t="s">
        <v>228</v>
      </c>
    </row>
    <row r="49" spans="1:8" x14ac:dyDescent="0.2">
      <c r="A49" s="68" t="s">
        <v>11</v>
      </c>
      <c r="B49" s="111">
        <v>50</v>
      </c>
      <c r="C49" s="111">
        <v>295.07</v>
      </c>
      <c r="D49" s="111">
        <v>0.75</v>
      </c>
      <c r="E49" s="111">
        <v>221.30250000000001</v>
      </c>
      <c r="F49" s="111"/>
      <c r="G49" s="123"/>
      <c r="H49" s="123"/>
    </row>
    <row r="50" spans="1:8" x14ac:dyDescent="0.2">
      <c r="A50" s="68" t="s">
        <v>9</v>
      </c>
      <c r="B50" s="111">
        <v>97</v>
      </c>
      <c r="C50" s="111">
        <v>295.07</v>
      </c>
      <c r="D50" s="111">
        <v>0.74</v>
      </c>
      <c r="E50" s="111">
        <v>218.3518</v>
      </c>
      <c r="F50" s="141">
        <v>28.2</v>
      </c>
      <c r="G50" s="123">
        <f t="shared" si="0"/>
        <v>2.1524896978179253</v>
      </c>
      <c r="H50" s="123">
        <f t="shared" si="1"/>
        <v>2.219061544142191E-2</v>
      </c>
    </row>
    <row r="51" spans="1:8" x14ac:dyDescent="0.2">
      <c r="A51" s="68" t="s">
        <v>4</v>
      </c>
      <c r="B51" s="111">
        <v>34</v>
      </c>
      <c r="C51" s="111">
        <v>295.07</v>
      </c>
      <c r="D51" s="135" t="s">
        <v>226</v>
      </c>
      <c r="E51" s="111">
        <v>128.61111111111111</v>
      </c>
      <c r="F51" s="111"/>
      <c r="G51" s="123"/>
      <c r="H51" s="123"/>
    </row>
    <row r="52" spans="1:8" x14ac:dyDescent="0.2">
      <c r="A52" s="68" t="s">
        <v>2</v>
      </c>
      <c r="B52" s="111">
        <v>100</v>
      </c>
      <c r="C52" s="111">
        <v>295.07</v>
      </c>
      <c r="D52" s="111">
        <v>0.78</v>
      </c>
      <c r="E52" s="111">
        <v>230.15460000000002</v>
      </c>
      <c r="F52" s="111"/>
      <c r="G52" s="123"/>
      <c r="H52" s="123"/>
    </row>
  </sheetData>
  <autoFilter ref="A1:I52" xr:uid="{B47D6232-807D-9440-BE26-E14714E1ADF2}"/>
  <mergeCells count="8">
    <mergeCell ref="A1:A2"/>
    <mergeCell ref="B1:B2"/>
    <mergeCell ref="H1:H2"/>
    <mergeCell ref="C1:C2"/>
    <mergeCell ref="D1:D2"/>
    <mergeCell ref="E1:E2"/>
    <mergeCell ref="F1:F2"/>
    <mergeCell ref="G1:G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05F96-C4A9-5941-98A1-CE48DDC93E4A}">
  <dimension ref="A1:V52"/>
  <sheetViews>
    <sheetView workbookViewId="0">
      <pane xSplit="1" ySplit="2" topLeftCell="M3" activePane="bottomRight" state="frozen"/>
      <selection pane="topRight" activeCell="B1" sqref="B1"/>
      <selection pane="bottomLeft" activeCell="A3" sqref="A3"/>
      <selection pane="bottomRight" activeCell="L20" sqref="L20"/>
    </sheetView>
  </sheetViews>
  <sheetFormatPr baseColWidth="10" defaultRowHeight="16" x14ac:dyDescent="0.2"/>
  <cols>
    <col min="1" max="1" width="20.83203125" customWidth="1"/>
    <col min="2" max="2" width="17.5" customWidth="1"/>
    <col min="3" max="3" width="14.5" customWidth="1"/>
    <col min="12" max="12" width="13.33203125" customWidth="1"/>
    <col min="13" max="13" width="14.1640625" customWidth="1"/>
    <col min="14" max="14" width="16" customWidth="1"/>
    <col min="19" max="19" width="17.5" customWidth="1"/>
    <col min="20" max="20" width="13" customWidth="1"/>
    <col min="21" max="21" width="16.83203125" customWidth="1"/>
    <col min="22" max="22" width="27" customWidth="1"/>
    <col min="25" max="26" width="12.1640625" bestFit="1" customWidth="1"/>
  </cols>
  <sheetData>
    <row r="1" spans="1:22" ht="16" customHeight="1" x14ac:dyDescent="0.2">
      <c r="A1" s="145" t="s">
        <v>154</v>
      </c>
      <c r="B1" s="145" t="s">
        <v>153</v>
      </c>
      <c r="C1" s="145" t="s">
        <v>151</v>
      </c>
      <c r="D1" s="145" t="s">
        <v>148</v>
      </c>
      <c r="E1" s="145" t="s">
        <v>147</v>
      </c>
      <c r="F1" s="145" t="s">
        <v>214</v>
      </c>
      <c r="G1" s="145" t="s">
        <v>215</v>
      </c>
      <c r="H1" s="145" t="s">
        <v>185</v>
      </c>
      <c r="I1" s="145" t="s">
        <v>183</v>
      </c>
      <c r="J1" s="145" t="s">
        <v>184</v>
      </c>
      <c r="K1" s="145" t="s">
        <v>176</v>
      </c>
      <c r="L1" s="145" t="s">
        <v>177</v>
      </c>
      <c r="M1" s="145" t="s">
        <v>182</v>
      </c>
      <c r="N1" s="145" t="s">
        <v>213</v>
      </c>
      <c r="O1" s="145" t="s">
        <v>85</v>
      </c>
      <c r="P1" s="145" t="s">
        <v>179</v>
      </c>
      <c r="Q1" s="145" t="s">
        <v>181</v>
      </c>
      <c r="R1" s="145" t="s">
        <v>178</v>
      </c>
      <c r="S1" s="145" t="s">
        <v>180</v>
      </c>
      <c r="T1" s="145" t="s">
        <v>216</v>
      </c>
      <c r="U1" s="145" t="s">
        <v>217</v>
      </c>
      <c r="V1" s="145" t="s">
        <v>302</v>
      </c>
    </row>
    <row r="2" spans="1:22" ht="17" thickBot="1" x14ac:dyDescent="0.25">
      <c r="A2" s="150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</row>
    <row r="3" spans="1:22" x14ac:dyDescent="0.2">
      <c r="A3" s="68" t="s">
        <v>128</v>
      </c>
      <c r="B3" s="111" t="s">
        <v>186</v>
      </c>
      <c r="C3" s="111">
        <v>150</v>
      </c>
      <c r="D3" s="111">
        <v>67585</v>
      </c>
      <c r="E3" s="111">
        <v>55792</v>
      </c>
      <c r="F3" s="111">
        <v>3704</v>
      </c>
      <c r="G3" s="111">
        <f>F3/1.852</f>
        <v>2000</v>
      </c>
      <c r="H3" s="111">
        <v>295.07</v>
      </c>
      <c r="I3" s="111">
        <v>0.78</v>
      </c>
      <c r="J3" s="111">
        <f>H3*I3</f>
        <v>230.15460000000002</v>
      </c>
      <c r="K3" s="139">
        <f>((3.229*10^-4)*F3)+12.18</f>
        <v>13.3760216</v>
      </c>
      <c r="L3" s="111">
        <v>6.1</v>
      </c>
      <c r="M3" s="111">
        <v>35.1</v>
      </c>
      <c r="N3" s="111">
        <v>112.3</v>
      </c>
      <c r="O3" s="111">
        <f>(M3^2)/N3</f>
        <v>10.970703472840606</v>
      </c>
      <c r="P3" s="111">
        <f>K3*SQRT(O3/L3)</f>
        <v>17.938217364812306</v>
      </c>
      <c r="Q3" s="111">
        <f>(D3+E3)/2</f>
        <v>61688.5</v>
      </c>
      <c r="R3" s="111">
        <v>11.37</v>
      </c>
      <c r="S3" s="111">
        <f>((3.735*10^-8)*(R3^(-2.12*10^-3))*J3)+((1.65*10^-5)*(R3^-0.4))</f>
        <v>1.4792016461682986E-5</v>
      </c>
      <c r="T3" s="111">
        <f>((P3*J3)/(9.81*S3))*1/Q3</f>
        <v>461.20960434026455</v>
      </c>
      <c r="U3" s="123">
        <f>(1/T3)*(1/(10^-3))</f>
        <v>2.1682115692938488</v>
      </c>
      <c r="V3" s="123">
        <f>U3/C3</f>
        <v>1.4454743795292326E-2</v>
      </c>
    </row>
    <row r="4" spans="1:22" x14ac:dyDescent="0.2">
      <c r="A4" s="68" t="s">
        <v>121</v>
      </c>
      <c r="B4" s="111" t="s">
        <v>194</v>
      </c>
      <c r="C4" s="111">
        <v>134</v>
      </c>
      <c r="D4" s="111">
        <v>75500</v>
      </c>
      <c r="E4" s="111">
        <v>58500</v>
      </c>
      <c r="F4" s="111">
        <v>4630</v>
      </c>
      <c r="G4" s="111">
        <f t="shared" ref="G4:G52" si="0">F4/1.852</f>
        <v>2500</v>
      </c>
      <c r="H4" s="111">
        <v>295.07</v>
      </c>
      <c r="I4" s="111">
        <v>0.78</v>
      </c>
      <c r="J4" s="111">
        <f t="shared" ref="J4:J52" si="1">H4*I4</f>
        <v>230.15460000000002</v>
      </c>
      <c r="K4" s="139">
        <f t="shared" ref="K4:K52" si="2">((3.229*10^-4)*F4)+12.18</f>
        <v>13.675027</v>
      </c>
      <c r="L4" s="111">
        <v>6.1</v>
      </c>
      <c r="M4" s="111">
        <v>34.1</v>
      </c>
      <c r="N4" s="111">
        <v>122.6</v>
      </c>
      <c r="O4" s="111">
        <f t="shared" ref="O4:O52" si="3">(M4^2)/N4</f>
        <v>9.4845840130505721</v>
      </c>
      <c r="P4" s="111">
        <f t="shared" ref="P4:P52" si="4">K4*SQRT(O4/L4)</f>
        <v>17.051885935422909</v>
      </c>
      <c r="Q4" s="111">
        <f t="shared" ref="Q4:Q52" si="5">(D4+E4)/2</f>
        <v>67000</v>
      </c>
      <c r="R4" s="111">
        <v>5.9</v>
      </c>
      <c r="S4" s="111">
        <f t="shared" ref="S4:S52" si="6">((3.735*10^-8)*(R4^(-2.12*10^-3))*J4)+((1.65*10^-5)*(R4^-0.4))</f>
        <v>1.6676272054755217E-5</v>
      </c>
      <c r="T4" s="111">
        <f t="shared" ref="T4:T52" si="7">((P4*J4)/(9.81*S4))*1/Q4</f>
        <v>358.05463219991998</v>
      </c>
      <c r="U4" s="123">
        <f t="shared" ref="U4:U52" si="8">(1/T4)*(1/(10^-3))</f>
        <v>2.7928698865195787</v>
      </c>
      <c r="V4" s="123">
        <f t="shared" ref="V4:V52" si="9">U4/C4</f>
        <v>2.0842312585967006E-2</v>
      </c>
    </row>
    <row r="5" spans="1:22" x14ac:dyDescent="0.2">
      <c r="A5" s="68" t="s">
        <v>120</v>
      </c>
      <c r="B5" s="111" t="s">
        <v>195</v>
      </c>
      <c r="C5" s="111">
        <v>150</v>
      </c>
      <c r="D5" s="111">
        <v>78000</v>
      </c>
      <c r="E5" s="111">
        <v>62500</v>
      </c>
      <c r="F5" s="111">
        <v>3882</v>
      </c>
      <c r="G5" s="111">
        <f t="shared" si="0"/>
        <v>2096.1123110151188</v>
      </c>
      <c r="H5" s="111">
        <v>295.07</v>
      </c>
      <c r="I5" s="111">
        <v>0.78</v>
      </c>
      <c r="J5" s="111">
        <f t="shared" si="1"/>
        <v>230.15460000000002</v>
      </c>
      <c r="K5" s="139">
        <f t="shared" si="2"/>
        <v>13.4334978</v>
      </c>
      <c r="L5" s="111">
        <v>6.1</v>
      </c>
      <c r="M5" s="111">
        <v>34.1</v>
      </c>
      <c r="N5" s="111">
        <v>122.6</v>
      </c>
      <c r="O5" s="111">
        <f t="shared" si="3"/>
        <v>9.4845840130505721</v>
      </c>
      <c r="P5" s="111">
        <f t="shared" si="4"/>
        <v>16.75071443729907</v>
      </c>
      <c r="Q5" s="111">
        <f t="shared" si="5"/>
        <v>70250</v>
      </c>
      <c r="R5" s="111">
        <v>6</v>
      </c>
      <c r="S5" s="111">
        <f t="shared" si="6"/>
        <v>1.6621612184000608E-5</v>
      </c>
      <c r="T5" s="111">
        <f t="shared" si="7"/>
        <v>336.5615609357568</v>
      </c>
      <c r="U5" s="123">
        <f t="shared" si="8"/>
        <v>2.9712246318909874</v>
      </c>
      <c r="V5" s="123">
        <f t="shared" si="9"/>
        <v>1.9808164212606581E-2</v>
      </c>
    </row>
    <row r="6" spans="1:22" x14ac:dyDescent="0.2">
      <c r="A6" s="68" t="s">
        <v>119</v>
      </c>
      <c r="B6" s="111" t="s">
        <v>187</v>
      </c>
      <c r="C6" s="111">
        <v>165</v>
      </c>
      <c r="D6" s="111">
        <v>79000</v>
      </c>
      <c r="E6" s="111">
        <v>62800</v>
      </c>
      <c r="F6" s="111">
        <v>4528</v>
      </c>
      <c r="G6" s="111">
        <f t="shared" si="0"/>
        <v>2444.9244060475162</v>
      </c>
      <c r="H6" s="111">
        <v>295.07</v>
      </c>
      <c r="I6" s="111">
        <v>0.78</v>
      </c>
      <c r="J6" s="111">
        <f t="shared" si="1"/>
        <v>230.15460000000002</v>
      </c>
      <c r="K6" s="139">
        <f t="shared" si="2"/>
        <v>13.642091199999999</v>
      </c>
      <c r="L6" s="111">
        <v>6.1</v>
      </c>
      <c r="M6" s="111">
        <v>35.799999999999997</v>
      </c>
      <c r="N6" s="111">
        <v>122.4</v>
      </c>
      <c r="O6" s="111">
        <f t="shared" si="3"/>
        <v>10.470915032679738</v>
      </c>
      <c r="P6" s="111">
        <f t="shared" si="4"/>
        <v>17.873448314378525</v>
      </c>
      <c r="Q6" s="111">
        <f t="shared" si="5"/>
        <v>70900</v>
      </c>
      <c r="R6" s="111">
        <v>11.3</v>
      </c>
      <c r="S6" s="111">
        <f t="shared" si="6"/>
        <v>1.4807561563501625E-5</v>
      </c>
      <c r="T6" s="111">
        <f t="shared" si="7"/>
        <v>399.41945859854053</v>
      </c>
      <c r="U6" s="123">
        <f t="shared" si="8"/>
        <v>2.5036336574806373</v>
      </c>
      <c r="V6" s="123">
        <f t="shared" si="9"/>
        <v>1.5173537318064468E-2</v>
      </c>
    </row>
    <row r="7" spans="1:22" x14ac:dyDescent="0.2">
      <c r="A7" s="68" t="s">
        <v>118</v>
      </c>
      <c r="B7" s="111" t="s">
        <v>196</v>
      </c>
      <c r="C7" s="111">
        <v>185</v>
      </c>
      <c r="D7" s="111">
        <v>93500</v>
      </c>
      <c r="E7" s="111">
        <v>77800</v>
      </c>
      <c r="F7" s="111">
        <v>4215</v>
      </c>
      <c r="G7" s="111">
        <f t="shared" si="0"/>
        <v>2275.9179265658745</v>
      </c>
      <c r="H7" s="111">
        <v>295.07</v>
      </c>
      <c r="I7" s="111">
        <v>0.78</v>
      </c>
      <c r="J7" s="111">
        <f t="shared" si="1"/>
        <v>230.15460000000002</v>
      </c>
      <c r="K7" s="139">
        <f t="shared" si="2"/>
        <v>13.5410235</v>
      </c>
      <c r="L7" s="111">
        <v>6.1</v>
      </c>
      <c r="M7" s="111">
        <v>34.1</v>
      </c>
      <c r="N7" s="111">
        <v>122.6</v>
      </c>
      <c r="O7" s="111">
        <f t="shared" si="3"/>
        <v>9.4845840130505721</v>
      </c>
      <c r="P7" s="111">
        <f t="shared" si="4"/>
        <v>16.884792122961155</v>
      </c>
      <c r="Q7" s="111">
        <f t="shared" si="5"/>
        <v>85650</v>
      </c>
      <c r="R7" s="111">
        <v>5.7</v>
      </c>
      <c r="S7" s="111">
        <f t="shared" si="6"/>
        <v>1.678957825080409E-5</v>
      </c>
      <c r="T7" s="111">
        <f t="shared" si="7"/>
        <v>275.47311245290223</v>
      </c>
      <c r="U7" s="123">
        <f t="shared" si="8"/>
        <v>3.6301183483777222</v>
      </c>
      <c r="V7" s="123">
        <f t="shared" si="9"/>
        <v>1.962226134258228E-2</v>
      </c>
    </row>
    <row r="8" spans="1:22" x14ac:dyDescent="0.2">
      <c r="A8" s="68" t="s">
        <v>117</v>
      </c>
      <c r="B8" s="111" t="s">
        <v>188</v>
      </c>
      <c r="C8" s="111">
        <v>206</v>
      </c>
      <c r="D8" s="111">
        <v>97000</v>
      </c>
      <c r="E8" s="111">
        <v>73300</v>
      </c>
      <c r="F8" s="111">
        <v>5648.6</v>
      </c>
      <c r="G8" s="111">
        <f t="shared" si="0"/>
        <v>3050</v>
      </c>
      <c r="H8" s="111">
        <v>295.07</v>
      </c>
      <c r="I8" s="111">
        <v>0.78</v>
      </c>
      <c r="J8" s="111">
        <f t="shared" si="1"/>
        <v>230.15460000000002</v>
      </c>
      <c r="K8" s="139">
        <f t="shared" si="2"/>
        <v>14.00393294</v>
      </c>
      <c r="L8" s="111">
        <v>6.1</v>
      </c>
      <c r="M8" s="111">
        <v>35.799999999999997</v>
      </c>
      <c r="N8" s="111">
        <v>122.4</v>
      </c>
      <c r="O8" s="111">
        <f t="shared" si="3"/>
        <v>10.470915032679738</v>
      </c>
      <c r="P8" s="111">
        <f t="shared" si="4"/>
        <v>18.347522233329805</v>
      </c>
      <c r="Q8" s="111">
        <f t="shared" si="5"/>
        <v>85150</v>
      </c>
      <c r="R8" s="111">
        <v>10.5</v>
      </c>
      <c r="S8" s="111">
        <f t="shared" si="6"/>
        <v>1.4995343885217402E-5</v>
      </c>
      <c r="T8" s="111">
        <f t="shared" si="7"/>
        <v>337.12192065641045</v>
      </c>
      <c r="U8" s="123">
        <f t="shared" si="8"/>
        <v>2.9662859005219802</v>
      </c>
      <c r="V8" s="123">
        <f t="shared" si="9"/>
        <v>1.4399446119038739E-2</v>
      </c>
    </row>
    <row r="9" spans="1:22" x14ac:dyDescent="0.2">
      <c r="A9" s="68" t="s">
        <v>116</v>
      </c>
      <c r="B9" s="111" t="s">
        <v>197</v>
      </c>
      <c r="C9" s="111">
        <v>246</v>
      </c>
      <c r="D9" s="111">
        <v>242000</v>
      </c>
      <c r="E9" s="111">
        <v>170000</v>
      </c>
      <c r="F9" s="111">
        <v>8584</v>
      </c>
      <c r="G9" s="111">
        <f t="shared" si="0"/>
        <v>4634.9892008639308</v>
      </c>
      <c r="H9" s="111">
        <v>295.07</v>
      </c>
      <c r="I9" s="111">
        <v>0.82</v>
      </c>
      <c r="J9" s="111">
        <f t="shared" si="1"/>
        <v>241.95739999999998</v>
      </c>
      <c r="K9" s="139">
        <f t="shared" si="2"/>
        <v>14.951773599999999</v>
      </c>
      <c r="L9" s="111">
        <v>6.1</v>
      </c>
      <c r="M9" s="111">
        <v>60.3</v>
      </c>
      <c r="N9" s="111">
        <v>361.6</v>
      </c>
      <c r="O9" s="111">
        <f t="shared" si="3"/>
        <v>10.055558628318582</v>
      </c>
      <c r="P9" s="111">
        <f t="shared" si="4"/>
        <v>19.196890871328442</v>
      </c>
      <c r="Q9" s="111">
        <f t="shared" si="5"/>
        <v>206000</v>
      </c>
      <c r="R9" s="111">
        <v>5.0999999999999996</v>
      </c>
      <c r="S9" s="111">
        <f t="shared" si="6"/>
        <v>1.7605105563743909E-5</v>
      </c>
      <c r="T9" s="111">
        <f t="shared" si="7"/>
        <v>130.55543130418909</v>
      </c>
      <c r="U9" s="123">
        <f t="shared" si="8"/>
        <v>7.6595817578055323</v>
      </c>
      <c r="V9" s="123">
        <f t="shared" si="9"/>
        <v>3.1136511210591595E-2</v>
      </c>
    </row>
    <row r="10" spans="1:22" x14ac:dyDescent="0.2">
      <c r="A10" s="68" t="s">
        <v>115</v>
      </c>
      <c r="B10" s="111" t="s">
        <v>197</v>
      </c>
      <c r="C10" s="111">
        <v>300</v>
      </c>
      <c r="D10" s="111">
        <v>242000</v>
      </c>
      <c r="E10" s="111">
        <v>175000</v>
      </c>
      <c r="F10" s="111">
        <v>7723</v>
      </c>
      <c r="G10" s="111">
        <f t="shared" si="0"/>
        <v>4170.0863930885525</v>
      </c>
      <c r="H10" s="111">
        <v>295.07</v>
      </c>
      <c r="I10" s="111">
        <v>0.82</v>
      </c>
      <c r="J10" s="111">
        <f t="shared" si="1"/>
        <v>241.95739999999998</v>
      </c>
      <c r="K10" s="139">
        <f t="shared" si="2"/>
        <v>14.6737567</v>
      </c>
      <c r="L10" s="111">
        <v>6.1</v>
      </c>
      <c r="M10" s="111">
        <v>60.3</v>
      </c>
      <c r="N10" s="111">
        <v>361.6</v>
      </c>
      <c r="O10" s="111">
        <f t="shared" si="3"/>
        <v>10.055558628318582</v>
      </c>
      <c r="P10" s="111">
        <f t="shared" si="4"/>
        <v>18.839939232515171</v>
      </c>
      <c r="Q10" s="111">
        <f t="shared" si="5"/>
        <v>208500</v>
      </c>
      <c r="R10" s="111">
        <v>5.0999999999999996</v>
      </c>
      <c r="S10" s="111">
        <f t="shared" si="6"/>
        <v>1.7605105563743909E-5</v>
      </c>
      <c r="T10" s="111">
        <f t="shared" si="7"/>
        <v>126.59154681108616</v>
      </c>
      <c r="U10" s="123">
        <f t="shared" si="8"/>
        <v>7.8994216058700193</v>
      </c>
      <c r="V10" s="123">
        <f t="shared" si="9"/>
        <v>2.6331405352900066E-2</v>
      </c>
    </row>
    <row r="11" spans="1:22" x14ac:dyDescent="0.2">
      <c r="A11" s="68" t="s">
        <v>109</v>
      </c>
      <c r="B11" s="111" t="s">
        <v>189</v>
      </c>
      <c r="C11" s="111">
        <v>315</v>
      </c>
      <c r="D11" s="111">
        <v>280000</v>
      </c>
      <c r="E11" s="111">
        <v>195700</v>
      </c>
      <c r="F11" s="111">
        <v>10797</v>
      </c>
      <c r="G11" s="111">
        <f t="shared" si="0"/>
        <v>5829.9136069114465</v>
      </c>
      <c r="H11" s="111">
        <v>295.07</v>
      </c>
      <c r="I11" s="111">
        <v>0.85</v>
      </c>
      <c r="J11" s="111">
        <f t="shared" si="1"/>
        <v>250.80949999999999</v>
      </c>
      <c r="K11" s="139">
        <f t="shared" si="2"/>
        <v>15.666351300000001</v>
      </c>
      <c r="L11" s="111">
        <v>6.1</v>
      </c>
      <c r="M11" s="111">
        <v>64.75</v>
      </c>
      <c r="N11" s="111">
        <v>442</v>
      </c>
      <c r="O11" s="111">
        <f t="shared" si="3"/>
        <v>9.4854355203619907</v>
      </c>
      <c r="P11" s="111">
        <f t="shared" si="4"/>
        <v>19.535817136763718</v>
      </c>
      <c r="Q11" s="111">
        <f t="shared" si="5"/>
        <v>237850</v>
      </c>
      <c r="R11" s="111">
        <v>9.2799999999999994</v>
      </c>
      <c r="S11" s="111">
        <f t="shared" si="6"/>
        <v>1.609166333814081E-5</v>
      </c>
      <c r="T11" s="111">
        <f t="shared" si="7"/>
        <v>130.49758143951365</v>
      </c>
      <c r="U11" s="123">
        <f t="shared" si="8"/>
        <v>7.6629772672339174</v>
      </c>
      <c r="V11" s="123">
        <f t="shared" si="9"/>
        <v>2.4326911959472754E-2</v>
      </c>
    </row>
    <row r="12" spans="1:22" x14ac:dyDescent="0.2">
      <c r="A12" s="68" t="s">
        <v>106</v>
      </c>
      <c r="B12" s="111" t="s">
        <v>198</v>
      </c>
      <c r="C12" s="111">
        <v>575</v>
      </c>
      <c r="D12" s="111">
        <v>575000</v>
      </c>
      <c r="E12" s="111">
        <v>369000</v>
      </c>
      <c r="F12" s="111">
        <v>12131</v>
      </c>
      <c r="G12" s="111">
        <f t="shared" si="0"/>
        <v>6550.2159827213818</v>
      </c>
      <c r="H12" s="111">
        <v>295.07</v>
      </c>
      <c r="I12" s="111">
        <v>0.85</v>
      </c>
      <c r="J12" s="111">
        <f t="shared" si="1"/>
        <v>250.80949999999999</v>
      </c>
      <c r="K12" s="139">
        <f t="shared" si="2"/>
        <v>16.0970999</v>
      </c>
      <c r="L12" s="111">
        <v>6.1</v>
      </c>
      <c r="M12" s="111">
        <v>79.8</v>
      </c>
      <c r="N12" s="111">
        <v>846</v>
      </c>
      <c r="O12" s="111">
        <f t="shared" si="3"/>
        <v>7.5272340425531912</v>
      </c>
      <c r="P12" s="111">
        <f t="shared" si="4"/>
        <v>17.881355259663625</v>
      </c>
      <c r="Q12" s="111">
        <f t="shared" si="5"/>
        <v>472000</v>
      </c>
      <c r="R12" s="111">
        <v>8.7100000000000009</v>
      </c>
      <c r="S12" s="111">
        <f t="shared" si="6"/>
        <v>1.6266721048161659E-5</v>
      </c>
      <c r="T12" s="111">
        <f t="shared" si="7"/>
        <v>59.543366971694617</v>
      </c>
      <c r="U12" s="123">
        <f t="shared" si="8"/>
        <v>16.794481918957896</v>
      </c>
      <c r="V12" s="123">
        <f t="shared" si="9"/>
        <v>2.9207794641665907E-2</v>
      </c>
    </row>
    <row r="13" spans="1:22" x14ac:dyDescent="0.2">
      <c r="A13" s="68" t="s">
        <v>104</v>
      </c>
      <c r="B13" s="111" t="s">
        <v>220</v>
      </c>
      <c r="C13" s="111">
        <v>48</v>
      </c>
      <c r="D13" s="111">
        <v>18600</v>
      </c>
      <c r="E13" s="111">
        <v>16700</v>
      </c>
      <c r="F13" s="111">
        <v>969</v>
      </c>
      <c r="G13" s="111">
        <f t="shared" si="0"/>
        <v>523.21814254859612</v>
      </c>
      <c r="H13" s="111">
        <v>295.07</v>
      </c>
      <c r="I13" s="135" t="s">
        <v>226</v>
      </c>
      <c r="J13" s="111">
        <f>480/3.6</f>
        <v>133.33333333333334</v>
      </c>
      <c r="K13" s="139">
        <f t="shared" si="2"/>
        <v>12.4928901</v>
      </c>
      <c r="L13" s="111">
        <v>6.1</v>
      </c>
      <c r="M13" s="111">
        <v>24.57</v>
      </c>
      <c r="N13" s="111">
        <v>54.5</v>
      </c>
      <c r="O13" s="111">
        <f t="shared" si="3"/>
        <v>11.076787155963302</v>
      </c>
      <c r="P13" s="111">
        <f t="shared" si="4"/>
        <v>16.834681619162986</v>
      </c>
      <c r="Q13" s="111">
        <f t="shared" si="5"/>
        <v>17650</v>
      </c>
      <c r="R13" s="135" t="s">
        <v>226</v>
      </c>
      <c r="S13" s="111" t="e">
        <f t="shared" si="6"/>
        <v>#VALUE!</v>
      </c>
      <c r="T13" s="111" t="e">
        <f t="shared" si="7"/>
        <v>#VALUE!</v>
      </c>
      <c r="U13" s="123" t="e">
        <f t="shared" si="8"/>
        <v>#VALUE!</v>
      </c>
      <c r="V13" s="123" t="e">
        <f t="shared" si="9"/>
        <v>#VALUE!</v>
      </c>
    </row>
    <row r="14" spans="1:22" x14ac:dyDescent="0.2">
      <c r="A14" s="68" t="s">
        <v>102</v>
      </c>
      <c r="B14" s="111" t="s">
        <v>221</v>
      </c>
      <c r="C14" s="111">
        <v>68</v>
      </c>
      <c r="D14" s="111">
        <v>22500</v>
      </c>
      <c r="E14" s="111">
        <v>20500</v>
      </c>
      <c r="F14" s="111">
        <v>926</v>
      </c>
      <c r="G14" s="111">
        <f t="shared" si="0"/>
        <v>500</v>
      </c>
      <c r="H14" s="111">
        <v>295.07</v>
      </c>
      <c r="I14" s="135" t="s">
        <v>226</v>
      </c>
      <c r="J14" s="111">
        <f>500/3.6</f>
        <v>138.88888888888889</v>
      </c>
      <c r="K14" s="139">
        <f t="shared" si="2"/>
        <v>12.4790054</v>
      </c>
      <c r="L14" s="111">
        <v>6.1</v>
      </c>
      <c r="M14" s="111">
        <v>27.06</v>
      </c>
      <c r="N14" s="111">
        <v>61</v>
      </c>
      <c r="O14" s="111">
        <f t="shared" si="3"/>
        <v>12.003993442622949</v>
      </c>
      <c r="P14" s="111">
        <f t="shared" si="4"/>
        <v>17.505637454646688</v>
      </c>
      <c r="Q14" s="111">
        <f t="shared" si="5"/>
        <v>21500</v>
      </c>
      <c r="R14" s="135" t="s">
        <v>226</v>
      </c>
      <c r="S14" s="111" t="e">
        <f t="shared" si="6"/>
        <v>#VALUE!</v>
      </c>
      <c r="T14" s="111" t="e">
        <f t="shared" si="7"/>
        <v>#VALUE!</v>
      </c>
      <c r="U14" s="123" t="e">
        <f t="shared" si="8"/>
        <v>#VALUE!</v>
      </c>
      <c r="V14" s="123" t="e">
        <f t="shared" si="9"/>
        <v>#VALUE!</v>
      </c>
    </row>
    <row r="15" spans="1:22" x14ac:dyDescent="0.2">
      <c r="A15" s="68" t="s">
        <v>100</v>
      </c>
      <c r="B15" s="111" t="s">
        <v>222</v>
      </c>
      <c r="C15" s="111">
        <v>19</v>
      </c>
      <c r="D15" s="111">
        <v>7766</v>
      </c>
      <c r="E15" s="111">
        <v>6879</v>
      </c>
      <c r="F15" s="111">
        <v>585</v>
      </c>
      <c r="G15" s="111">
        <f t="shared" si="0"/>
        <v>315.87473002159828</v>
      </c>
      <c r="H15" s="111">
        <v>295.07</v>
      </c>
      <c r="I15" s="135" t="s">
        <v>226</v>
      </c>
      <c r="J15" s="111">
        <f>427/3.6</f>
        <v>118.61111111111111</v>
      </c>
      <c r="K15" s="139">
        <f t="shared" si="2"/>
        <v>12.3688965</v>
      </c>
      <c r="L15" s="111">
        <v>6.1</v>
      </c>
      <c r="M15" s="111">
        <v>17.61</v>
      </c>
      <c r="N15" s="111">
        <v>28.8</v>
      </c>
      <c r="O15" s="111">
        <f t="shared" si="3"/>
        <v>10.767781250000001</v>
      </c>
      <c r="P15" s="111">
        <f t="shared" si="4"/>
        <v>16.43346522173913</v>
      </c>
      <c r="Q15" s="111">
        <f t="shared" si="5"/>
        <v>7322.5</v>
      </c>
      <c r="R15" s="135" t="s">
        <v>226</v>
      </c>
      <c r="S15" s="111" t="e">
        <f t="shared" si="6"/>
        <v>#VALUE!</v>
      </c>
      <c r="T15" s="111" t="e">
        <f t="shared" si="7"/>
        <v>#VALUE!</v>
      </c>
      <c r="U15" s="123" t="e">
        <f t="shared" si="8"/>
        <v>#VALUE!</v>
      </c>
      <c r="V15" s="123" t="e">
        <f t="shared" si="9"/>
        <v>#VALUE!</v>
      </c>
    </row>
    <row r="16" spans="1:22" x14ac:dyDescent="0.2">
      <c r="A16" s="68" t="s">
        <v>98</v>
      </c>
      <c r="B16" s="111" t="s">
        <v>199</v>
      </c>
      <c r="C16" s="111">
        <v>106</v>
      </c>
      <c r="D16" s="111">
        <v>54884</v>
      </c>
      <c r="E16" s="111">
        <v>45586</v>
      </c>
      <c r="F16" s="111">
        <v>2185</v>
      </c>
      <c r="G16" s="111">
        <f t="shared" si="0"/>
        <v>1179.8056155507559</v>
      </c>
      <c r="H16" s="111">
        <v>295.07</v>
      </c>
      <c r="I16" s="111">
        <v>0.77</v>
      </c>
      <c r="J16" s="111">
        <f t="shared" si="1"/>
        <v>227.2039</v>
      </c>
      <c r="K16" s="139">
        <f t="shared" si="2"/>
        <v>12.885536500000001</v>
      </c>
      <c r="L16" s="111">
        <v>6.1</v>
      </c>
      <c r="M16" s="111">
        <v>28.45</v>
      </c>
      <c r="N16" s="111">
        <v>28.45</v>
      </c>
      <c r="O16" s="111">
        <f t="shared" si="3"/>
        <v>28.45</v>
      </c>
      <c r="P16" s="111">
        <f t="shared" si="4"/>
        <v>27.827790384590386</v>
      </c>
      <c r="Q16" s="111">
        <f t="shared" si="5"/>
        <v>50235</v>
      </c>
      <c r="R16" s="111">
        <v>4.66</v>
      </c>
      <c r="S16" s="111">
        <f t="shared" si="6"/>
        <v>1.737359213345719E-5</v>
      </c>
      <c r="T16" s="111">
        <f t="shared" si="7"/>
        <v>738.46423998643809</v>
      </c>
      <c r="U16" s="123">
        <f t="shared" si="8"/>
        <v>1.3541617127166037</v>
      </c>
      <c r="V16" s="123">
        <f t="shared" si="9"/>
        <v>1.277511049732645E-2</v>
      </c>
    </row>
    <row r="17" spans="1:22" x14ac:dyDescent="0.2">
      <c r="A17" s="68" t="s">
        <v>157</v>
      </c>
      <c r="B17" s="111" t="s">
        <v>190</v>
      </c>
      <c r="C17" s="111">
        <v>162</v>
      </c>
      <c r="D17" s="111">
        <v>82644</v>
      </c>
      <c r="E17" s="111">
        <v>65952</v>
      </c>
      <c r="F17" s="111">
        <v>4842</v>
      </c>
      <c r="G17" s="111">
        <f t="shared" si="0"/>
        <v>2614.4708423326133</v>
      </c>
      <c r="H17" s="111">
        <v>295.07</v>
      </c>
      <c r="I17" s="111">
        <v>0.79</v>
      </c>
      <c r="J17" s="111">
        <f t="shared" si="1"/>
        <v>233.1053</v>
      </c>
      <c r="K17" s="139">
        <f t="shared" si="2"/>
        <v>13.7434818</v>
      </c>
      <c r="L17" s="111">
        <v>6.1</v>
      </c>
      <c r="M17" s="111">
        <v>35.92</v>
      </c>
      <c r="N17" s="111">
        <v>127</v>
      </c>
      <c r="O17" s="111">
        <f t="shared" si="3"/>
        <v>10.159420472440946</v>
      </c>
      <c r="P17" s="111">
        <f t="shared" si="4"/>
        <v>17.736434592428292</v>
      </c>
      <c r="Q17" s="111">
        <f t="shared" si="5"/>
        <v>74298</v>
      </c>
      <c r="R17" s="111">
        <v>8.4</v>
      </c>
      <c r="S17" s="111">
        <f t="shared" si="6"/>
        <v>1.571052490756755E-5</v>
      </c>
      <c r="T17" s="111">
        <f t="shared" si="7"/>
        <v>361.06188352190458</v>
      </c>
      <c r="U17" s="123">
        <f t="shared" si="8"/>
        <v>2.7696083293138112</v>
      </c>
      <c r="V17" s="123">
        <f t="shared" si="9"/>
        <v>1.7096347711813648E-2</v>
      </c>
    </row>
    <row r="18" spans="1:22" x14ac:dyDescent="0.2">
      <c r="A18" s="68" t="s">
        <v>95</v>
      </c>
      <c r="B18" s="111" t="s">
        <v>191</v>
      </c>
      <c r="C18" s="111">
        <v>180</v>
      </c>
      <c r="D18" s="111">
        <v>88314</v>
      </c>
      <c r="E18" s="111">
        <v>70987</v>
      </c>
      <c r="F18" s="111">
        <v>4630</v>
      </c>
      <c r="G18" s="111">
        <f t="shared" si="0"/>
        <v>2500</v>
      </c>
      <c r="H18" s="111">
        <v>295.07</v>
      </c>
      <c r="I18" s="111">
        <v>0.79</v>
      </c>
      <c r="J18" s="111">
        <f t="shared" si="1"/>
        <v>233.1053</v>
      </c>
      <c r="K18" s="139">
        <f t="shared" si="2"/>
        <v>13.675027</v>
      </c>
      <c r="L18" s="111">
        <v>6.1</v>
      </c>
      <c r="M18" s="111">
        <v>35.92</v>
      </c>
      <c r="N18" s="111">
        <v>127</v>
      </c>
      <c r="O18" s="111">
        <f t="shared" si="3"/>
        <v>10.159420472440946</v>
      </c>
      <c r="P18" s="111">
        <f t="shared" si="4"/>
        <v>17.648091325386766</v>
      </c>
      <c r="Q18" s="111">
        <f t="shared" si="5"/>
        <v>79650.5</v>
      </c>
      <c r="R18" s="111">
        <v>8.5</v>
      </c>
      <c r="S18" s="111">
        <f t="shared" si="6"/>
        <v>1.5677045096336464E-5</v>
      </c>
      <c r="T18" s="111">
        <f t="shared" si="7"/>
        <v>335.83671180355924</v>
      </c>
      <c r="U18" s="123">
        <f t="shared" si="8"/>
        <v>2.9776375388791005</v>
      </c>
      <c r="V18" s="123">
        <f t="shared" si="9"/>
        <v>1.654243077155056E-2</v>
      </c>
    </row>
    <row r="19" spans="1:22" x14ac:dyDescent="0.2">
      <c r="A19" s="68" t="s">
        <v>91</v>
      </c>
      <c r="B19" s="111" t="s">
        <v>200</v>
      </c>
      <c r="C19" s="111">
        <v>126</v>
      </c>
      <c r="D19" s="111">
        <v>61235</v>
      </c>
      <c r="E19" s="111">
        <v>48308</v>
      </c>
      <c r="F19" s="111">
        <v>3439</v>
      </c>
      <c r="G19" s="111">
        <f t="shared" si="0"/>
        <v>1856.9114470842333</v>
      </c>
      <c r="H19" s="111">
        <v>295.07</v>
      </c>
      <c r="I19" s="111">
        <v>0.745</v>
      </c>
      <c r="J19" s="111">
        <f t="shared" si="1"/>
        <v>219.82714999999999</v>
      </c>
      <c r="K19" s="139">
        <f t="shared" si="2"/>
        <v>13.290453100000001</v>
      </c>
      <c r="L19" s="111">
        <v>6.1</v>
      </c>
      <c r="M19" s="111">
        <v>28.88</v>
      </c>
      <c r="N19" s="111">
        <v>105.4</v>
      </c>
      <c r="O19" s="111">
        <f t="shared" si="3"/>
        <v>7.9132296015180259</v>
      </c>
      <c r="P19" s="111">
        <f t="shared" si="4"/>
        <v>15.137416243677912</v>
      </c>
      <c r="Q19" s="111">
        <f t="shared" si="5"/>
        <v>54771.5</v>
      </c>
      <c r="R19" s="111">
        <v>5.0999999999999996</v>
      </c>
      <c r="S19" s="111">
        <f t="shared" si="6"/>
        <v>1.6781390748074109E-5</v>
      </c>
      <c r="T19" s="111">
        <f t="shared" si="7"/>
        <v>369.04683953177204</v>
      </c>
      <c r="U19" s="123">
        <f t="shared" si="8"/>
        <v>2.7096831428464458</v>
      </c>
      <c r="V19" s="123">
        <f t="shared" si="9"/>
        <v>2.1505421768622586E-2</v>
      </c>
    </row>
    <row r="20" spans="1:22" x14ac:dyDescent="0.2">
      <c r="A20" s="68" t="s">
        <v>87</v>
      </c>
      <c r="B20" s="111" t="s">
        <v>200</v>
      </c>
      <c r="C20" s="111">
        <v>147</v>
      </c>
      <c r="D20" s="111">
        <v>68039</v>
      </c>
      <c r="E20" s="111">
        <v>53070</v>
      </c>
      <c r="F20" s="111">
        <v>3258</v>
      </c>
      <c r="G20" s="111">
        <f t="shared" si="0"/>
        <v>1759.1792656587472</v>
      </c>
      <c r="H20" s="111">
        <v>295.07</v>
      </c>
      <c r="I20" s="111">
        <v>0.745</v>
      </c>
      <c r="J20" s="111">
        <f t="shared" si="1"/>
        <v>219.82714999999999</v>
      </c>
      <c r="K20" s="139">
        <f t="shared" si="2"/>
        <v>13.232008199999999</v>
      </c>
      <c r="L20" s="111">
        <v>6.1</v>
      </c>
      <c r="M20" s="111">
        <v>28.88</v>
      </c>
      <c r="N20" s="111">
        <v>105.4</v>
      </c>
      <c r="O20" s="111">
        <f t="shared" si="3"/>
        <v>7.9132296015180259</v>
      </c>
      <c r="P20" s="111">
        <f t="shared" si="4"/>
        <v>15.070849304841179</v>
      </c>
      <c r="Q20" s="111">
        <f t="shared" si="5"/>
        <v>60554.5</v>
      </c>
      <c r="R20" s="111">
        <v>5.0999999999999996</v>
      </c>
      <c r="S20" s="111">
        <f t="shared" si="6"/>
        <v>1.6781390748074109E-5</v>
      </c>
      <c r="T20" s="111">
        <f t="shared" si="7"/>
        <v>332.33469036250699</v>
      </c>
      <c r="U20" s="123">
        <f t="shared" si="8"/>
        <v>3.0090147944206818</v>
      </c>
      <c r="V20" s="123">
        <f t="shared" si="9"/>
        <v>2.0469488397419605E-2</v>
      </c>
    </row>
    <row r="21" spans="1:22" x14ac:dyDescent="0.2">
      <c r="A21" s="68" t="s">
        <v>84</v>
      </c>
      <c r="B21" s="111" t="s">
        <v>200</v>
      </c>
      <c r="C21" s="111">
        <v>110</v>
      </c>
      <c r="D21" s="111">
        <v>60555</v>
      </c>
      <c r="E21" s="111">
        <v>46493</v>
      </c>
      <c r="F21" s="111">
        <v>2910</v>
      </c>
      <c r="G21" s="111">
        <f t="shared" si="0"/>
        <v>1571.2742980561554</v>
      </c>
      <c r="H21" s="111">
        <v>295.07</v>
      </c>
      <c r="I21" s="111">
        <v>0.745</v>
      </c>
      <c r="J21" s="111">
        <f t="shared" si="1"/>
        <v>219.82714999999999</v>
      </c>
      <c r="K21" s="139">
        <f t="shared" si="2"/>
        <v>13.119638999999999</v>
      </c>
      <c r="L21" s="111">
        <v>6.1</v>
      </c>
      <c r="M21" s="111">
        <v>28.88</v>
      </c>
      <c r="N21" s="111">
        <v>105.4</v>
      </c>
      <c r="O21" s="111">
        <f t="shared" si="3"/>
        <v>7.9132296015180259</v>
      </c>
      <c r="P21" s="111">
        <f t="shared" si="4"/>
        <v>14.94286425116614</v>
      </c>
      <c r="Q21" s="111">
        <f t="shared" si="5"/>
        <v>53524</v>
      </c>
      <c r="R21" s="111">
        <v>5.0999999999999996</v>
      </c>
      <c r="S21" s="111">
        <f t="shared" si="6"/>
        <v>1.6781390748074109E-5</v>
      </c>
      <c r="T21" s="111">
        <f t="shared" si="7"/>
        <v>372.79464150590422</v>
      </c>
      <c r="U21" s="123">
        <f t="shared" si="8"/>
        <v>2.6824419899398215</v>
      </c>
      <c r="V21" s="123">
        <f t="shared" si="9"/>
        <v>2.4385836272180196E-2</v>
      </c>
    </row>
    <row r="22" spans="1:22" x14ac:dyDescent="0.2">
      <c r="A22" s="68" t="s">
        <v>81</v>
      </c>
      <c r="B22" s="111" t="s">
        <v>201</v>
      </c>
      <c r="C22" s="111">
        <v>128</v>
      </c>
      <c r="D22" s="111">
        <v>70080</v>
      </c>
      <c r="E22" s="111">
        <v>55202</v>
      </c>
      <c r="F22" s="111">
        <v>3945</v>
      </c>
      <c r="G22" s="111">
        <f t="shared" si="0"/>
        <v>2130.1295896328293</v>
      </c>
      <c r="H22" s="111">
        <v>295.07</v>
      </c>
      <c r="I22" s="111">
        <v>0.78500000000000003</v>
      </c>
      <c r="J22" s="111">
        <f t="shared" si="1"/>
        <v>231.62995000000001</v>
      </c>
      <c r="K22" s="139">
        <f t="shared" si="2"/>
        <v>13.4538405</v>
      </c>
      <c r="L22" s="111">
        <v>6.1</v>
      </c>
      <c r="M22" s="111">
        <v>34.32</v>
      </c>
      <c r="N22" s="111">
        <v>125</v>
      </c>
      <c r="O22" s="111">
        <f t="shared" si="3"/>
        <v>9.4228991999999998</v>
      </c>
      <c r="P22" s="111">
        <f t="shared" si="4"/>
        <v>16.721438266852871</v>
      </c>
      <c r="Q22" s="111">
        <f t="shared" si="5"/>
        <v>62641</v>
      </c>
      <c r="R22" s="111">
        <v>5.4</v>
      </c>
      <c r="S22" s="111">
        <f t="shared" si="6"/>
        <v>1.70252854909455E-5</v>
      </c>
      <c r="T22" s="111">
        <f t="shared" si="7"/>
        <v>370.20838456205951</v>
      </c>
      <c r="U22" s="123">
        <f t="shared" si="8"/>
        <v>2.7011813932387208</v>
      </c>
      <c r="V22" s="123">
        <f t="shared" si="9"/>
        <v>2.1102979634677506E-2</v>
      </c>
    </row>
    <row r="23" spans="1:22" x14ac:dyDescent="0.2">
      <c r="A23" s="68" t="s">
        <v>79</v>
      </c>
      <c r="B23" s="111" t="s">
        <v>202</v>
      </c>
      <c r="C23" s="111">
        <v>160</v>
      </c>
      <c r="D23" s="111">
        <v>79016</v>
      </c>
      <c r="E23" s="111">
        <v>62732</v>
      </c>
      <c r="F23" s="111">
        <v>3750</v>
      </c>
      <c r="G23" s="111">
        <f t="shared" si="0"/>
        <v>2024.8380129589632</v>
      </c>
      <c r="H23" s="111">
        <v>295.07</v>
      </c>
      <c r="I23" s="111">
        <v>0.78500000000000003</v>
      </c>
      <c r="J23" s="111">
        <f t="shared" si="1"/>
        <v>231.62995000000001</v>
      </c>
      <c r="K23" s="139">
        <f t="shared" si="2"/>
        <v>13.390874999999999</v>
      </c>
      <c r="L23" s="111">
        <v>6.1</v>
      </c>
      <c r="M23" s="111">
        <v>34.32</v>
      </c>
      <c r="N23" s="111">
        <v>125</v>
      </c>
      <c r="O23" s="111">
        <f t="shared" si="3"/>
        <v>9.4228991999999998</v>
      </c>
      <c r="P23" s="111">
        <f t="shared" si="4"/>
        <v>16.64318003856545</v>
      </c>
      <c r="Q23" s="111">
        <f t="shared" si="5"/>
        <v>70874</v>
      </c>
      <c r="R23" s="111">
        <v>5.2</v>
      </c>
      <c r="S23" s="111">
        <f t="shared" si="6"/>
        <v>1.7153817462213707E-5</v>
      </c>
      <c r="T23" s="111">
        <f t="shared" si="7"/>
        <v>323.23195478461741</v>
      </c>
      <c r="U23" s="123">
        <f t="shared" si="8"/>
        <v>3.0937535265235163</v>
      </c>
      <c r="V23" s="123">
        <f t="shared" si="9"/>
        <v>1.9335959540771976E-2</v>
      </c>
    </row>
    <row r="24" spans="1:22" x14ac:dyDescent="0.2">
      <c r="A24" s="68" t="s">
        <v>77</v>
      </c>
      <c r="B24" s="111" t="s">
        <v>202</v>
      </c>
      <c r="C24" s="111">
        <v>177</v>
      </c>
      <c r="D24" s="111">
        <v>74389</v>
      </c>
      <c r="E24" s="111">
        <v>62732</v>
      </c>
      <c r="F24" s="111">
        <v>3704</v>
      </c>
      <c r="G24" s="111">
        <f t="shared" si="0"/>
        <v>2000</v>
      </c>
      <c r="H24" s="111">
        <v>295.07</v>
      </c>
      <c r="I24" s="111">
        <v>0.78500000000000003</v>
      </c>
      <c r="J24" s="111">
        <f t="shared" si="1"/>
        <v>231.62995000000001</v>
      </c>
      <c r="K24" s="139">
        <f t="shared" si="2"/>
        <v>13.3760216</v>
      </c>
      <c r="L24" s="111">
        <v>6.1</v>
      </c>
      <c r="M24" s="111">
        <v>34.32</v>
      </c>
      <c r="N24" s="111">
        <v>125</v>
      </c>
      <c r="O24" s="111">
        <f t="shared" si="3"/>
        <v>9.4228991999999998</v>
      </c>
      <c r="P24" s="111">
        <f t="shared" si="4"/>
        <v>16.624719123174572</v>
      </c>
      <c r="Q24" s="111">
        <f t="shared" si="5"/>
        <v>68560.5</v>
      </c>
      <c r="R24" s="111">
        <v>5.2</v>
      </c>
      <c r="S24" s="111">
        <f t="shared" si="6"/>
        <v>1.7153817462213707E-5</v>
      </c>
      <c r="T24" s="111">
        <f t="shared" si="7"/>
        <v>333.76843480133323</v>
      </c>
      <c r="U24" s="123">
        <f t="shared" si="8"/>
        <v>2.9960891915834504</v>
      </c>
      <c r="V24" s="123">
        <f t="shared" si="9"/>
        <v>1.6927057579567518E-2</v>
      </c>
    </row>
    <row r="25" spans="1:22" x14ac:dyDescent="0.2">
      <c r="A25" s="68" t="s">
        <v>74</v>
      </c>
      <c r="B25" s="111" t="s">
        <v>73</v>
      </c>
      <c r="C25" s="111">
        <v>416</v>
      </c>
      <c r="D25" s="111">
        <v>396894</v>
      </c>
      <c r="E25" s="111">
        <v>246074</v>
      </c>
      <c r="F25" s="111">
        <v>10570</v>
      </c>
      <c r="G25" s="111">
        <f t="shared" si="0"/>
        <v>5707.3434125269978</v>
      </c>
      <c r="H25" s="111">
        <v>295.07</v>
      </c>
      <c r="I25" s="111">
        <v>0.85</v>
      </c>
      <c r="J25" s="111">
        <f t="shared" si="1"/>
        <v>250.80949999999999</v>
      </c>
      <c r="K25" s="139">
        <f t="shared" si="2"/>
        <v>15.593053000000001</v>
      </c>
      <c r="L25" s="111">
        <v>6.1</v>
      </c>
      <c r="M25" s="111">
        <v>64.44</v>
      </c>
      <c r="N25" s="111">
        <v>541.20000000000005</v>
      </c>
      <c r="O25" s="111">
        <f t="shared" si="3"/>
        <v>7.6727893569844774</v>
      </c>
      <c r="P25" s="111">
        <f t="shared" si="4"/>
        <v>17.488109959550361</v>
      </c>
      <c r="Q25" s="111">
        <f t="shared" si="5"/>
        <v>321484</v>
      </c>
      <c r="R25" s="111">
        <v>5.0999999999999996</v>
      </c>
      <c r="S25" s="111">
        <f t="shared" si="6"/>
        <v>1.7934591490011828E-5</v>
      </c>
      <c r="T25" s="111">
        <f t="shared" si="7"/>
        <v>77.547356562947655</v>
      </c>
      <c r="U25" s="123">
        <f t="shared" si="8"/>
        <v>12.895346073960216</v>
      </c>
      <c r="V25" s="123">
        <f t="shared" si="9"/>
        <v>3.0998428062404364E-2</v>
      </c>
    </row>
    <row r="26" spans="1:22" x14ac:dyDescent="0.2">
      <c r="A26" s="68" t="s">
        <v>68</v>
      </c>
      <c r="B26" s="111" t="s">
        <v>203</v>
      </c>
      <c r="C26" s="111">
        <v>200</v>
      </c>
      <c r="D26" s="111">
        <v>108850</v>
      </c>
      <c r="E26" s="111">
        <v>83450</v>
      </c>
      <c r="F26" s="111">
        <v>4321</v>
      </c>
      <c r="G26" s="111">
        <f t="shared" si="0"/>
        <v>2333.1533477321814</v>
      </c>
      <c r="H26" s="111">
        <v>295.07</v>
      </c>
      <c r="I26" s="111">
        <v>0.8</v>
      </c>
      <c r="J26" s="111">
        <f t="shared" si="1"/>
        <v>236.05600000000001</v>
      </c>
      <c r="K26" s="139">
        <f t="shared" si="2"/>
        <v>13.5752509</v>
      </c>
      <c r="L26" s="111">
        <v>6.1</v>
      </c>
      <c r="M26" s="111">
        <v>38.049999999999997</v>
      </c>
      <c r="N26" s="111">
        <v>185.25</v>
      </c>
      <c r="O26" s="111">
        <f t="shared" si="3"/>
        <v>7.8153981106612678</v>
      </c>
      <c r="P26" s="111">
        <f t="shared" si="4"/>
        <v>15.365917612927561</v>
      </c>
      <c r="Q26" s="111">
        <f t="shared" si="5"/>
        <v>96150</v>
      </c>
      <c r="R26" s="111">
        <v>6.04</v>
      </c>
      <c r="S26" s="111">
        <f t="shared" si="6"/>
        <v>1.6819682010101327E-5</v>
      </c>
      <c r="T26" s="111">
        <f t="shared" si="7"/>
        <v>228.63223782266655</v>
      </c>
      <c r="U26" s="123">
        <f t="shared" si="8"/>
        <v>4.3738363824948756</v>
      </c>
      <c r="V26" s="123">
        <f t="shared" si="9"/>
        <v>2.1869181912474379E-2</v>
      </c>
    </row>
    <row r="27" spans="1:22" x14ac:dyDescent="0.2">
      <c r="A27" s="68" t="s">
        <v>0</v>
      </c>
      <c r="B27" s="111" t="s">
        <v>204</v>
      </c>
      <c r="C27" s="111">
        <v>261</v>
      </c>
      <c r="D27" s="111">
        <v>158758</v>
      </c>
      <c r="E27" s="111">
        <v>126099</v>
      </c>
      <c r="F27" s="111">
        <v>4260</v>
      </c>
      <c r="G27" s="111">
        <f t="shared" si="0"/>
        <v>2300.2159827213823</v>
      </c>
      <c r="H27" s="111">
        <v>295.07</v>
      </c>
      <c r="I27" s="111">
        <v>0.8</v>
      </c>
      <c r="J27" s="111">
        <f t="shared" si="1"/>
        <v>236.05600000000001</v>
      </c>
      <c r="K27" s="139">
        <f t="shared" si="2"/>
        <v>13.555554000000001</v>
      </c>
      <c r="L27" s="111">
        <v>6.1</v>
      </c>
      <c r="M27" s="111">
        <v>47.6</v>
      </c>
      <c r="N27" s="111">
        <v>283.35000000000002</v>
      </c>
      <c r="O27" s="111">
        <f t="shared" si="3"/>
        <v>7.9963296276689606</v>
      </c>
      <c r="P27" s="111">
        <f t="shared" si="4"/>
        <v>15.520213746447133</v>
      </c>
      <c r="Q27" s="111">
        <f t="shared" si="5"/>
        <v>142428.5</v>
      </c>
      <c r="R27" s="111">
        <v>5</v>
      </c>
      <c r="S27" s="111">
        <f t="shared" si="6"/>
        <v>1.74542019917247E-5</v>
      </c>
      <c r="T27" s="111">
        <f t="shared" si="7"/>
        <v>150.22659934897729</v>
      </c>
      <c r="U27" s="123">
        <f t="shared" si="8"/>
        <v>6.6566107755457748</v>
      </c>
      <c r="V27" s="123">
        <f t="shared" si="9"/>
        <v>2.550425584500297E-2</v>
      </c>
    </row>
    <row r="28" spans="1:22" x14ac:dyDescent="0.2">
      <c r="A28" s="68" t="s">
        <v>61</v>
      </c>
      <c r="B28" s="111" t="s">
        <v>205</v>
      </c>
      <c r="C28" s="111">
        <v>305</v>
      </c>
      <c r="D28" s="111">
        <v>242630</v>
      </c>
      <c r="E28" s="111">
        <v>190470</v>
      </c>
      <c r="F28" s="111">
        <v>6112</v>
      </c>
      <c r="G28" s="111">
        <f t="shared" si="0"/>
        <v>3300.2159827213823</v>
      </c>
      <c r="H28" s="111">
        <v>295.07</v>
      </c>
      <c r="I28" s="111">
        <v>0.84</v>
      </c>
      <c r="J28" s="111">
        <f t="shared" si="1"/>
        <v>247.85879999999997</v>
      </c>
      <c r="K28" s="139">
        <f t="shared" si="2"/>
        <v>14.1535648</v>
      </c>
      <c r="L28" s="111">
        <v>6.1</v>
      </c>
      <c r="M28" s="111">
        <v>60.9</v>
      </c>
      <c r="N28" s="111">
        <v>427.8</v>
      </c>
      <c r="O28" s="111">
        <f t="shared" si="3"/>
        <v>8.6694950911640944</v>
      </c>
      <c r="P28" s="111">
        <f t="shared" si="4"/>
        <v>16.873214309971878</v>
      </c>
      <c r="Q28" s="111">
        <f t="shared" si="5"/>
        <v>216550</v>
      </c>
      <c r="R28" s="111">
        <v>8.5</v>
      </c>
      <c r="S28" s="111">
        <f t="shared" si="6"/>
        <v>1.6225593933862471E-5</v>
      </c>
      <c r="T28" s="111">
        <f t="shared" si="7"/>
        <v>121.33172354619137</v>
      </c>
      <c r="U28" s="123">
        <f t="shared" si="8"/>
        <v>8.2418675905423591</v>
      </c>
      <c r="V28" s="123">
        <f t="shared" si="9"/>
        <v>2.7022516690302818E-2</v>
      </c>
    </row>
    <row r="29" spans="1:22" x14ac:dyDescent="0.2">
      <c r="A29" s="68" t="s">
        <v>60</v>
      </c>
      <c r="B29" s="111" t="s">
        <v>205</v>
      </c>
      <c r="C29" s="111">
        <v>305</v>
      </c>
      <c r="D29" s="111">
        <v>233600</v>
      </c>
      <c r="E29" s="111">
        <v>190500</v>
      </c>
      <c r="F29" s="111">
        <v>5848</v>
      </c>
      <c r="G29" s="111">
        <f t="shared" si="0"/>
        <v>3157.6673866090709</v>
      </c>
      <c r="H29" s="111">
        <v>295.07</v>
      </c>
      <c r="I29" s="111">
        <v>0.84</v>
      </c>
      <c r="J29" s="111">
        <f t="shared" si="1"/>
        <v>247.85879999999997</v>
      </c>
      <c r="K29" s="139">
        <f t="shared" si="2"/>
        <v>14.068319199999999</v>
      </c>
      <c r="L29" s="111">
        <v>6.1</v>
      </c>
      <c r="M29" s="111">
        <v>60.9</v>
      </c>
      <c r="N29" s="111">
        <v>427.8</v>
      </c>
      <c r="O29" s="111">
        <f t="shared" si="3"/>
        <v>8.6694950911640944</v>
      </c>
      <c r="P29" s="111">
        <f t="shared" si="4"/>
        <v>16.771588514767114</v>
      </c>
      <c r="Q29" s="111">
        <f t="shared" si="5"/>
        <v>212050</v>
      </c>
      <c r="R29" s="111">
        <v>8.5</v>
      </c>
      <c r="S29" s="111">
        <f t="shared" si="6"/>
        <v>1.6225593933862471E-5</v>
      </c>
      <c r="T29" s="111">
        <f t="shared" si="7"/>
        <v>123.16027619223414</v>
      </c>
      <c r="U29" s="123">
        <f t="shared" si="8"/>
        <v>8.1195011160835229</v>
      </c>
      <c r="V29" s="123">
        <f t="shared" si="9"/>
        <v>2.6621315134700074E-2</v>
      </c>
    </row>
    <row r="30" spans="1:22" x14ac:dyDescent="0.2">
      <c r="A30" s="68" t="s">
        <v>56</v>
      </c>
      <c r="B30" s="111" t="s">
        <v>193</v>
      </c>
      <c r="C30" s="111">
        <v>365</v>
      </c>
      <c r="D30" s="111">
        <v>351535</v>
      </c>
      <c r="E30" s="111">
        <v>237682</v>
      </c>
      <c r="F30" s="111">
        <v>10533</v>
      </c>
      <c r="G30" s="111">
        <f t="shared" si="0"/>
        <v>5687.3650107991361</v>
      </c>
      <c r="H30" s="111">
        <v>295.07</v>
      </c>
      <c r="I30" s="111">
        <v>0.84</v>
      </c>
      <c r="J30" s="111">
        <f t="shared" si="1"/>
        <v>247.85879999999997</v>
      </c>
      <c r="K30" s="139">
        <f t="shared" si="2"/>
        <v>15.5811057</v>
      </c>
      <c r="L30" s="111">
        <v>6.1</v>
      </c>
      <c r="M30" s="111">
        <v>64.8</v>
      </c>
      <c r="N30" s="111">
        <v>427.8</v>
      </c>
      <c r="O30" s="111">
        <f t="shared" si="3"/>
        <v>9.8154277699859751</v>
      </c>
      <c r="P30" s="111">
        <f t="shared" si="4"/>
        <v>19.764597387324443</v>
      </c>
      <c r="Q30" s="111">
        <f t="shared" si="5"/>
        <v>294608.5</v>
      </c>
      <c r="R30" s="111">
        <v>7.08</v>
      </c>
      <c r="S30" s="111">
        <f t="shared" si="6"/>
        <v>1.6760916506937446E-5</v>
      </c>
      <c r="T30" s="111">
        <f t="shared" si="7"/>
        <v>101.13006160797408</v>
      </c>
      <c r="U30" s="123">
        <f t="shared" si="8"/>
        <v>9.8882566083708419</v>
      </c>
      <c r="V30" s="123">
        <f t="shared" si="9"/>
        <v>2.7091113995536553E-2</v>
      </c>
    </row>
    <row r="31" spans="1:22" x14ac:dyDescent="0.2">
      <c r="A31" s="68" t="s">
        <v>54</v>
      </c>
      <c r="B31" s="111" t="s">
        <v>206</v>
      </c>
      <c r="C31" s="111">
        <v>242</v>
      </c>
      <c r="D31" s="111">
        <v>227930</v>
      </c>
      <c r="E31" s="111">
        <v>161025</v>
      </c>
      <c r="F31" s="111">
        <v>10186</v>
      </c>
      <c r="G31" s="111">
        <f t="shared" si="0"/>
        <v>5500</v>
      </c>
      <c r="H31" s="111">
        <v>295.07</v>
      </c>
      <c r="I31" s="111">
        <v>0.85</v>
      </c>
      <c r="J31" s="111">
        <f t="shared" si="1"/>
        <v>250.80949999999999</v>
      </c>
      <c r="K31" s="139">
        <f t="shared" si="2"/>
        <v>15.469059400000001</v>
      </c>
      <c r="L31" s="111">
        <v>6.1</v>
      </c>
      <c r="M31" s="111">
        <v>60.1</v>
      </c>
      <c r="N31" s="111">
        <v>325</v>
      </c>
      <c r="O31" s="111">
        <f t="shared" si="3"/>
        <v>11.113876923076925</v>
      </c>
      <c r="P31" s="111">
        <f t="shared" si="4"/>
        <v>20.88006186664046</v>
      </c>
      <c r="Q31" s="111">
        <f t="shared" si="5"/>
        <v>194477.5</v>
      </c>
      <c r="R31" s="111">
        <v>9</v>
      </c>
      <c r="S31" s="111">
        <f t="shared" si="6"/>
        <v>1.6175720469589285E-5</v>
      </c>
      <c r="T31" s="111">
        <f t="shared" si="7"/>
        <v>169.69684178823249</v>
      </c>
      <c r="U31" s="123">
        <f t="shared" si="8"/>
        <v>5.89286158458928</v>
      </c>
      <c r="V31" s="123">
        <f t="shared" si="9"/>
        <v>2.435066770491438E-2</v>
      </c>
    </row>
    <row r="32" spans="1:22" x14ac:dyDescent="0.2">
      <c r="A32" s="68" t="s">
        <v>53</v>
      </c>
      <c r="B32" s="111" t="s">
        <v>207</v>
      </c>
      <c r="C32" s="111">
        <v>290</v>
      </c>
      <c r="D32" s="111">
        <v>254011</v>
      </c>
      <c r="E32" s="111">
        <v>181437</v>
      </c>
      <c r="F32" s="111">
        <v>9714</v>
      </c>
      <c r="G32" s="111">
        <f t="shared" si="0"/>
        <v>5245.1403887688984</v>
      </c>
      <c r="H32" s="111">
        <v>295.07</v>
      </c>
      <c r="I32" s="111">
        <v>0.85</v>
      </c>
      <c r="J32" s="111">
        <f t="shared" si="1"/>
        <v>250.80949999999999</v>
      </c>
      <c r="K32" s="139">
        <f t="shared" si="2"/>
        <v>15.316650599999999</v>
      </c>
      <c r="L32" s="111">
        <v>6.1</v>
      </c>
      <c r="M32" s="111">
        <v>60.1</v>
      </c>
      <c r="N32" s="111">
        <v>325</v>
      </c>
      <c r="O32" s="111">
        <f t="shared" si="3"/>
        <v>11.113876923076925</v>
      </c>
      <c r="P32" s="111">
        <f t="shared" si="4"/>
        <v>20.674341202524293</v>
      </c>
      <c r="Q32" s="111">
        <f t="shared" si="5"/>
        <v>217724</v>
      </c>
      <c r="R32" s="111">
        <v>8.92</v>
      </c>
      <c r="S32" s="111">
        <f t="shared" si="6"/>
        <v>1.6200410592236603E-5</v>
      </c>
      <c r="T32" s="111">
        <f t="shared" si="7"/>
        <v>149.85606630395861</v>
      </c>
      <c r="U32" s="123">
        <f t="shared" si="8"/>
        <v>6.67306986406318</v>
      </c>
      <c r="V32" s="123">
        <f t="shared" si="9"/>
        <v>2.3010585738148896E-2</v>
      </c>
    </row>
    <row r="33" spans="1:22" x14ac:dyDescent="0.2">
      <c r="A33" s="68" t="s">
        <v>48</v>
      </c>
      <c r="B33" s="111" t="s">
        <v>47</v>
      </c>
      <c r="C33" s="111">
        <v>143</v>
      </c>
      <c r="D33" s="111">
        <v>63504</v>
      </c>
      <c r="E33" s="111">
        <v>50802</v>
      </c>
      <c r="F33" s="111">
        <v>2621</v>
      </c>
      <c r="G33" s="111">
        <f t="shared" si="0"/>
        <v>1415.2267818574514</v>
      </c>
      <c r="H33" s="111">
        <v>295.07</v>
      </c>
      <c r="I33" s="111">
        <v>0.76</v>
      </c>
      <c r="J33" s="111">
        <f t="shared" si="1"/>
        <v>224.25319999999999</v>
      </c>
      <c r="K33" s="139">
        <f t="shared" si="2"/>
        <v>13.0263209</v>
      </c>
      <c r="L33" s="111">
        <v>6.1</v>
      </c>
      <c r="M33" s="111">
        <v>32.799999999999997</v>
      </c>
      <c r="N33" s="111">
        <v>112.3</v>
      </c>
      <c r="O33" s="111">
        <f t="shared" si="3"/>
        <v>9.580053428317008</v>
      </c>
      <c r="P33" s="111">
        <f t="shared" si="4"/>
        <v>16.324535053173477</v>
      </c>
      <c r="Q33" s="111">
        <f t="shared" si="5"/>
        <v>57153</v>
      </c>
      <c r="R33" s="111">
        <v>1.8</v>
      </c>
      <c r="S33" s="111">
        <f t="shared" si="6"/>
        <v>2.1408349653861717E-5</v>
      </c>
      <c r="T33" s="111">
        <f t="shared" si="7"/>
        <v>304.99185494432879</v>
      </c>
      <c r="U33" s="123">
        <f t="shared" si="8"/>
        <v>3.2787760846352221</v>
      </c>
      <c r="V33" s="123">
        <f t="shared" si="9"/>
        <v>2.2928504088358195E-2</v>
      </c>
    </row>
    <row r="34" spans="1:22" x14ac:dyDescent="0.2">
      <c r="A34" s="68" t="s">
        <v>159</v>
      </c>
      <c r="B34" s="111" t="s">
        <v>208</v>
      </c>
      <c r="C34" s="111">
        <v>50</v>
      </c>
      <c r="D34" s="111">
        <v>21523</v>
      </c>
      <c r="E34" s="111">
        <v>19142</v>
      </c>
      <c r="F34" s="111">
        <v>1019</v>
      </c>
      <c r="G34" s="111">
        <f t="shared" si="0"/>
        <v>550.21598272138226</v>
      </c>
      <c r="H34" s="111">
        <v>295.07</v>
      </c>
      <c r="I34" s="111">
        <v>0.74</v>
      </c>
      <c r="J34" s="111">
        <f t="shared" si="1"/>
        <v>218.3518</v>
      </c>
      <c r="K34" s="139">
        <f t="shared" si="2"/>
        <v>12.5090351</v>
      </c>
      <c r="L34" s="111">
        <v>6.1</v>
      </c>
      <c r="M34" s="111">
        <v>21.23</v>
      </c>
      <c r="N34" s="111">
        <v>48.35</v>
      </c>
      <c r="O34" s="111">
        <f t="shared" si="3"/>
        <v>9.3218800413650467</v>
      </c>
      <c r="P34" s="111">
        <f t="shared" si="4"/>
        <v>15.463601474322411</v>
      </c>
      <c r="Q34" s="111">
        <f t="shared" si="5"/>
        <v>20332.5</v>
      </c>
      <c r="R34" s="111">
        <v>6.25</v>
      </c>
      <c r="S34" s="111">
        <f t="shared" si="6"/>
        <v>1.6051237986618103E-5</v>
      </c>
      <c r="T34" s="111">
        <f t="shared" si="7"/>
        <v>1054.6275269515979</v>
      </c>
      <c r="U34" s="123">
        <f t="shared" si="8"/>
        <v>0.94820206607967183</v>
      </c>
      <c r="V34" s="123">
        <f t="shared" si="9"/>
        <v>1.8964041321593437E-2</v>
      </c>
    </row>
    <row r="35" spans="1:22" x14ac:dyDescent="0.2">
      <c r="A35" s="68" t="s">
        <v>158</v>
      </c>
      <c r="B35" s="111" t="s">
        <v>208</v>
      </c>
      <c r="C35" s="111">
        <v>50</v>
      </c>
      <c r="D35" s="111">
        <v>21523</v>
      </c>
      <c r="E35" s="111">
        <v>19142</v>
      </c>
      <c r="F35" s="111">
        <v>1061</v>
      </c>
      <c r="G35" s="111">
        <f t="shared" si="0"/>
        <v>572.89416846652261</v>
      </c>
      <c r="H35" s="111">
        <v>295.07</v>
      </c>
      <c r="I35" s="111">
        <v>0.74</v>
      </c>
      <c r="J35" s="111">
        <f t="shared" si="1"/>
        <v>218.3518</v>
      </c>
      <c r="K35" s="139">
        <f t="shared" si="2"/>
        <v>12.5225969</v>
      </c>
      <c r="L35" s="111">
        <v>6.1</v>
      </c>
      <c r="M35" s="111">
        <v>21.23</v>
      </c>
      <c r="N35" s="111">
        <v>48.35</v>
      </c>
      <c r="O35" s="111">
        <f t="shared" si="3"/>
        <v>9.3218800413650467</v>
      </c>
      <c r="P35" s="111">
        <f t="shared" si="4"/>
        <v>15.480366498067085</v>
      </c>
      <c r="Q35" s="111">
        <f t="shared" si="5"/>
        <v>20332.5</v>
      </c>
      <c r="R35" s="111">
        <v>6.25</v>
      </c>
      <c r="S35" s="111">
        <f t="shared" si="6"/>
        <v>1.6051237986618103E-5</v>
      </c>
      <c r="T35" s="111">
        <f t="shared" si="7"/>
        <v>1055.770912311114</v>
      </c>
      <c r="U35" s="123">
        <f t="shared" si="8"/>
        <v>0.94717517629934533</v>
      </c>
      <c r="V35" s="123">
        <f t="shared" si="9"/>
        <v>1.8943503525986907E-2</v>
      </c>
    </row>
    <row r="36" spans="1:22" x14ac:dyDescent="0.2">
      <c r="A36" s="68" t="s">
        <v>39</v>
      </c>
      <c r="B36" s="111" t="s">
        <v>38</v>
      </c>
      <c r="C36" s="111">
        <v>78</v>
      </c>
      <c r="D36" s="111">
        <v>32995</v>
      </c>
      <c r="E36" s="111">
        <v>28259</v>
      </c>
      <c r="F36" s="111">
        <v>1759</v>
      </c>
      <c r="G36" s="111">
        <f t="shared" si="0"/>
        <v>949.78401727861763</v>
      </c>
      <c r="H36" s="111">
        <v>295.07</v>
      </c>
      <c r="I36" s="111">
        <v>0.78</v>
      </c>
      <c r="J36" s="111">
        <f t="shared" si="1"/>
        <v>230.15460000000002</v>
      </c>
      <c r="K36" s="139">
        <f t="shared" si="2"/>
        <v>12.747981100000001</v>
      </c>
      <c r="L36" s="111">
        <v>6.1</v>
      </c>
      <c r="M36" s="111">
        <v>24.85</v>
      </c>
      <c r="N36" s="111">
        <v>70.599999999999994</v>
      </c>
      <c r="O36" s="111">
        <f t="shared" si="3"/>
        <v>8.7467776203966014</v>
      </c>
      <c r="P36" s="111">
        <f t="shared" si="4"/>
        <v>15.265131012196539</v>
      </c>
      <c r="Q36" s="111">
        <f t="shared" si="5"/>
        <v>30627</v>
      </c>
      <c r="R36" s="111">
        <v>5.13</v>
      </c>
      <c r="S36" s="111">
        <f t="shared" si="6"/>
        <v>1.7145534091199536E-5</v>
      </c>
      <c r="T36" s="111">
        <f t="shared" si="7"/>
        <v>682.01780285421705</v>
      </c>
      <c r="U36" s="123">
        <f t="shared" si="8"/>
        <v>1.466237385321967</v>
      </c>
      <c r="V36" s="123">
        <f t="shared" si="9"/>
        <v>1.8797915196435474E-2</v>
      </c>
    </row>
    <row r="37" spans="1:22" x14ac:dyDescent="0.2">
      <c r="A37" s="68" t="s">
        <v>37</v>
      </c>
      <c r="B37" s="111" t="s">
        <v>36</v>
      </c>
      <c r="C37" s="111">
        <v>90</v>
      </c>
      <c r="D37" s="111">
        <v>38329</v>
      </c>
      <c r="E37" s="111">
        <v>31752</v>
      </c>
      <c r="F37" s="111">
        <v>1926</v>
      </c>
      <c r="G37" s="111">
        <f t="shared" si="0"/>
        <v>1039.9568034557235</v>
      </c>
      <c r="H37" s="111">
        <v>295.07</v>
      </c>
      <c r="I37" s="111">
        <v>0.78</v>
      </c>
      <c r="J37" s="111">
        <f t="shared" si="1"/>
        <v>230.15460000000002</v>
      </c>
      <c r="K37" s="139">
        <f t="shared" si="2"/>
        <v>12.801905399999999</v>
      </c>
      <c r="L37" s="111">
        <v>6.1</v>
      </c>
      <c r="M37" s="111">
        <v>24.85</v>
      </c>
      <c r="N37" s="111">
        <v>71.099999999999994</v>
      </c>
      <c r="O37" s="111">
        <f t="shared" si="3"/>
        <v>8.6852672292545723</v>
      </c>
      <c r="P37" s="111">
        <f t="shared" si="4"/>
        <v>15.275705915499984</v>
      </c>
      <c r="Q37" s="111">
        <f t="shared" si="5"/>
        <v>35040.5</v>
      </c>
      <c r="R37" s="111">
        <v>5.13</v>
      </c>
      <c r="S37" s="111">
        <f t="shared" si="6"/>
        <v>1.7145534091199536E-5</v>
      </c>
      <c r="T37" s="111">
        <f t="shared" si="7"/>
        <v>596.52771787390554</v>
      </c>
      <c r="U37" s="123">
        <f t="shared" si="8"/>
        <v>1.6763680379582642</v>
      </c>
      <c r="V37" s="123">
        <f t="shared" si="9"/>
        <v>1.8626311532869602E-2</v>
      </c>
    </row>
    <row r="38" spans="1:22" x14ac:dyDescent="0.2">
      <c r="A38" s="68" t="s">
        <v>35</v>
      </c>
      <c r="B38" s="111" t="s">
        <v>36</v>
      </c>
      <c r="C38" s="111">
        <v>104</v>
      </c>
      <c r="D38" s="111">
        <v>41640</v>
      </c>
      <c r="E38" s="111">
        <v>35153</v>
      </c>
      <c r="F38" s="111">
        <v>2222</v>
      </c>
      <c r="G38" s="111">
        <f t="shared" si="0"/>
        <v>1199.7840172786177</v>
      </c>
      <c r="H38" s="111">
        <v>295.07</v>
      </c>
      <c r="I38" s="111">
        <v>0.78</v>
      </c>
      <c r="J38" s="111">
        <f t="shared" si="1"/>
        <v>230.15460000000002</v>
      </c>
      <c r="K38" s="139">
        <f t="shared" si="2"/>
        <v>12.8974838</v>
      </c>
      <c r="L38" s="111">
        <v>6.1</v>
      </c>
      <c r="M38" s="111">
        <v>26.18</v>
      </c>
      <c r="N38" s="111">
        <v>77.400000000000006</v>
      </c>
      <c r="O38" s="111">
        <f t="shared" si="3"/>
        <v>8.8551989664082669</v>
      </c>
      <c r="P38" s="111">
        <f t="shared" si="4"/>
        <v>15.539578525690906</v>
      </c>
      <c r="Q38" s="111">
        <f t="shared" si="5"/>
        <v>38396.5</v>
      </c>
      <c r="R38" s="111">
        <v>5.13</v>
      </c>
      <c r="S38" s="111">
        <f t="shared" si="6"/>
        <v>1.7145534091199536E-5</v>
      </c>
      <c r="T38" s="111">
        <f t="shared" si="7"/>
        <v>553.79270534309342</v>
      </c>
      <c r="U38" s="123">
        <f t="shared" si="8"/>
        <v>1.8057298161420634</v>
      </c>
      <c r="V38" s="123">
        <f t="shared" si="9"/>
        <v>1.7362786693673686E-2</v>
      </c>
    </row>
    <row r="39" spans="1:22" x14ac:dyDescent="0.2">
      <c r="A39" s="68" t="s">
        <v>34</v>
      </c>
      <c r="B39" s="111" t="s">
        <v>223</v>
      </c>
      <c r="C39" s="111">
        <v>37</v>
      </c>
      <c r="D39" s="111">
        <v>15650</v>
      </c>
      <c r="E39" s="111">
        <v>14061</v>
      </c>
      <c r="F39" s="111">
        <v>926</v>
      </c>
      <c r="G39" s="111">
        <f t="shared" si="0"/>
        <v>500</v>
      </c>
      <c r="H39" s="111">
        <v>295.07</v>
      </c>
      <c r="I39" s="135" t="s">
        <v>226</v>
      </c>
      <c r="J39" s="111">
        <f>500/3.6</f>
        <v>138.88888888888889</v>
      </c>
      <c r="K39" s="139">
        <f t="shared" si="2"/>
        <v>12.4790054</v>
      </c>
      <c r="L39" s="111">
        <v>6.1</v>
      </c>
      <c r="M39" s="111">
        <v>25.91</v>
      </c>
      <c r="N39" s="111">
        <v>54.4</v>
      </c>
      <c r="O39" s="111">
        <f t="shared" si="3"/>
        <v>12.340590073529413</v>
      </c>
      <c r="P39" s="111">
        <f t="shared" si="4"/>
        <v>17.749373087898174</v>
      </c>
      <c r="Q39" s="111">
        <f t="shared" si="5"/>
        <v>14855.5</v>
      </c>
      <c r="R39" s="135" t="s">
        <v>226</v>
      </c>
      <c r="S39" s="111" t="e">
        <f t="shared" si="6"/>
        <v>#VALUE!</v>
      </c>
      <c r="T39" s="111" t="e">
        <f t="shared" si="7"/>
        <v>#VALUE!</v>
      </c>
      <c r="U39" s="123" t="e">
        <f t="shared" si="8"/>
        <v>#VALUE!</v>
      </c>
      <c r="V39" s="123" t="e">
        <f t="shared" si="9"/>
        <v>#VALUE!</v>
      </c>
    </row>
    <row r="40" spans="1:22" x14ac:dyDescent="0.2">
      <c r="A40" s="68" t="s">
        <v>44</v>
      </c>
      <c r="B40" s="111" t="s">
        <v>224</v>
      </c>
      <c r="C40" s="111">
        <v>50</v>
      </c>
      <c r="D40" s="111">
        <v>19500</v>
      </c>
      <c r="E40" s="111">
        <v>17920</v>
      </c>
      <c r="F40" s="111">
        <v>715</v>
      </c>
      <c r="G40" s="111">
        <f t="shared" si="0"/>
        <v>386.06911447084229</v>
      </c>
      <c r="H40" s="111">
        <v>295.07</v>
      </c>
      <c r="I40" s="135" t="s">
        <v>226</v>
      </c>
      <c r="J40" s="111">
        <f>528/3.6</f>
        <v>146.66666666666666</v>
      </c>
      <c r="K40" s="139">
        <f t="shared" si="2"/>
        <v>12.410873499999999</v>
      </c>
      <c r="L40" s="111">
        <v>6.1</v>
      </c>
      <c r="M40" s="111">
        <v>27.43</v>
      </c>
      <c r="N40" s="111">
        <v>56.2</v>
      </c>
      <c r="O40" s="111">
        <f t="shared" si="3"/>
        <v>13.387987544483986</v>
      </c>
      <c r="P40" s="111">
        <f t="shared" si="4"/>
        <v>18.386331300186953</v>
      </c>
      <c r="Q40" s="111">
        <f t="shared" si="5"/>
        <v>18710</v>
      </c>
      <c r="R40" s="135" t="s">
        <v>226</v>
      </c>
      <c r="S40" s="111" t="e">
        <f t="shared" si="6"/>
        <v>#VALUE!</v>
      </c>
      <c r="T40" s="111" t="e">
        <f t="shared" si="7"/>
        <v>#VALUE!</v>
      </c>
      <c r="U40" s="123" t="e">
        <f t="shared" si="8"/>
        <v>#VALUE!</v>
      </c>
      <c r="V40" s="123" t="e">
        <f t="shared" si="9"/>
        <v>#VALUE!</v>
      </c>
    </row>
    <row r="41" spans="1:22" x14ac:dyDescent="0.2">
      <c r="A41" s="68" t="s">
        <v>32</v>
      </c>
      <c r="B41" s="111" t="s">
        <v>31</v>
      </c>
      <c r="C41" s="111">
        <v>82</v>
      </c>
      <c r="D41" s="111">
        <v>29257</v>
      </c>
      <c r="E41" s="111">
        <v>25855</v>
      </c>
      <c r="F41" s="111">
        <v>1396</v>
      </c>
      <c r="G41" s="111">
        <f t="shared" si="0"/>
        <v>753.77969762419002</v>
      </c>
      <c r="H41" s="111">
        <v>295.07</v>
      </c>
      <c r="I41" s="135" t="s">
        <v>226</v>
      </c>
      <c r="J41" s="111">
        <f>670/3.6</f>
        <v>186.11111111111111</v>
      </c>
      <c r="K41" s="139">
        <f t="shared" si="2"/>
        <v>12.630768399999999</v>
      </c>
      <c r="L41" s="111">
        <v>6.1</v>
      </c>
      <c r="M41" s="111">
        <v>28.42</v>
      </c>
      <c r="N41" s="111">
        <v>63.1</v>
      </c>
      <c r="O41" s="111">
        <f t="shared" si="3"/>
        <v>12.800259904912838</v>
      </c>
      <c r="P41" s="111">
        <f t="shared" si="4"/>
        <v>18.296762398652131</v>
      </c>
      <c r="Q41" s="111">
        <f t="shared" si="5"/>
        <v>27556</v>
      </c>
      <c r="R41" s="135" t="s">
        <v>226</v>
      </c>
      <c r="S41" s="111" t="e">
        <f t="shared" si="6"/>
        <v>#VALUE!</v>
      </c>
      <c r="T41" s="111" t="e">
        <f t="shared" si="7"/>
        <v>#VALUE!</v>
      </c>
      <c r="U41" s="123" t="e">
        <f t="shared" si="8"/>
        <v>#VALUE!</v>
      </c>
      <c r="V41" s="123" t="e">
        <f t="shared" si="9"/>
        <v>#VALUE!</v>
      </c>
    </row>
    <row r="42" spans="1:22" x14ac:dyDescent="0.2">
      <c r="A42" s="68" t="s">
        <v>30</v>
      </c>
      <c r="B42" s="111" t="s">
        <v>29</v>
      </c>
      <c r="C42" s="111">
        <v>19</v>
      </c>
      <c r="D42" s="111">
        <v>5670</v>
      </c>
      <c r="E42" s="111">
        <v>4581</v>
      </c>
      <c r="F42" s="111">
        <v>92.6</v>
      </c>
      <c r="G42" s="111">
        <f t="shared" si="0"/>
        <v>49.999999999999993</v>
      </c>
      <c r="H42" s="111">
        <v>295.07</v>
      </c>
      <c r="I42" s="135" t="s">
        <v>226</v>
      </c>
      <c r="J42" s="111">
        <f>348/3.6</f>
        <v>96.666666666666657</v>
      </c>
      <c r="K42" s="139">
        <f t="shared" si="2"/>
        <v>12.20990054</v>
      </c>
      <c r="L42" s="111">
        <v>6.1</v>
      </c>
      <c r="M42" s="111">
        <v>19.809999999999999</v>
      </c>
      <c r="N42" s="111">
        <v>39.020000000000003</v>
      </c>
      <c r="O42" s="111">
        <f t="shared" si="3"/>
        <v>10.057306509482315</v>
      </c>
      <c r="P42" s="111">
        <f t="shared" si="4"/>
        <v>15.677905839219788</v>
      </c>
      <c r="Q42" s="111">
        <f t="shared" si="5"/>
        <v>5125.5</v>
      </c>
      <c r="R42" s="135" t="s">
        <v>226</v>
      </c>
      <c r="S42" s="111" t="e">
        <f t="shared" si="6"/>
        <v>#VALUE!</v>
      </c>
      <c r="T42" s="111" t="e">
        <f t="shared" si="7"/>
        <v>#VALUE!</v>
      </c>
      <c r="U42" s="123" t="e">
        <f t="shared" si="8"/>
        <v>#VALUE!</v>
      </c>
      <c r="V42" s="123" t="e">
        <f t="shared" si="9"/>
        <v>#VALUE!</v>
      </c>
    </row>
    <row r="43" spans="1:22" x14ac:dyDescent="0.2">
      <c r="A43" s="68" t="s">
        <v>26</v>
      </c>
      <c r="B43" s="111" t="s">
        <v>209</v>
      </c>
      <c r="C43" s="111">
        <v>74</v>
      </c>
      <c r="D43" s="111">
        <v>35990</v>
      </c>
      <c r="E43" s="111">
        <v>29600</v>
      </c>
      <c r="F43" s="111">
        <v>1945</v>
      </c>
      <c r="G43" s="111">
        <f t="shared" si="0"/>
        <v>1050.2159827213823</v>
      </c>
      <c r="H43" s="111">
        <v>295.07</v>
      </c>
      <c r="I43" s="111">
        <v>0.75</v>
      </c>
      <c r="J43" s="111">
        <f t="shared" si="1"/>
        <v>221.30250000000001</v>
      </c>
      <c r="K43" s="139">
        <f t="shared" si="2"/>
        <v>12.808040500000001</v>
      </c>
      <c r="L43" s="111">
        <v>6.1</v>
      </c>
      <c r="M43" s="111">
        <v>26</v>
      </c>
      <c r="N43" s="111">
        <v>72.72</v>
      </c>
      <c r="O43" s="111">
        <f t="shared" si="3"/>
        <v>9.2959295929592969</v>
      </c>
      <c r="P43" s="111">
        <f t="shared" si="4"/>
        <v>15.811176529928334</v>
      </c>
      <c r="Q43" s="111">
        <f t="shared" si="5"/>
        <v>32795</v>
      </c>
      <c r="R43" s="111">
        <v>5.13</v>
      </c>
      <c r="S43" s="111">
        <f t="shared" si="6"/>
        <v>1.6816052261751692E-5</v>
      </c>
      <c r="T43" s="111">
        <f t="shared" si="7"/>
        <v>646.7699245741984</v>
      </c>
      <c r="U43" s="123">
        <f t="shared" si="8"/>
        <v>1.5461448685301051</v>
      </c>
      <c r="V43" s="123">
        <f t="shared" si="9"/>
        <v>2.0893849574731151E-2</v>
      </c>
    </row>
    <row r="44" spans="1:22" x14ac:dyDescent="0.2">
      <c r="A44" s="68" t="s">
        <v>25</v>
      </c>
      <c r="B44" s="111" t="s">
        <v>209</v>
      </c>
      <c r="C44" s="111">
        <v>78</v>
      </c>
      <c r="D44" s="111">
        <v>37500</v>
      </c>
      <c r="E44" s="111">
        <v>31700</v>
      </c>
      <c r="F44" s="111">
        <v>1815</v>
      </c>
      <c r="G44" s="111">
        <f t="shared" si="0"/>
        <v>980.02159827213814</v>
      </c>
      <c r="H44" s="111">
        <v>295.07</v>
      </c>
      <c r="I44" s="111">
        <v>0.75</v>
      </c>
      <c r="J44" s="111">
        <f t="shared" si="1"/>
        <v>221.30250000000001</v>
      </c>
      <c r="K44" s="139">
        <f t="shared" si="2"/>
        <v>12.7660635</v>
      </c>
      <c r="L44" s="111">
        <v>6.1</v>
      </c>
      <c r="M44" s="111">
        <v>26</v>
      </c>
      <c r="N44" s="111">
        <v>72.72</v>
      </c>
      <c r="O44" s="111">
        <f t="shared" si="3"/>
        <v>9.2959295929592969</v>
      </c>
      <c r="P44" s="111">
        <f t="shared" si="4"/>
        <v>15.759357068770571</v>
      </c>
      <c r="Q44" s="111">
        <f t="shared" si="5"/>
        <v>34600</v>
      </c>
      <c r="R44" s="111">
        <v>5.13</v>
      </c>
      <c r="S44" s="111">
        <f t="shared" si="6"/>
        <v>1.6816052261751692E-5</v>
      </c>
      <c r="T44" s="111">
        <f t="shared" si="7"/>
        <v>611.02033107315572</v>
      </c>
      <c r="U44" s="123">
        <f t="shared" si="8"/>
        <v>1.6366067529106045</v>
      </c>
      <c r="V44" s="123">
        <f t="shared" si="9"/>
        <v>2.0982137857828265E-2</v>
      </c>
    </row>
    <row r="45" spans="1:22" x14ac:dyDescent="0.2">
      <c r="A45" s="68" t="s">
        <v>23</v>
      </c>
      <c r="B45" s="111" t="s">
        <v>210</v>
      </c>
      <c r="C45" s="111">
        <v>100</v>
      </c>
      <c r="D45" s="111">
        <v>47790</v>
      </c>
      <c r="E45" s="111">
        <v>40800</v>
      </c>
      <c r="F45" s="111">
        <v>1801</v>
      </c>
      <c r="G45" s="111">
        <f t="shared" si="0"/>
        <v>972.46220302375809</v>
      </c>
      <c r="H45" s="111">
        <v>295.07</v>
      </c>
      <c r="I45" s="111">
        <v>0.78</v>
      </c>
      <c r="J45" s="111">
        <f t="shared" si="1"/>
        <v>230.15460000000002</v>
      </c>
      <c r="K45" s="139">
        <f t="shared" si="2"/>
        <v>12.7615429</v>
      </c>
      <c r="L45" s="111">
        <v>6.1</v>
      </c>
      <c r="M45" s="111">
        <v>36.24</v>
      </c>
      <c r="N45" s="111">
        <v>92.53</v>
      </c>
      <c r="O45" s="111">
        <f t="shared" si="3"/>
        <v>14.193640981303362</v>
      </c>
      <c r="P45" s="111">
        <f t="shared" si="4"/>
        <v>19.466379025885086</v>
      </c>
      <c r="Q45" s="111">
        <f t="shared" si="5"/>
        <v>44295</v>
      </c>
      <c r="R45" s="111">
        <v>5.09</v>
      </c>
      <c r="S45" s="111">
        <f t="shared" si="6"/>
        <v>1.7172580349149997E-5</v>
      </c>
      <c r="T45" s="111">
        <f t="shared" si="7"/>
        <v>600.40674718987168</v>
      </c>
      <c r="U45" s="123">
        <f t="shared" si="8"/>
        <v>1.6655375787836735</v>
      </c>
      <c r="V45" s="123">
        <f t="shared" si="9"/>
        <v>1.6655375787836733E-2</v>
      </c>
    </row>
    <row r="46" spans="1:22" x14ac:dyDescent="0.2">
      <c r="A46" s="68" t="s">
        <v>19</v>
      </c>
      <c r="B46" s="111" t="s">
        <v>210</v>
      </c>
      <c r="C46" s="111">
        <v>124</v>
      </c>
      <c r="D46" s="111">
        <v>48790</v>
      </c>
      <c r="E46" s="111">
        <v>42500</v>
      </c>
      <c r="F46" s="111">
        <v>1482</v>
      </c>
      <c r="G46" s="111">
        <f t="shared" si="0"/>
        <v>800.21598272138226</v>
      </c>
      <c r="H46" s="111">
        <v>295.07</v>
      </c>
      <c r="I46" s="111">
        <v>0.78</v>
      </c>
      <c r="J46" s="111">
        <f t="shared" si="1"/>
        <v>230.15460000000002</v>
      </c>
      <c r="K46" s="139">
        <f t="shared" si="2"/>
        <v>12.6585378</v>
      </c>
      <c r="L46" s="111">
        <v>6.1</v>
      </c>
      <c r="M46" s="111">
        <v>38.65</v>
      </c>
      <c r="N46" s="111">
        <v>92.52</v>
      </c>
      <c r="O46" s="111">
        <f t="shared" si="3"/>
        <v>16.145941418071768</v>
      </c>
      <c r="P46" s="111">
        <f t="shared" si="4"/>
        <v>20.594455378387813</v>
      </c>
      <c r="Q46" s="111">
        <f t="shared" si="5"/>
        <v>45645</v>
      </c>
      <c r="R46" s="111">
        <v>5.09</v>
      </c>
      <c r="S46" s="111">
        <f t="shared" si="6"/>
        <v>1.7172580349149997E-5</v>
      </c>
      <c r="T46" s="111">
        <f t="shared" si="7"/>
        <v>616.41357581082627</v>
      </c>
      <c r="U46" s="123">
        <f t="shared" si="8"/>
        <v>1.6222874369445979</v>
      </c>
      <c r="V46" s="123">
        <f t="shared" si="9"/>
        <v>1.3082963201166111E-2</v>
      </c>
    </row>
    <row r="47" spans="1:22" x14ac:dyDescent="0.2">
      <c r="A47" s="68" t="s">
        <v>17</v>
      </c>
      <c r="B47" s="111" t="s">
        <v>16</v>
      </c>
      <c r="C47" s="111">
        <v>104</v>
      </c>
      <c r="D47" s="111">
        <v>61500</v>
      </c>
      <c r="E47" s="111">
        <v>51850</v>
      </c>
      <c r="F47" s="111">
        <v>3519</v>
      </c>
      <c r="G47" s="111">
        <f t="shared" si="0"/>
        <v>1900.1079913606911</v>
      </c>
      <c r="H47" s="111">
        <v>295.07</v>
      </c>
      <c r="I47" s="111">
        <v>0.78</v>
      </c>
      <c r="J47" s="111">
        <f t="shared" si="1"/>
        <v>230.15460000000002</v>
      </c>
      <c r="K47" s="139">
        <f t="shared" si="2"/>
        <v>13.3162851</v>
      </c>
      <c r="L47" s="111">
        <v>6.1</v>
      </c>
      <c r="M47" s="111">
        <v>35.1</v>
      </c>
      <c r="N47" s="111">
        <v>103</v>
      </c>
      <c r="O47" s="111">
        <f t="shared" si="3"/>
        <v>11.961262135922331</v>
      </c>
      <c r="P47" s="111">
        <f t="shared" si="4"/>
        <v>18.646901270781608</v>
      </c>
      <c r="Q47" s="111">
        <f t="shared" si="5"/>
        <v>56675</v>
      </c>
      <c r="R47" s="111">
        <v>11.36</v>
      </c>
      <c r="S47" s="111">
        <f t="shared" si="6"/>
        <v>1.4794228993248648E-5</v>
      </c>
      <c r="T47" s="111">
        <f t="shared" si="7"/>
        <v>521.76321548390433</v>
      </c>
      <c r="U47" s="123">
        <f t="shared" si="8"/>
        <v>1.9165781916468747</v>
      </c>
      <c r="V47" s="123">
        <f t="shared" si="9"/>
        <v>1.8428636458143025E-2</v>
      </c>
    </row>
    <row r="48" spans="1:22" x14ac:dyDescent="0.2">
      <c r="A48" s="68" t="s">
        <v>15</v>
      </c>
      <c r="B48" s="111" t="s">
        <v>219</v>
      </c>
      <c r="C48" s="111">
        <v>30</v>
      </c>
      <c r="D48" s="111">
        <v>11500</v>
      </c>
      <c r="E48" s="111">
        <v>10500</v>
      </c>
      <c r="F48" s="111">
        <v>537</v>
      </c>
      <c r="G48" s="111">
        <f t="shared" si="0"/>
        <v>289.9568034557235</v>
      </c>
      <c r="H48" s="111">
        <v>295.07</v>
      </c>
      <c r="I48" s="135" t="s">
        <v>226</v>
      </c>
      <c r="J48" s="111">
        <f>574/3.6</f>
        <v>159.44444444444443</v>
      </c>
      <c r="K48" s="139">
        <f t="shared" si="2"/>
        <v>12.353397299999999</v>
      </c>
      <c r="L48" s="111">
        <v>6.1</v>
      </c>
      <c r="M48" s="111">
        <v>19.78</v>
      </c>
      <c r="N48" s="111">
        <v>39.4</v>
      </c>
      <c r="O48" s="111">
        <f t="shared" si="3"/>
        <v>9.9301624365482244</v>
      </c>
      <c r="P48" s="111">
        <f t="shared" si="4"/>
        <v>15.761576997521885</v>
      </c>
      <c r="Q48" s="111">
        <f t="shared" si="5"/>
        <v>11000</v>
      </c>
      <c r="R48" s="135" t="s">
        <v>226</v>
      </c>
      <c r="S48" s="111" t="e">
        <f t="shared" si="6"/>
        <v>#VALUE!</v>
      </c>
      <c r="T48" s="111" t="e">
        <f t="shared" si="7"/>
        <v>#VALUE!</v>
      </c>
      <c r="U48" s="123" t="e">
        <f t="shared" si="8"/>
        <v>#VALUE!</v>
      </c>
      <c r="V48" s="123" t="e">
        <f t="shared" si="9"/>
        <v>#VALUE!</v>
      </c>
    </row>
    <row r="49" spans="1:22" x14ac:dyDescent="0.2">
      <c r="A49" s="68" t="s">
        <v>11</v>
      </c>
      <c r="B49" s="111" t="s">
        <v>211</v>
      </c>
      <c r="C49" s="111">
        <v>50</v>
      </c>
      <c r="D49" s="111">
        <v>20600</v>
      </c>
      <c r="E49" s="111">
        <v>17100</v>
      </c>
      <c r="F49" s="111">
        <v>1759</v>
      </c>
      <c r="G49" s="111">
        <f t="shared" si="0"/>
        <v>949.78401727861763</v>
      </c>
      <c r="H49" s="111">
        <v>295.07</v>
      </c>
      <c r="I49" s="111">
        <v>0.75</v>
      </c>
      <c r="J49" s="111">
        <f t="shared" si="1"/>
        <v>221.30250000000001</v>
      </c>
      <c r="K49" s="139">
        <f t="shared" si="2"/>
        <v>12.747981100000001</v>
      </c>
      <c r="L49" s="111">
        <v>6.1</v>
      </c>
      <c r="M49" s="111">
        <v>20.2</v>
      </c>
      <c r="N49" s="111">
        <v>51.18</v>
      </c>
      <c r="O49" s="111">
        <f t="shared" si="3"/>
        <v>7.9726455646736998</v>
      </c>
      <c r="P49" s="111">
        <f t="shared" si="4"/>
        <v>14.573964995802248</v>
      </c>
      <c r="Q49" s="111">
        <f t="shared" si="5"/>
        <v>18850</v>
      </c>
      <c r="R49" s="111">
        <v>5.23</v>
      </c>
      <c r="S49" s="111">
        <f t="shared" si="6"/>
        <v>1.6749721070614539E-5</v>
      </c>
      <c r="T49" s="111">
        <f t="shared" si="7"/>
        <v>1041.3005577606716</v>
      </c>
      <c r="U49" s="123">
        <f t="shared" si="8"/>
        <v>0.9603375245956951</v>
      </c>
      <c r="V49" s="123">
        <f t="shared" si="9"/>
        <v>1.9206750491913904E-2</v>
      </c>
    </row>
    <row r="50" spans="1:22" x14ac:dyDescent="0.2">
      <c r="A50" s="68" t="s">
        <v>9</v>
      </c>
      <c r="B50" s="111" t="s">
        <v>212</v>
      </c>
      <c r="C50" s="111">
        <v>97</v>
      </c>
      <c r="D50" s="111">
        <v>44450</v>
      </c>
      <c r="E50" s="111">
        <v>36740</v>
      </c>
      <c r="F50" s="111">
        <v>2037</v>
      </c>
      <c r="G50" s="111">
        <f t="shared" si="0"/>
        <v>1099.8920086393089</v>
      </c>
      <c r="H50" s="111">
        <v>295.07</v>
      </c>
      <c r="I50" s="111">
        <v>0.74</v>
      </c>
      <c r="J50" s="111">
        <f t="shared" si="1"/>
        <v>218.3518</v>
      </c>
      <c r="K50" s="139">
        <f t="shared" si="2"/>
        <v>12.8377473</v>
      </c>
      <c r="L50" s="111">
        <v>6.1</v>
      </c>
      <c r="M50" s="111">
        <v>28.08</v>
      </c>
      <c r="N50" s="111">
        <v>93.5</v>
      </c>
      <c r="O50" s="111">
        <f t="shared" si="3"/>
        <v>8.4330096256684488</v>
      </c>
      <c r="P50" s="111">
        <f t="shared" si="4"/>
        <v>15.094377362301476</v>
      </c>
      <c r="Q50" s="111">
        <f t="shared" si="5"/>
        <v>40595</v>
      </c>
      <c r="R50" s="111">
        <v>3</v>
      </c>
      <c r="S50" s="111">
        <f t="shared" si="6"/>
        <v>1.8768968587029416E-5</v>
      </c>
      <c r="T50" s="111">
        <f t="shared" si="7"/>
        <v>440.95068243868013</v>
      </c>
      <c r="U50" s="123">
        <f t="shared" si="8"/>
        <v>2.2678273100054964</v>
      </c>
      <c r="V50" s="123">
        <f t="shared" si="9"/>
        <v>2.3379662989747387E-2</v>
      </c>
    </row>
    <row r="51" spans="1:22" x14ac:dyDescent="0.2">
      <c r="A51" s="68" t="s">
        <v>4</v>
      </c>
      <c r="B51" s="111" t="s">
        <v>218</v>
      </c>
      <c r="C51" s="111">
        <v>34</v>
      </c>
      <c r="D51" s="111">
        <v>12700</v>
      </c>
      <c r="E51" s="111">
        <v>12340</v>
      </c>
      <c r="F51" s="111">
        <v>806</v>
      </c>
      <c r="G51" s="111">
        <f t="shared" si="0"/>
        <v>435.20518358531314</v>
      </c>
      <c r="H51" s="111">
        <v>295.07</v>
      </c>
      <c r="I51" s="135" t="s">
        <v>226</v>
      </c>
      <c r="J51" s="111">
        <f>463/3.6</f>
        <v>128.61111111111111</v>
      </c>
      <c r="K51" s="139">
        <f t="shared" si="2"/>
        <v>12.4402574</v>
      </c>
      <c r="L51" s="111">
        <v>6.1</v>
      </c>
      <c r="M51" s="111">
        <v>21.44</v>
      </c>
      <c r="N51" s="111">
        <v>41.8</v>
      </c>
      <c r="O51" s="111">
        <f t="shared" si="3"/>
        <v>10.996976076555027</v>
      </c>
      <c r="P51" s="111">
        <f t="shared" si="4"/>
        <v>16.703254142339379</v>
      </c>
      <c r="Q51" s="111">
        <f t="shared" si="5"/>
        <v>12520</v>
      </c>
      <c r="R51" s="135" t="s">
        <v>226</v>
      </c>
      <c r="S51" s="111" t="e">
        <f t="shared" si="6"/>
        <v>#VALUE!</v>
      </c>
      <c r="T51" s="111" t="e">
        <f t="shared" si="7"/>
        <v>#VALUE!</v>
      </c>
      <c r="U51" s="123" t="e">
        <f t="shared" si="8"/>
        <v>#VALUE!</v>
      </c>
      <c r="V51" s="123" t="e">
        <f t="shared" si="9"/>
        <v>#VALUE!</v>
      </c>
    </row>
    <row r="52" spans="1:22" x14ac:dyDescent="0.2">
      <c r="A52" s="68" t="s">
        <v>2</v>
      </c>
      <c r="B52" s="111" t="s">
        <v>192</v>
      </c>
      <c r="C52" s="111">
        <v>100</v>
      </c>
      <c r="D52" s="111">
        <v>45880</v>
      </c>
      <c r="E52" s="111">
        <v>40000</v>
      </c>
      <c r="F52" s="111">
        <v>1445</v>
      </c>
      <c r="G52" s="111">
        <f t="shared" si="0"/>
        <v>780.23758099352051</v>
      </c>
      <c r="H52" s="111">
        <v>295.07</v>
      </c>
      <c r="I52" s="111">
        <v>0.78</v>
      </c>
      <c r="J52" s="111">
        <f t="shared" si="1"/>
        <v>230.15460000000002</v>
      </c>
      <c r="K52" s="139">
        <f t="shared" si="2"/>
        <v>12.6465905</v>
      </c>
      <c r="L52" s="111">
        <v>6.1</v>
      </c>
      <c r="M52" s="111">
        <v>27.8</v>
      </c>
      <c r="N52" s="111">
        <v>77</v>
      </c>
      <c r="O52" s="111">
        <f t="shared" si="3"/>
        <v>10.036883116883118</v>
      </c>
      <c r="P52" s="111">
        <f t="shared" si="4"/>
        <v>16.22213353494719</v>
      </c>
      <c r="Q52" s="111">
        <f t="shared" si="5"/>
        <v>42940</v>
      </c>
      <c r="R52" s="111">
        <v>4.4400000000000004</v>
      </c>
      <c r="S52" s="111">
        <f t="shared" si="6"/>
        <v>1.7658458013363306E-5</v>
      </c>
      <c r="T52" s="111">
        <f t="shared" si="7"/>
        <v>501.93075461539354</v>
      </c>
      <c r="U52" s="123">
        <f t="shared" si="8"/>
        <v>1.9923066893285986</v>
      </c>
      <c r="V52" s="123">
        <f t="shared" si="9"/>
        <v>1.9923066893285987E-2</v>
      </c>
    </row>
  </sheetData>
  <autoFilter ref="A1:V52" xr:uid="{9E805F96-C4A9-5941-98A1-CE48DDC93E4A}"/>
  <mergeCells count="22">
    <mergeCell ref="F1:F2"/>
    <mergeCell ref="G1:G2"/>
    <mergeCell ref="H1:H2"/>
    <mergeCell ref="A1:A2"/>
    <mergeCell ref="B1:B2"/>
    <mergeCell ref="C1:C2"/>
    <mergeCell ref="D1:D2"/>
    <mergeCell ref="E1:E2"/>
    <mergeCell ref="V1:V2"/>
    <mergeCell ref="S1:S2"/>
    <mergeCell ref="R1:R2"/>
    <mergeCell ref="T1:T2"/>
    <mergeCell ref="I1:I2"/>
    <mergeCell ref="J1:J2"/>
    <mergeCell ref="U1:U2"/>
    <mergeCell ref="N1:N2"/>
    <mergeCell ref="O1:O2"/>
    <mergeCell ref="P1:P2"/>
    <mergeCell ref="Q1:Q2"/>
    <mergeCell ref="K1:K2"/>
    <mergeCell ref="L1:L2"/>
    <mergeCell ref="M1:M2"/>
  </mergeCells>
  <phoneticPr fontId="12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B34EC-5EA6-3046-98CC-E5EEEAF5B774}">
  <dimension ref="A1:J5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:J52"/>
    </sheetView>
  </sheetViews>
  <sheetFormatPr baseColWidth="10" defaultRowHeight="16" x14ac:dyDescent="0.2"/>
  <cols>
    <col min="1" max="1" width="35" customWidth="1"/>
    <col min="2" max="2" width="30.33203125" customWidth="1"/>
    <col min="3" max="3" width="24" customWidth="1"/>
    <col min="4" max="4" width="27.83203125" customWidth="1"/>
    <col min="5" max="5" width="28" customWidth="1"/>
    <col min="6" max="6" width="27" customWidth="1"/>
    <col min="7" max="7" width="26.6640625" customWidth="1"/>
    <col min="8" max="9" width="27.33203125" customWidth="1"/>
    <col min="10" max="10" width="28.5" customWidth="1"/>
  </cols>
  <sheetData>
    <row r="1" spans="1:10" ht="16" customHeight="1" x14ac:dyDescent="0.2">
      <c r="A1" s="145" t="s">
        <v>154</v>
      </c>
      <c r="B1" s="145" t="s">
        <v>244</v>
      </c>
      <c r="C1" s="145" t="s">
        <v>273</v>
      </c>
      <c r="D1" s="145" t="s">
        <v>277</v>
      </c>
      <c r="E1" s="145" t="s">
        <v>274</v>
      </c>
      <c r="F1" s="145" t="s">
        <v>275</v>
      </c>
      <c r="G1" s="145" t="s">
        <v>276</v>
      </c>
      <c r="H1" s="145" t="s">
        <v>278</v>
      </c>
      <c r="I1" s="145" t="s">
        <v>141</v>
      </c>
      <c r="J1" s="145" t="s">
        <v>303</v>
      </c>
    </row>
    <row r="2" spans="1:10" ht="17" thickBot="1" x14ac:dyDescent="0.25">
      <c r="A2" s="150"/>
      <c r="B2" s="146"/>
      <c r="C2" s="146"/>
      <c r="D2" s="146"/>
      <c r="E2" s="146"/>
      <c r="F2" s="146"/>
      <c r="G2" s="146"/>
      <c r="H2" s="146"/>
      <c r="I2" s="146"/>
      <c r="J2" s="146"/>
    </row>
    <row r="3" spans="1:10" x14ac:dyDescent="0.2">
      <c r="A3" s="108" t="s">
        <v>128</v>
      </c>
      <c r="B3" s="140" t="s">
        <v>245</v>
      </c>
      <c r="C3" s="111">
        <v>150</v>
      </c>
      <c r="D3" s="111">
        <v>500</v>
      </c>
      <c r="E3" s="111">
        <f>D3*1.852</f>
        <v>926</v>
      </c>
      <c r="F3" s="111" t="e">
        <v>#N/A</v>
      </c>
      <c r="G3" s="111" t="e">
        <f>F3*3.785411784</f>
        <v>#N/A</v>
      </c>
      <c r="H3" s="111" t="e">
        <v>#N/A</v>
      </c>
      <c r="I3" s="111">
        <v>2.85</v>
      </c>
      <c r="J3" s="123">
        <f>I3/C3</f>
        <v>1.9E-2</v>
      </c>
    </row>
    <row r="4" spans="1:10" x14ac:dyDescent="0.2">
      <c r="A4" s="109" t="s">
        <v>121</v>
      </c>
      <c r="B4" s="140" t="s">
        <v>254</v>
      </c>
      <c r="C4" s="111">
        <v>124</v>
      </c>
      <c r="D4" s="111">
        <v>1000</v>
      </c>
      <c r="E4" s="111">
        <f t="shared" ref="E4:E52" si="0">D4*1.852</f>
        <v>1852</v>
      </c>
      <c r="F4" s="111">
        <v>1791</v>
      </c>
      <c r="G4" s="111">
        <f t="shared" ref="G4:G52" si="1">F4*3.785411784</f>
        <v>6779.6725051439998</v>
      </c>
      <c r="H4" s="111">
        <v>0</v>
      </c>
      <c r="I4" s="111"/>
      <c r="J4" s="123">
        <f>((((G4/1000)*810)/E4)/C4)</f>
        <v>2.3912834987313801E-2</v>
      </c>
    </row>
    <row r="5" spans="1:10" x14ac:dyDescent="0.2">
      <c r="A5" s="109" t="s">
        <v>120</v>
      </c>
      <c r="B5" s="140" t="s">
        <v>254</v>
      </c>
      <c r="C5" s="111">
        <v>150</v>
      </c>
      <c r="D5" s="111">
        <v>1000</v>
      </c>
      <c r="E5" s="111">
        <f t="shared" si="0"/>
        <v>1852</v>
      </c>
      <c r="F5" s="111">
        <v>1915</v>
      </c>
      <c r="G5" s="111">
        <f t="shared" si="1"/>
        <v>7249.0635663599996</v>
      </c>
      <c r="H5" s="111">
        <v>0</v>
      </c>
      <c r="I5" s="111"/>
      <c r="J5" s="123">
        <f t="shared" ref="J5:J8" si="2">((((G5/1000)*810)/E5)/C5)</f>
        <v>2.11365784332311E-2</v>
      </c>
    </row>
    <row r="6" spans="1:10" x14ac:dyDescent="0.2">
      <c r="A6" s="109" t="s">
        <v>119</v>
      </c>
      <c r="B6" s="140" t="s">
        <v>255</v>
      </c>
      <c r="C6" s="111">
        <v>154</v>
      </c>
      <c r="D6" s="111">
        <v>660</v>
      </c>
      <c r="E6" s="111">
        <f t="shared" si="0"/>
        <v>1222.3200000000002</v>
      </c>
      <c r="F6" s="111">
        <v>1117</v>
      </c>
      <c r="G6" s="111">
        <f t="shared" si="1"/>
        <v>4228.3049627279997</v>
      </c>
      <c r="H6" s="111">
        <v>0</v>
      </c>
      <c r="I6" s="111"/>
      <c r="J6" s="123">
        <f t="shared" si="2"/>
        <v>1.8194732838307477E-2</v>
      </c>
    </row>
    <row r="7" spans="1:10" x14ac:dyDescent="0.2">
      <c r="A7" s="109" t="s">
        <v>118</v>
      </c>
      <c r="B7" s="140" t="s">
        <v>254</v>
      </c>
      <c r="C7" s="111">
        <v>180</v>
      </c>
      <c r="D7" s="111">
        <v>1000</v>
      </c>
      <c r="E7" s="111">
        <f t="shared" si="0"/>
        <v>1852</v>
      </c>
      <c r="F7" s="111">
        <v>2200</v>
      </c>
      <c r="G7" s="111">
        <f t="shared" si="1"/>
        <v>8327.9059247999994</v>
      </c>
      <c r="H7" s="111">
        <v>0</v>
      </c>
      <c r="I7" s="111"/>
      <c r="J7" s="123">
        <f t="shared" si="2"/>
        <v>2.023519258185745E-2</v>
      </c>
    </row>
    <row r="8" spans="1:10" x14ac:dyDescent="0.2">
      <c r="A8" s="109" t="s">
        <v>117</v>
      </c>
      <c r="B8" s="140" t="s">
        <v>255</v>
      </c>
      <c r="C8" s="111">
        <v>192</v>
      </c>
      <c r="D8" s="111">
        <v>660</v>
      </c>
      <c r="E8" s="111">
        <f t="shared" si="0"/>
        <v>1222.3200000000002</v>
      </c>
      <c r="F8" s="111">
        <v>1358</v>
      </c>
      <c r="G8" s="111">
        <f t="shared" si="1"/>
        <v>5140.5892026720003</v>
      </c>
      <c r="H8" s="111">
        <v>0</v>
      </c>
      <c r="I8" s="111"/>
      <c r="J8" s="123">
        <f t="shared" si="2"/>
        <v>1.7742375727119331E-2</v>
      </c>
    </row>
    <row r="9" spans="1:10" x14ac:dyDescent="0.2">
      <c r="A9" s="109" t="s">
        <v>116</v>
      </c>
      <c r="B9" s="111" t="s">
        <v>256</v>
      </c>
      <c r="C9" s="111">
        <v>241</v>
      </c>
      <c r="D9" s="111">
        <v>3000</v>
      </c>
      <c r="E9" s="111">
        <f t="shared" si="0"/>
        <v>5556</v>
      </c>
      <c r="F9" s="111">
        <v>0</v>
      </c>
      <c r="G9" s="111">
        <f t="shared" si="1"/>
        <v>0</v>
      </c>
      <c r="H9" s="111">
        <v>0</v>
      </c>
      <c r="I9" s="111"/>
      <c r="J9" s="123">
        <v>3.1099999999999999E-2</v>
      </c>
    </row>
    <row r="10" spans="1:10" x14ac:dyDescent="0.2">
      <c r="A10" s="109" t="s">
        <v>115</v>
      </c>
      <c r="B10" s="140" t="s">
        <v>257</v>
      </c>
      <c r="C10" s="111">
        <v>262</v>
      </c>
      <c r="D10" s="111">
        <v>3000</v>
      </c>
      <c r="E10" s="111">
        <f t="shared" si="0"/>
        <v>5556</v>
      </c>
      <c r="F10" s="111">
        <v>0</v>
      </c>
      <c r="G10" s="111">
        <f t="shared" si="1"/>
        <v>0</v>
      </c>
      <c r="H10" s="111">
        <v>0</v>
      </c>
      <c r="I10" s="111"/>
      <c r="J10" s="123">
        <v>2.98E-2</v>
      </c>
    </row>
    <row r="11" spans="1:10" x14ac:dyDescent="0.2">
      <c r="A11" s="109" t="s">
        <v>109</v>
      </c>
      <c r="B11" s="140" t="s">
        <v>258</v>
      </c>
      <c r="C11" s="111">
        <v>315</v>
      </c>
      <c r="D11" s="111">
        <v>6542</v>
      </c>
      <c r="E11" s="111">
        <f t="shared" si="0"/>
        <v>12115.784000000001</v>
      </c>
      <c r="F11" s="111">
        <v>0</v>
      </c>
      <c r="G11" s="111">
        <f t="shared" si="1"/>
        <v>0</v>
      </c>
      <c r="H11" s="111">
        <v>272.10000000000002</v>
      </c>
      <c r="I11" s="111"/>
      <c r="J11" s="123">
        <f>H11/E12</f>
        <v>2.4487041036717064E-2</v>
      </c>
    </row>
    <row r="12" spans="1:10" x14ac:dyDescent="0.2">
      <c r="A12" s="109" t="s">
        <v>106</v>
      </c>
      <c r="B12" s="140" t="s">
        <v>259</v>
      </c>
      <c r="C12" s="111">
        <v>544</v>
      </c>
      <c r="D12" s="111">
        <v>6000</v>
      </c>
      <c r="E12" s="111">
        <f t="shared" si="0"/>
        <v>11112</v>
      </c>
      <c r="F12" s="111">
        <v>50389</v>
      </c>
      <c r="G12" s="111">
        <f t="shared" si="1"/>
        <v>190743.114383976</v>
      </c>
      <c r="H12" s="111">
        <v>0</v>
      </c>
      <c r="I12" s="111"/>
      <c r="J12" s="123">
        <f>((((G12/1000)*810)/E12)/C12)</f>
        <v>2.5558935135541826E-2</v>
      </c>
    </row>
    <row r="13" spans="1:10" x14ac:dyDescent="0.2">
      <c r="A13" s="109" t="s">
        <v>104</v>
      </c>
      <c r="B13" s="140" t="s">
        <v>246</v>
      </c>
      <c r="C13" s="111">
        <v>48</v>
      </c>
      <c r="D13" s="111" t="s">
        <v>164</v>
      </c>
      <c r="E13" s="111" t="e">
        <f t="shared" si="0"/>
        <v>#VALUE!</v>
      </c>
      <c r="F13" s="111" t="s">
        <v>164</v>
      </c>
      <c r="G13" s="111" t="e">
        <f t="shared" si="1"/>
        <v>#VALUE!</v>
      </c>
      <c r="H13" s="111" t="s">
        <v>164</v>
      </c>
      <c r="I13" s="111">
        <v>1.26</v>
      </c>
      <c r="J13" s="123">
        <f t="shared" ref="J13:J14" si="3">I13/C13</f>
        <v>2.6249999999999999E-2</v>
      </c>
    </row>
    <row r="14" spans="1:10" x14ac:dyDescent="0.2">
      <c r="A14" s="109" t="s">
        <v>102</v>
      </c>
      <c r="B14" s="140" t="s">
        <v>246</v>
      </c>
      <c r="C14" s="111">
        <v>72</v>
      </c>
      <c r="D14" s="111">
        <v>0</v>
      </c>
      <c r="E14" s="111">
        <f t="shared" si="0"/>
        <v>0</v>
      </c>
      <c r="F14" s="111">
        <v>0</v>
      </c>
      <c r="G14" s="111">
        <f t="shared" si="1"/>
        <v>0</v>
      </c>
      <c r="H14" s="111">
        <v>0</v>
      </c>
      <c r="I14" s="111">
        <v>1.42</v>
      </c>
      <c r="J14" s="123">
        <f t="shared" si="3"/>
        <v>1.9722222222222221E-2</v>
      </c>
    </row>
    <row r="15" spans="1:10" x14ac:dyDescent="0.2">
      <c r="A15" s="109" t="s">
        <v>100</v>
      </c>
      <c r="B15" s="140" t="s">
        <v>260</v>
      </c>
      <c r="C15" s="111">
        <v>19</v>
      </c>
      <c r="D15" s="111">
        <v>226.1</v>
      </c>
      <c r="E15" s="111">
        <f t="shared" si="0"/>
        <v>418.73720000000003</v>
      </c>
      <c r="F15" s="111">
        <v>0</v>
      </c>
      <c r="G15" s="111">
        <f t="shared" si="1"/>
        <v>0</v>
      </c>
      <c r="H15" s="111">
        <v>22.1</v>
      </c>
      <c r="I15" s="111"/>
      <c r="J15" s="123">
        <f>H15/E15</f>
        <v>5.2777732668604554E-2</v>
      </c>
    </row>
    <row r="16" spans="1:10" x14ac:dyDescent="0.2">
      <c r="A16" s="109" t="s">
        <v>98</v>
      </c>
      <c r="B16" s="140" t="s">
        <v>261</v>
      </c>
      <c r="C16" s="111" t="s">
        <v>164</v>
      </c>
      <c r="D16" s="111" t="s">
        <v>164</v>
      </c>
      <c r="E16" s="111" t="e">
        <f t="shared" si="0"/>
        <v>#VALUE!</v>
      </c>
      <c r="F16" s="111" t="s">
        <v>164</v>
      </c>
      <c r="G16" s="111" t="e">
        <f t="shared" si="1"/>
        <v>#VALUE!</v>
      </c>
      <c r="H16" s="111" t="s">
        <v>164</v>
      </c>
      <c r="I16" s="111"/>
      <c r="J16" s="123"/>
    </row>
    <row r="17" spans="1:10" x14ac:dyDescent="0.2">
      <c r="A17" s="109" t="s">
        <v>157</v>
      </c>
      <c r="B17" s="140" t="s">
        <v>247</v>
      </c>
      <c r="C17" s="111">
        <v>166</v>
      </c>
      <c r="D17" s="111">
        <v>660</v>
      </c>
      <c r="E17" s="111">
        <f t="shared" si="0"/>
        <v>1222.3200000000002</v>
      </c>
      <c r="F17" s="111">
        <v>1222</v>
      </c>
      <c r="G17" s="111">
        <f t="shared" si="1"/>
        <v>4625.773200048</v>
      </c>
      <c r="H17" s="111">
        <v>0</v>
      </c>
      <c r="I17" s="111"/>
      <c r="J17" s="123">
        <f>((((G17/1000)*810)/E17)/C17)</f>
        <v>1.8466149558172211E-2</v>
      </c>
    </row>
    <row r="18" spans="1:10" x14ac:dyDescent="0.2">
      <c r="A18" s="109" t="s">
        <v>95</v>
      </c>
      <c r="B18" s="140" t="s">
        <v>247</v>
      </c>
      <c r="C18" s="111">
        <v>180</v>
      </c>
      <c r="D18" s="111">
        <v>660</v>
      </c>
      <c r="E18" s="111">
        <f t="shared" si="0"/>
        <v>1222.3200000000002</v>
      </c>
      <c r="F18" s="111">
        <v>1327</v>
      </c>
      <c r="G18" s="111">
        <f t="shared" si="1"/>
        <v>5023.2414373679994</v>
      </c>
      <c r="H18" s="111" t="e">
        <v>#N/A</v>
      </c>
      <c r="I18" s="111"/>
      <c r="J18" s="123">
        <f>((((G18/1000)*810)/E18)/C18)</f>
        <v>1.84931822011879E-2</v>
      </c>
    </row>
    <row r="19" spans="1:10" x14ac:dyDescent="0.2">
      <c r="A19" s="109" t="s">
        <v>91</v>
      </c>
      <c r="B19" s="140" t="s">
        <v>261</v>
      </c>
      <c r="C19" s="111">
        <v>126</v>
      </c>
      <c r="D19" s="111">
        <v>507</v>
      </c>
      <c r="E19" s="111">
        <f t="shared" si="0"/>
        <v>938.96400000000006</v>
      </c>
      <c r="F19" s="111" t="s">
        <v>164</v>
      </c>
      <c r="G19" s="111" t="e">
        <f t="shared" si="1"/>
        <v>#VALUE!</v>
      </c>
      <c r="H19" s="111" t="s">
        <v>164</v>
      </c>
      <c r="I19" s="111">
        <v>3.49</v>
      </c>
      <c r="J19" s="123">
        <f>I19/C19</f>
        <v>2.7698412698412701E-2</v>
      </c>
    </row>
    <row r="20" spans="1:10" x14ac:dyDescent="0.2">
      <c r="A20" s="109" t="s">
        <v>87</v>
      </c>
      <c r="B20" s="140" t="s">
        <v>261</v>
      </c>
      <c r="C20" s="111" t="s">
        <v>164</v>
      </c>
      <c r="D20" s="111" t="s">
        <v>164</v>
      </c>
      <c r="E20" s="111" t="e">
        <f t="shared" si="0"/>
        <v>#VALUE!</v>
      </c>
      <c r="F20" s="111" t="s">
        <v>164</v>
      </c>
      <c r="G20" s="111" t="e">
        <f t="shared" si="1"/>
        <v>#VALUE!</v>
      </c>
      <c r="H20" s="111" t="s">
        <v>164</v>
      </c>
      <c r="I20" s="111"/>
      <c r="J20" s="123"/>
    </row>
    <row r="21" spans="1:10" x14ac:dyDescent="0.2">
      <c r="A21" s="109" t="s">
        <v>84</v>
      </c>
      <c r="B21" s="140" t="s">
        <v>261</v>
      </c>
      <c r="C21" s="111" t="s">
        <v>164</v>
      </c>
      <c r="D21" s="111" t="s">
        <v>164</v>
      </c>
      <c r="E21" s="111" t="e">
        <f t="shared" si="0"/>
        <v>#VALUE!</v>
      </c>
      <c r="F21" s="111" t="s">
        <v>164</v>
      </c>
      <c r="G21" s="111" t="e">
        <f t="shared" si="1"/>
        <v>#VALUE!</v>
      </c>
      <c r="H21" s="111" t="s">
        <v>164</v>
      </c>
      <c r="I21" s="111"/>
      <c r="J21" s="123"/>
    </row>
    <row r="22" spans="1:10" x14ac:dyDescent="0.2">
      <c r="A22" s="109" t="s">
        <v>81</v>
      </c>
      <c r="B22" s="140" t="s">
        <v>262</v>
      </c>
      <c r="C22" s="111">
        <v>126</v>
      </c>
      <c r="D22" s="111">
        <v>1000</v>
      </c>
      <c r="E22" s="111">
        <f t="shared" si="0"/>
        <v>1852</v>
      </c>
      <c r="F22" s="111">
        <v>0</v>
      </c>
      <c r="G22" s="111">
        <f t="shared" si="1"/>
        <v>0</v>
      </c>
      <c r="H22" s="111">
        <v>41.5</v>
      </c>
      <c r="I22" s="111"/>
      <c r="J22" s="123">
        <f>H22/E22</f>
        <v>2.2408207343412527E-2</v>
      </c>
    </row>
    <row r="23" spans="1:10" x14ac:dyDescent="0.2">
      <c r="A23" s="109" t="s">
        <v>79</v>
      </c>
      <c r="B23" s="140" t="s">
        <v>262</v>
      </c>
      <c r="C23" s="111">
        <v>162</v>
      </c>
      <c r="D23" s="111">
        <v>1000</v>
      </c>
      <c r="E23" s="111">
        <f t="shared" si="0"/>
        <v>1852</v>
      </c>
      <c r="F23" s="111">
        <v>0</v>
      </c>
      <c r="G23" s="111">
        <f t="shared" si="1"/>
        <v>0</v>
      </c>
      <c r="H23" s="111">
        <v>36.200000000000003</v>
      </c>
      <c r="I23" s="111"/>
      <c r="J23" s="123">
        <f t="shared" ref="J23:J27" si="4">H23/E23</f>
        <v>1.9546436285097193E-2</v>
      </c>
    </row>
    <row r="24" spans="1:10" x14ac:dyDescent="0.2">
      <c r="A24" s="109" t="s">
        <v>77</v>
      </c>
      <c r="B24" s="140" t="s">
        <v>262</v>
      </c>
      <c r="C24" s="111">
        <v>180</v>
      </c>
      <c r="D24" s="111">
        <v>1000</v>
      </c>
      <c r="E24" s="111">
        <f t="shared" si="0"/>
        <v>1852</v>
      </c>
      <c r="F24" s="111">
        <v>0</v>
      </c>
      <c r="G24" s="111">
        <f t="shared" si="1"/>
        <v>0</v>
      </c>
      <c r="H24" s="111">
        <v>35.200000000000003</v>
      </c>
      <c r="I24" s="111"/>
      <c r="J24" s="123">
        <f t="shared" si="4"/>
        <v>1.9006479481641469E-2</v>
      </c>
    </row>
    <row r="25" spans="1:10" x14ac:dyDescent="0.2">
      <c r="A25" s="109" t="s">
        <v>74</v>
      </c>
      <c r="B25" s="140" t="s">
        <v>263</v>
      </c>
      <c r="C25" s="111">
        <v>416</v>
      </c>
      <c r="D25" s="111">
        <v>6000</v>
      </c>
      <c r="E25" s="111">
        <f t="shared" si="0"/>
        <v>11112</v>
      </c>
      <c r="F25" s="111">
        <v>0</v>
      </c>
      <c r="G25" s="111">
        <f t="shared" si="1"/>
        <v>0</v>
      </c>
      <c r="H25" s="111">
        <v>296.7</v>
      </c>
      <c r="I25" s="111"/>
      <c r="J25" s="123">
        <f>H25/E25</f>
        <v>2.6700863930885527E-2</v>
      </c>
    </row>
    <row r="26" spans="1:10" x14ac:dyDescent="0.2">
      <c r="A26" s="109" t="s">
        <v>68</v>
      </c>
      <c r="B26" s="140" t="s">
        <v>264</v>
      </c>
      <c r="C26" s="111">
        <v>228</v>
      </c>
      <c r="D26" s="111">
        <v>1000</v>
      </c>
      <c r="E26" s="111">
        <f t="shared" si="0"/>
        <v>1852</v>
      </c>
      <c r="F26" s="111">
        <v>0</v>
      </c>
      <c r="G26" s="111">
        <f t="shared" si="1"/>
        <v>0</v>
      </c>
      <c r="H26" s="111">
        <v>34.4</v>
      </c>
      <c r="I26" s="111"/>
      <c r="J26" s="123">
        <f t="shared" si="4"/>
        <v>1.8574514038876888E-2</v>
      </c>
    </row>
    <row r="27" spans="1:10" x14ac:dyDescent="0.2">
      <c r="A27" s="109" t="s">
        <v>0</v>
      </c>
      <c r="B27" s="140" t="s">
        <v>265</v>
      </c>
      <c r="C27" s="111">
        <v>269</v>
      </c>
      <c r="D27" s="111">
        <v>3000</v>
      </c>
      <c r="E27" s="111">
        <f t="shared" si="0"/>
        <v>5556</v>
      </c>
      <c r="F27" s="111">
        <v>0</v>
      </c>
      <c r="G27" s="111">
        <f t="shared" si="1"/>
        <v>0</v>
      </c>
      <c r="H27" s="111">
        <v>113.9</v>
      </c>
      <c r="I27" s="111"/>
      <c r="J27" s="123">
        <f t="shared" si="4"/>
        <v>2.0500359971202305E-2</v>
      </c>
    </row>
    <row r="28" spans="1:10" x14ac:dyDescent="0.2">
      <c r="A28" s="109" t="s">
        <v>61</v>
      </c>
      <c r="B28" s="140" t="s">
        <v>248</v>
      </c>
      <c r="C28" s="111">
        <v>305</v>
      </c>
      <c r="D28" s="111">
        <v>3000</v>
      </c>
      <c r="E28" s="111">
        <f t="shared" si="0"/>
        <v>5556</v>
      </c>
      <c r="F28" s="111" t="e">
        <v>#N/A</v>
      </c>
      <c r="G28" s="111" t="e">
        <f t="shared" si="1"/>
        <v>#N/A</v>
      </c>
      <c r="H28" s="111" t="e">
        <v>#N/A</v>
      </c>
      <c r="I28" s="111">
        <v>6.83</v>
      </c>
      <c r="J28" s="123">
        <f t="shared" ref="J28:J29" si="5">I28/C28</f>
        <v>2.2393442622950819E-2</v>
      </c>
    </row>
    <row r="29" spans="1:10" x14ac:dyDescent="0.2">
      <c r="A29" s="109" t="s">
        <v>60</v>
      </c>
      <c r="B29" s="140" t="s">
        <v>249</v>
      </c>
      <c r="C29" s="111">
        <v>301</v>
      </c>
      <c r="D29" s="111">
        <v>3000</v>
      </c>
      <c r="E29" s="111">
        <f t="shared" si="0"/>
        <v>5556</v>
      </c>
      <c r="F29" s="111" t="e">
        <v>#N/A</v>
      </c>
      <c r="G29" s="111" t="e">
        <f t="shared" si="1"/>
        <v>#N/A</v>
      </c>
      <c r="H29" s="111" t="e">
        <v>#N/A</v>
      </c>
      <c r="I29" s="111">
        <v>6.96</v>
      </c>
      <c r="J29" s="123">
        <f t="shared" si="5"/>
        <v>2.3122923588039867E-2</v>
      </c>
    </row>
    <row r="30" spans="1:10" x14ac:dyDescent="0.2">
      <c r="A30" s="109" t="s">
        <v>56</v>
      </c>
      <c r="B30" s="140" t="s">
        <v>248</v>
      </c>
      <c r="C30" s="111">
        <v>365</v>
      </c>
      <c r="D30" s="111">
        <v>3000</v>
      </c>
      <c r="E30" s="111">
        <f t="shared" si="0"/>
        <v>5556</v>
      </c>
      <c r="F30" s="111">
        <v>0</v>
      </c>
      <c r="G30" s="111">
        <f t="shared" si="1"/>
        <v>0</v>
      </c>
      <c r="H30" s="111">
        <v>121.2</v>
      </c>
      <c r="I30" s="111"/>
      <c r="J30" s="123">
        <f>H30/E30</f>
        <v>2.1814254859611231E-2</v>
      </c>
    </row>
    <row r="31" spans="1:10" x14ac:dyDescent="0.2">
      <c r="A31" s="109" t="s">
        <v>54</v>
      </c>
      <c r="B31" s="140" t="s">
        <v>266</v>
      </c>
      <c r="C31" s="111">
        <v>238</v>
      </c>
      <c r="D31" s="111">
        <v>3400</v>
      </c>
      <c r="E31" s="111">
        <f t="shared" si="0"/>
        <v>6296.8</v>
      </c>
      <c r="F31" s="111">
        <v>0</v>
      </c>
      <c r="G31" s="111">
        <f t="shared" si="1"/>
        <v>0</v>
      </c>
      <c r="H31" s="111">
        <v>135.07499999999999</v>
      </c>
      <c r="I31" s="111"/>
      <c r="J31" s="123">
        <f t="shared" ref="J31:J32" si="6">H31/E31</f>
        <v>2.1451372125524074E-2</v>
      </c>
    </row>
    <row r="32" spans="1:10" x14ac:dyDescent="0.2">
      <c r="A32" s="109" t="s">
        <v>53</v>
      </c>
      <c r="B32" s="140" t="s">
        <v>267</v>
      </c>
      <c r="C32" s="111">
        <v>291</v>
      </c>
      <c r="D32" s="111">
        <v>6542</v>
      </c>
      <c r="E32" s="111">
        <f t="shared" si="0"/>
        <v>12115.784000000001</v>
      </c>
      <c r="F32" s="111">
        <v>0</v>
      </c>
      <c r="G32" s="111">
        <f t="shared" si="1"/>
        <v>0</v>
      </c>
      <c r="H32" s="111">
        <v>298.94</v>
      </c>
      <c r="I32" s="111"/>
      <c r="J32" s="123">
        <f t="shared" si="6"/>
        <v>2.4673599331252519E-2</v>
      </c>
    </row>
    <row r="33" spans="1:10" x14ac:dyDescent="0.2">
      <c r="A33" s="109" t="s">
        <v>48</v>
      </c>
      <c r="B33" s="140" t="s">
        <v>261</v>
      </c>
      <c r="C33" s="111" t="s">
        <v>164</v>
      </c>
      <c r="D33" s="111" t="s">
        <v>164</v>
      </c>
      <c r="E33" s="111" t="e">
        <f t="shared" si="0"/>
        <v>#VALUE!</v>
      </c>
      <c r="F33" s="111" t="s">
        <v>164</v>
      </c>
      <c r="G33" s="111" t="e">
        <f t="shared" si="1"/>
        <v>#VALUE!</v>
      </c>
      <c r="H33" s="111" t="s">
        <v>164</v>
      </c>
      <c r="I33" s="111"/>
      <c r="J33" s="123"/>
    </row>
    <row r="34" spans="1:10" x14ac:dyDescent="0.2">
      <c r="A34" s="109" t="s">
        <v>159</v>
      </c>
      <c r="B34" s="111" t="s">
        <v>250</v>
      </c>
      <c r="C34" s="111">
        <v>50</v>
      </c>
      <c r="D34" s="111">
        <v>577</v>
      </c>
      <c r="E34" s="111">
        <f t="shared" si="0"/>
        <v>1068.604</v>
      </c>
      <c r="F34" s="111" t="e">
        <v>#N/A</v>
      </c>
      <c r="G34" s="111" t="e">
        <f t="shared" si="1"/>
        <v>#N/A</v>
      </c>
      <c r="H34" s="111" t="e">
        <v>#N/A</v>
      </c>
      <c r="I34" s="111">
        <v>1.87</v>
      </c>
      <c r="J34" s="123">
        <f t="shared" ref="J34:J35" si="7">I34/C34</f>
        <v>3.7400000000000003E-2</v>
      </c>
    </row>
    <row r="35" spans="1:10" x14ac:dyDescent="0.2">
      <c r="A35" s="109" t="s">
        <v>158</v>
      </c>
      <c r="B35" s="140" t="s">
        <v>250</v>
      </c>
      <c r="C35" s="111">
        <v>50</v>
      </c>
      <c r="D35" s="111">
        <v>580</v>
      </c>
      <c r="E35" s="111">
        <f t="shared" si="0"/>
        <v>1074.1600000000001</v>
      </c>
      <c r="F35" s="111" t="e">
        <v>#N/A</v>
      </c>
      <c r="G35" s="111" t="e">
        <f t="shared" si="1"/>
        <v>#N/A</v>
      </c>
      <c r="H35" s="111" t="e">
        <v>#N/A</v>
      </c>
      <c r="I35" s="111">
        <v>1.8</v>
      </c>
      <c r="J35" s="123">
        <f t="shared" si="7"/>
        <v>3.6000000000000004E-2</v>
      </c>
    </row>
    <row r="36" spans="1:10" x14ac:dyDescent="0.2">
      <c r="A36" s="109" t="s">
        <v>39</v>
      </c>
      <c r="B36" s="140" t="s">
        <v>268</v>
      </c>
      <c r="C36" s="111">
        <v>70</v>
      </c>
      <c r="D36" s="111">
        <v>574</v>
      </c>
      <c r="E36" s="111">
        <f t="shared" si="0"/>
        <v>1063.048</v>
      </c>
      <c r="F36" s="111">
        <v>855</v>
      </c>
      <c r="G36" s="111">
        <f t="shared" si="1"/>
        <v>3236.5270753199998</v>
      </c>
      <c r="H36" s="111">
        <v>0</v>
      </c>
      <c r="I36" s="111"/>
      <c r="J36" s="123">
        <f>((((G36/1000)*810)/E36)/C36)</f>
        <v>3.5230057223718962E-2</v>
      </c>
    </row>
    <row r="37" spans="1:10" x14ac:dyDescent="0.2">
      <c r="A37" s="109" t="s">
        <v>37</v>
      </c>
      <c r="B37" s="140" t="s">
        <v>268</v>
      </c>
      <c r="C37" s="111">
        <v>88</v>
      </c>
      <c r="D37" s="111">
        <v>515</v>
      </c>
      <c r="E37" s="111">
        <f t="shared" si="0"/>
        <v>953.78000000000009</v>
      </c>
      <c r="F37" s="111">
        <v>908</v>
      </c>
      <c r="G37" s="111">
        <f t="shared" si="1"/>
        <v>3437.1538998719998</v>
      </c>
      <c r="H37" s="111">
        <v>0</v>
      </c>
      <c r="I37" s="111"/>
      <c r="J37" s="123">
        <f>((((G37/1000)*810)/E37)/C37)</f>
        <v>3.3170583683490948E-2</v>
      </c>
    </row>
    <row r="38" spans="1:10" x14ac:dyDescent="0.2">
      <c r="A38" s="109" t="s">
        <v>35</v>
      </c>
      <c r="B38" s="140" t="s">
        <v>251</v>
      </c>
      <c r="C38" s="111">
        <v>100</v>
      </c>
      <c r="D38" s="111">
        <v>500</v>
      </c>
      <c r="E38" s="111">
        <f t="shared" si="0"/>
        <v>926</v>
      </c>
      <c r="F38" s="111" t="e">
        <v>#N/A</v>
      </c>
      <c r="G38" s="111" t="e">
        <f t="shared" si="1"/>
        <v>#N/A</v>
      </c>
      <c r="H38" s="111" t="e">
        <v>#N/A</v>
      </c>
      <c r="I38" s="111">
        <v>2.66</v>
      </c>
      <c r="J38" s="123">
        <f>I38/C38</f>
        <v>2.6600000000000002E-2</v>
      </c>
    </row>
    <row r="39" spans="1:10" x14ac:dyDescent="0.2">
      <c r="A39" s="109" t="s">
        <v>34</v>
      </c>
      <c r="B39" s="140" t="s">
        <v>261</v>
      </c>
      <c r="C39" s="111" t="s">
        <v>164</v>
      </c>
      <c r="D39" s="111" t="s">
        <v>164</v>
      </c>
      <c r="E39" s="111" t="e">
        <f t="shared" si="0"/>
        <v>#VALUE!</v>
      </c>
      <c r="F39" s="111" t="s">
        <v>164</v>
      </c>
      <c r="G39" s="111" t="e">
        <f t="shared" si="1"/>
        <v>#VALUE!</v>
      </c>
      <c r="H39" s="111" t="s">
        <v>164</v>
      </c>
      <c r="I39" s="111"/>
      <c r="J39" s="123"/>
    </row>
    <row r="40" spans="1:10" x14ac:dyDescent="0.2">
      <c r="A40" s="109" t="s">
        <v>44</v>
      </c>
      <c r="B40" s="140" t="s">
        <v>261</v>
      </c>
      <c r="C40" s="111" t="s">
        <v>164</v>
      </c>
      <c r="D40" s="111">
        <v>0</v>
      </c>
      <c r="E40" s="111">
        <f t="shared" si="0"/>
        <v>0</v>
      </c>
      <c r="F40" s="111">
        <v>0</v>
      </c>
      <c r="G40" s="111">
        <f t="shared" si="1"/>
        <v>0</v>
      </c>
      <c r="H40" s="111">
        <v>0</v>
      </c>
      <c r="I40" s="111"/>
      <c r="J40" s="123"/>
    </row>
    <row r="41" spans="1:10" x14ac:dyDescent="0.2">
      <c r="A41" s="109" t="s">
        <v>32</v>
      </c>
      <c r="B41" s="140" t="s">
        <v>246</v>
      </c>
      <c r="C41" s="111">
        <v>82</v>
      </c>
      <c r="D41" s="111">
        <v>600</v>
      </c>
      <c r="E41" s="111">
        <f t="shared" si="0"/>
        <v>1111.2</v>
      </c>
      <c r="F41" s="111" t="s">
        <v>164</v>
      </c>
      <c r="G41" s="111" t="e">
        <f t="shared" si="1"/>
        <v>#VALUE!</v>
      </c>
      <c r="H41" s="111" t="s">
        <v>164</v>
      </c>
      <c r="I41" s="111">
        <v>1.83</v>
      </c>
      <c r="J41" s="123">
        <f>I41/C41</f>
        <v>2.231707317073171E-2</v>
      </c>
    </row>
    <row r="42" spans="1:10" x14ac:dyDescent="0.2">
      <c r="A42" s="109" t="s">
        <v>30</v>
      </c>
      <c r="B42" s="140" t="e">
        <v>#N/A</v>
      </c>
      <c r="C42" s="111" t="e">
        <v>#N/A</v>
      </c>
      <c r="D42" s="111" t="e">
        <v>#N/A</v>
      </c>
      <c r="E42" s="111" t="e">
        <f t="shared" si="0"/>
        <v>#N/A</v>
      </c>
      <c r="F42" s="111" t="e">
        <v>#N/A</v>
      </c>
      <c r="G42" s="111" t="e">
        <f t="shared" si="1"/>
        <v>#N/A</v>
      </c>
      <c r="H42" s="111" t="e">
        <v>#N/A</v>
      </c>
      <c r="I42" s="111"/>
      <c r="J42" s="123"/>
    </row>
    <row r="43" spans="1:10" x14ac:dyDescent="0.2">
      <c r="A43" s="109" t="s">
        <v>26</v>
      </c>
      <c r="B43" s="111" t="s">
        <v>269</v>
      </c>
      <c r="C43" s="111">
        <v>80</v>
      </c>
      <c r="D43" s="111">
        <v>606</v>
      </c>
      <c r="E43" s="111">
        <f t="shared" si="0"/>
        <v>1122.3120000000001</v>
      </c>
      <c r="F43" s="111">
        <v>967</v>
      </c>
      <c r="G43" s="111">
        <f t="shared" si="1"/>
        <v>3660.493195128</v>
      </c>
      <c r="H43" s="111">
        <v>0</v>
      </c>
      <c r="I43" s="111"/>
      <c r="J43" s="123">
        <f>((((G43/1000)*810)/E43)/C43)</f>
        <v>3.3023342529235181E-2</v>
      </c>
    </row>
    <row r="44" spans="1:10" x14ac:dyDescent="0.2">
      <c r="A44" s="109" t="s">
        <v>25</v>
      </c>
      <c r="B44" s="140" t="s">
        <v>269</v>
      </c>
      <c r="C44" s="111">
        <v>88</v>
      </c>
      <c r="D44" s="111">
        <v>675</v>
      </c>
      <c r="E44" s="111">
        <f t="shared" si="0"/>
        <v>1250.1000000000001</v>
      </c>
      <c r="F44" s="111">
        <v>1136</v>
      </c>
      <c r="G44" s="111">
        <f t="shared" si="1"/>
        <v>4300.2277866240001</v>
      </c>
      <c r="H44" s="111">
        <v>0</v>
      </c>
      <c r="I44" s="111"/>
      <c r="J44" s="123">
        <f t="shared" ref="J44:J46" si="8">((((G44/1000)*810)/E44)/C44)</f>
        <v>3.1662780679049679E-2</v>
      </c>
    </row>
    <row r="45" spans="1:10" x14ac:dyDescent="0.2">
      <c r="A45" s="109" t="s">
        <v>23</v>
      </c>
      <c r="B45" s="140" t="s">
        <v>269</v>
      </c>
      <c r="C45" s="111">
        <v>114</v>
      </c>
      <c r="D45" s="111">
        <v>607</v>
      </c>
      <c r="E45" s="111">
        <f t="shared" si="0"/>
        <v>1124.164</v>
      </c>
      <c r="F45" s="111">
        <v>1196</v>
      </c>
      <c r="G45" s="111">
        <f t="shared" si="1"/>
        <v>4527.3524936639997</v>
      </c>
      <c r="H45" s="111">
        <v>0</v>
      </c>
      <c r="I45" s="111"/>
      <c r="J45" s="123">
        <f t="shared" si="8"/>
        <v>2.8615069399156777E-2</v>
      </c>
    </row>
    <row r="46" spans="1:10" x14ac:dyDescent="0.2">
      <c r="A46" s="109" t="s">
        <v>19</v>
      </c>
      <c r="B46" s="140" t="s">
        <v>269</v>
      </c>
      <c r="C46" s="111">
        <v>122</v>
      </c>
      <c r="D46" s="111">
        <v>607</v>
      </c>
      <c r="E46" s="111">
        <f t="shared" si="0"/>
        <v>1124.164</v>
      </c>
      <c r="F46" s="111">
        <v>1186</v>
      </c>
      <c r="G46" s="111">
        <f t="shared" si="1"/>
        <v>4489.4983758239996</v>
      </c>
      <c r="H46" s="111">
        <v>0</v>
      </c>
      <c r="I46" s="111"/>
      <c r="J46" s="123">
        <f t="shared" si="8"/>
        <v>2.6515103919099139E-2</v>
      </c>
    </row>
    <row r="47" spans="1:10" x14ac:dyDescent="0.2">
      <c r="A47" s="109" t="s">
        <v>17</v>
      </c>
      <c r="B47" s="140" t="s">
        <v>252</v>
      </c>
      <c r="C47" s="111">
        <v>132</v>
      </c>
      <c r="D47" s="111">
        <v>600</v>
      </c>
      <c r="E47" s="111">
        <f t="shared" si="0"/>
        <v>1111.2</v>
      </c>
      <c r="F47" s="111" t="e">
        <v>#N/A</v>
      </c>
      <c r="G47" s="111" t="e">
        <f t="shared" si="1"/>
        <v>#N/A</v>
      </c>
      <c r="H47" s="111" t="e">
        <v>#N/A</v>
      </c>
      <c r="I47" s="111">
        <v>3.07</v>
      </c>
      <c r="J47" s="123">
        <f>I47/C47</f>
        <v>2.3257575757575755E-2</v>
      </c>
    </row>
    <row r="48" spans="1:10" x14ac:dyDescent="0.2">
      <c r="A48" s="109" t="s">
        <v>15</v>
      </c>
      <c r="B48" s="140" t="s">
        <v>270</v>
      </c>
      <c r="C48" s="111">
        <v>30</v>
      </c>
      <c r="D48" s="111">
        <v>400</v>
      </c>
      <c r="E48" s="111">
        <f t="shared" si="0"/>
        <v>740.80000000000007</v>
      </c>
      <c r="F48" s="111">
        <v>0</v>
      </c>
      <c r="G48" s="111">
        <f t="shared" si="1"/>
        <v>0</v>
      </c>
      <c r="H48" s="111">
        <v>22.9</v>
      </c>
      <c r="I48" s="111"/>
      <c r="J48" s="123">
        <f>H48/E48</f>
        <v>3.0912526997840167E-2</v>
      </c>
    </row>
    <row r="49" spans="1:10" x14ac:dyDescent="0.2">
      <c r="A49" s="109" t="s">
        <v>11</v>
      </c>
      <c r="B49" s="140" t="s">
        <v>271</v>
      </c>
      <c r="C49" s="111">
        <v>50</v>
      </c>
      <c r="D49" s="111">
        <v>598</v>
      </c>
      <c r="E49" s="111">
        <f t="shared" si="0"/>
        <v>1107.4960000000001</v>
      </c>
      <c r="F49" s="111">
        <v>564</v>
      </c>
      <c r="G49" s="111">
        <f t="shared" si="1"/>
        <v>2134.9722461759998</v>
      </c>
      <c r="H49" s="111">
        <v>0</v>
      </c>
      <c r="I49" s="111"/>
      <c r="J49" s="123">
        <f>((((G49/1000)*810)/E49)/C49)</f>
        <v>3.1229503662361938E-2</v>
      </c>
    </row>
    <row r="50" spans="1:10" x14ac:dyDescent="0.2">
      <c r="A50" s="109" t="s">
        <v>9</v>
      </c>
      <c r="B50" s="140" t="s">
        <v>261</v>
      </c>
      <c r="C50" s="111" t="s">
        <v>164</v>
      </c>
      <c r="D50" s="111" t="s">
        <v>164</v>
      </c>
      <c r="E50" s="111" t="e">
        <f t="shared" si="0"/>
        <v>#VALUE!</v>
      </c>
      <c r="F50" s="111" t="s">
        <v>164</v>
      </c>
      <c r="G50" s="111" t="e">
        <f t="shared" si="1"/>
        <v>#VALUE!</v>
      </c>
      <c r="H50" s="111" t="s">
        <v>164</v>
      </c>
      <c r="I50" s="111"/>
      <c r="J50" s="123"/>
    </row>
    <row r="51" spans="1:10" x14ac:dyDescent="0.2">
      <c r="A51" s="109" t="s">
        <v>4</v>
      </c>
      <c r="B51" s="140" t="s">
        <v>272</v>
      </c>
      <c r="C51" s="111">
        <v>32</v>
      </c>
      <c r="D51" s="111">
        <v>500</v>
      </c>
      <c r="E51" s="111">
        <f t="shared" si="0"/>
        <v>926</v>
      </c>
      <c r="F51" s="111">
        <v>0</v>
      </c>
      <c r="G51" s="111">
        <f t="shared" si="1"/>
        <v>0</v>
      </c>
      <c r="H51" s="111">
        <v>27.6</v>
      </c>
      <c r="I51" s="111"/>
      <c r="J51" s="123">
        <f>H51/E51</f>
        <v>2.9805615550755941E-2</v>
      </c>
    </row>
    <row r="52" spans="1:10" x14ac:dyDescent="0.2">
      <c r="A52" s="109" t="s">
        <v>2</v>
      </c>
      <c r="B52" s="111" t="s">
        <v>253</v>
      </c>
      <c r="C52" s="111">
        <v>98</v>
      </c>
      <c r="D52" s="111">
        <v>500</v>
      </c>
      <c r="E52" s="111">
        <f t="shared" si="0"/>
        <v>926</v>
      </c>
      <c r="F52" s="111" t="s">
        <v>164</v>
      </c>
      <c r="G52" s="111" t="e">
        <f t="shared" si="1"/>
        <v>#VALUE!</v>
      </c>
      <c r="H52" s="111" t="s">
        <v>164</v>
      </c>
      <c r="I52" s="111">
        <v>2.81</v>
      </c>
      <c r="J52" s="123">
        <f>I52/C52</f>
        <v>2.8673469387755102E-2</v>
      </c>
    </row>
  </sheetData>
  <autoFilter ref="A1:J52" xr:uid="{6C1B34EC-5EA6-3046-98CC-E5EEEAF5B774}"/>
  <mergeCells count="10">
    <mergeCell ref="G1:G2"/>
    <mergeCell ref="H1:H2"/>
    <mergeCell ref="J1:J2"/>
    <mergeCell ref="I1:I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B8C-76B2-2140-9C81-B569E95964C7}">
  <dimension ref="A2:BK88"/>
  <sheetViews>
    <sheetView topLeftCell="C1" workbookViewId="0">
      <selection activeCell="H25" sqref="H25"/>
    </sheetView>
  </sheetViews>
  <sheetFormatPr baseColWidth="10" defaultRowHeight="16" x14ac:dyDescent="0.2"/>
  <cols>
    <col min="1" max="1" width="28.33203125" customWidth="1"/>
    <col min="2" max="2" width="29.1640625" customWidth="1"/>
    <col min="4" max="4" width="29.1640625" customWidth="1"/>
    <col min="5" max="5" width="35.5" customWidth="1"/>
    <col min="7" max="7" width="29" customWidth="1"/>
    <col min="8" max="8" width="27" customWidth="1"/>
    <col min="10" max="10" width="27.33203125" customWidth="1"/>
    <col min="11" max="11" width="40.5" customWidth="1"/>
    <col min="13" max="13" width="29.5" customWidth="1"/>
    <col min="14" max="14" width="28.6640625" customWidth="1"/>
    <col min="16" max="16" width="29.83203125" customWidth="1"/>
    <col min="17" max="17" width="31" customWidth="1"/>
    <col min="19" max="19" width="36.6640625" customWidth="1"/>
    <col min="20" max="20" width="39.1640625" customWidth="1"/>
    <col min="22" max="22" width="28.5" customWidth="1"/>
    <col min="23" max="23" width="31" customWidth="1"/>
    <col min="24" max="24" width="7.83203125" customWidth="1"/>
    <col min="25" max="25" width="31.5" customWidth="1"/>
    <col min="26" max="26" width="38.6640625" customWidth="1"/>
    <col min="28" max="28" width="34" customWidth="1"/>
    <col min="29" max="29" width="30.33203125" customWidth="1"/>
    <col min="31" max="31" width="30" customWidth="1"/>
    <col min="32" max="32" width="33.6640625" customWidth="1"/>
    <col min="34" max="34" width="25.33203125" customWidth="1"/>
    <col min="35" max="35" width="21.6640625" customWidth="1"/>
    <col min="37" max="37" width="19.5" customWidth="1"/>
    <col min="38" max="38" width="18.6640625" customWidth="1"/>
    <col min="40" max="41" width="19.1640625" customWidth="1"/>
    <col min="43" max="43" width="21.5" customWidth="1"/>
    <col min="44" max="44" width="17.1640625" customWidth="1"/>
    <col min="46" max="46" width="27.1640625" customWidth="1"/>
    <col min="47" max="47" width="38.6640625" customWidth="1"/>
    <col min="49" max="49" width="31.5" customWidth="1"/>
    <col min="50" max="50" width="36" customWidth="1"/>
    <col min="52" max="52" width="26.5" customWidth="1"/>
    <col min="53" max="53" width="34.5" customWidth="1"/>
    <col min="55" max="55" width="43.6640625" customWidth="1"/>
    <col min="56" max="56" width="30.83203125" customWidth="1"/>
    <col min="58" max="58" width="39" customWidth="1"/>
    <col min="59" max="59" width="30.1640625" customWidth="1"/>
    <col min="61" max="61" width="29.33203125" customWidth="1"/>
    <col min="62" max="62" width="33.6640625" customWidth="1"/>
  </cols>
  <sheetData>
    <row r="2" spans="1:63" ht="17" thickBot="1" x14ac:dyDescent="0.25"/>
    <row r="3" spans="1:63" ht="16" customHeight="1" x14ac:dyDescent="0.2">
      <c r="A3" s="145" t="s">
        <v>300</v>
      </c>
      <c r="B3" s="145" t="s">
        <v>298</v>
      </c>
      <c r="D3" s="145" t="s">
        <v>300</v>
      </c>
      <c r="E3" s="145" t="s">
        <v>299</v>
      </c>
      <c r="G3" s="145" t="s">
        <v>300</v>
      </c>
      <c r="H3" s="146" t="s">
        <v>301</v>
      </c>
      <c r="J3" s="145" t="s">
        <v>300</v>
      </c>
      <c r="K3" s="145" t="s">
        <v>302</v>
      </c>
      <c r="M3" s="145" t="s">
        <v>300</v>
      </c>
      <c r="N3" s="145" t="s">
        <v>303</v>
      </c>
      <c r="P3" s="145" t="s">
        <v>300</v>
      </c>
      <c r="Q3" s="145" t="s">
        <v>304</v>
      </c>
      <c r="S3" s="145" t="s">
        <v>298</v>
      </c>
      <c r="T3" s="145" t="s">
        <v>299</v>
      </c>
      <c r="V3" s="145" t="s">
        <v>298</v>
      </c>
      <c r="W3" s="146" t="s">
        <v>301</v>
      </c>
      <c r="Y3" s="145" t="s">
        <v>298</v>
      </c>
      <c r="Z3" s="145" t="s">
        <v>302</v>
      </c>
      <c r="AB3" s="145" t="s">
        <v>298</v>
      </c>
      <c r="AC3" s="145" t="s">
        <v>303</v>
      </c>
      <c r="AE3" s="145" t="s">
        <v>298</v>
      </c>
      <c r="AF3" s="145" t="s">
        <v>304</v>
      </c>
      <c r="AH3" s="145" t="s">
        <v>299</v>
      </c>
      <c r="AI3" s="146" t="s">
        <v>301</v>
      </c>
      <c r="AK3" s="145" t="s">
        <v>299</v>
      </c>
      <c r="AL3" s="145" t="s">
        <v>302</v>
      </c>
      <c r="AN3" s="145" t="s">
        <v>299</v>
      </c>
      <c r="AO3" s="145" t="s">
        <v>303</v>
      </c>
      <c r="AQ3" s="145" t="s">
        <v>299</v>
      </c>
      <c r="AR3" s="145" t="s">
        <v>304</v>
      </c>
      <c r="AT3" s="146" t="s">
        <v>301</v>
      </c>
      <c r="AU3" s="145" t="s">
        <v>302</v>
      </c>
      <c r="AW3" s="146" t="s">
        <v>301</v>
      </c>
      <c r="AX3" s="145" t="s">
        <v>303</v>
      </c>
      <c r="AZ3" s="146" t="s">
        <v>301</v>
      </c>
      <c r="BA3" s="145" t="s">
        <v>304</v>
      </c>
      <c r="BC3" s="145" t="s">
        <v>302</v>
      </c>
      <c r="BD3" s="145" t="s">
        <v>303</v>
      </c>
      <c r="BF3" s="145" t="s">
        <v>302</v>
      </c>
      <c r="BG3" s="145" t="s">
        <v>304</v>
      </c>
      <c r="BI3" s="145" t="s">
        <v>303</v>
      </c>
      <c r="BJ3" s="145" t="s">
        <v>304</v>
      </c>
    </row>
    <row r="4" spans="1:63" ht="17" thickBot="1" x14ac:dyDescent="0.25">
      <c r="A4" s="150"/>
      <c r="B4" s="150"/>
      <c r="D4" s="150"/>
      <c r="E4" s="150"/>
      <c r="G4" s="150"/>
      <c r="H4" s="150"/>
      <c r="J4" s="150"/>
      <c r="K4" s="150"/>
      <c r="M4" s="150"/>
      <c r="N4" s="150"/>
      <c r="P4" s="150"/>
      <c r="Q4" s="150"/>
      <c r="S4" s="150"/>
      <c r="T4" s="150"/>
      <c r="V4" s="150"/>
      <c r="W4" s="150"/>
      <c r="Y4" s="150"/>
      <c r="Z4" s="150"/>
      <c r="AB4" s="150"/>
      <c r="AC4" s="150"/>
      <c r="AE4" s="150"/>
      <c r="AF4" s="150"/>
      <c r="AH4" s="150"/>
      <c r="AI4" s="150"/>
      <c r="AK4" s="150"/>
      <c r="AL4" s="150"/>
      <c r="AN4" s="150"/>
      <c r="AO4" s="150"/>
      <c r="AQ4" s="150"/>
      <c r="AR4" s="150"/>
      <c r="AT4" s="150"/>
      <c r="AU4" s="150"/>
      <c r="AW4" s="150"/>
      <c r="AX4" s="150"/>
      <c r="AZ4" s="150"/>
      <c r="BA4" s="150"/>
      <c r="BC4" s="150"/>
      <c r="BD4" s="150"/>
      <c r="BF4" s="150"/>
      <c r="BG4" s="150"/>
      <c r="BI4" s="150"/>
      <c r="BJ4" s="150"/>
    </row>
    <row r="5" spans="1:63" x14ac:dyDescent="0.2">
      <c r="A5" s="114">
        <v>1.4973628691983123E-2</v>
      </c>
      <c r="B5" s="114">
        <v>2.1225701943844488E-2</v>
      </c>
      <c r="C5" s="114">
        <f>ABS(A5-B5)/A5</f>
        <v>0.41753895334727542</v>
      </c>
      <c r="D5" s="114">
        <f>Overview!B4</f>
        <v>1.7155601303825697E-2</v>
      </c>
      <c r="E5" s="114">
        <f>Overview!E4</f>
        <v>2.1596015602333905E-2</v>
      </c>
      <c r="F5" s="114">
        <f>ABS(D5-E5)/D5</f>
        <v>0.25883174946004345</v>
      </c>
      <c r="G5" s="114">
        <f>Overview!B5</f>
        <v>1.8335862417804754E-2</v>
      </c>
      <c r="H5" s="114">
        <f>Overview!F5</f>
        <v>1.9310691354613139E-2</v>
      </c>
      <c r="I5" s="114">
        <f>ABS(G5-H5)/G5</f>
        <v>5.3165153326073848E-2</v>
      </c>
      <c r="J5" s="114">
        <f>Overview!B3</f>
        <v>1.4973628691983123E-2</v>
      </c>
      <c r="K5" s="114">
        <f>Overview!G3</f>
        <v>1.4454743795292326E-2</v>
      </c>
      <c r="L5" s="114">
        <f>ABS(J5-K5)/J5</f>
        <v>3.4653249881146569E-2</v>
      </c>
      <c r="M5" s="114">
        <f>Overview!B3</f>
        <v>1.4973628691983123E-2</v>
      </c>
      <c r="N5" s="114">
        <f>Overview!H3</f>
        <v>1.9E-2</v>
      </c>
      <c r="O5" s="114">
        <f>ABS(M5-N5)/M5</f>
        <v>0.26889749911940819</v>
      </c>
      <c r="P5" s="114">
        <f>Overview!B3</f>
        <v>1.4973628691983123E-2</v>
      </c>
      <c r="Q5" s="114">
        <f>Overview!D3</f>
        <v>1.8266666666666667E-2</v>
      </c>
      <c r="R5" s="114">
        <f>ABS(P5-Q5)/P5</f>
        <v>0.21992250792532581</v>
      </c>
      <c r="S5" s="114">
        <f>Overview!C4</f>
        <v>2.7400793011185975E-2</v>
      </c>
      <c r="T5" s="114">
        <f>Overview!E4</f>
        <v>2.1596015602333905E-2</v>
      </c>
      <c r="U5" s="114">
        <f>ABS(S5-T5)/S5</f>
        <v>0.21184705882352947</v>
      </c>
      <c r="V5" s="114">
        <f>Overview!C5</f>
        <v>2.6618581487205903E-2</v>
      </c>
      <c r="W5" s="114">
        <f>Overview!F5</f>
        <v>1.9310691354613139E-2</v>
      </c>
      <c r="X5" s="114">
        <f>ABS(V5-W5)/V5</f>
        <v>0.274540930594114</v>
      </c>
      <c r="Y5" s="114">
        <f>Overview!C3</f>
        <v>2.1225701943844488E-2</v>
      </c>
      <c r="Z5" s="114">
        <f>Overview!G3</f>
        <v>1.4454743795292326E-2</v>
      </c>
      <c r="AA5" s="114">
        <f>ABS(Y5-Z5)/Y5</f>
        <v>0.31899807914318512</v>
      </c>
      <c r="AB5" s="114">
        <f>Overview!C3</f>
        <v>2.1225701943844488E-2</v>
      </c>
      <c r="AC5" s="114">
        <f>Overview!H3</f>
        <v>1.9E-2</v>
      </c>
      <c r="AD5" s="114">
        <f>ABS(AB5-AC5)/AB5</f>
        <v>0.10485881455100468</v>
      </c>
      <c r="AE5" s="114">
        <f>Overview!C3</f>
        <v>2.1225701943844488E-2</v>
      </c>
      <c r="AF5" s="114">
        <f>Overview!D3</f>
        <v>1.8266666666666667E-2</v>
      </c>
      <c r="AG5" s="114">
        <f>ABS(AE5-AF5)/AE5</f>
        <v>0.13940812346307113</v>
      </c>
      <c r="AH5" s="114">
        <f>Overview!E5</f>
        <v>2.1738279237506441E-2</v>
      </c>
      <c r="AI5" s="114">
        <f>Overview!F5</f>
        <v>1.9310691354613139E-2</v>
      </c>
      <c r="AJ5" s="114">
        <f>ABS(AH5-AI5)/AH5</f>
        <v>0.11167341519400624</v>
      </c>
      <c r="AK5" s="114">
        <f>Overview!E4</f>
        <v>2.1596015602333905E-2</v>
      </c>
      <c r="AL5" s="114">
        <f>Overview!G4</f>
        <v>2.0842312585967006E-2</v>
      </c>
      <c r="AM5" s="114">
        <f>ABS(AK5-AL5)/AK5</f>
        <v>3.490009593646734E-2</v>
      </c>
      <c r="AN5" s="114">
        <f>Overview!E4</f>
        <v>2.1596015602333905E-2</v>
      </c>
      <c r="AO5" s="114">
        <f>Overview!H4</f>
        <v>2.3912834987313801E-2</v>
      </c>
      <c r="AP5" s="114">
        <f>ABS(AN5-AO5)/AN5</f>
        <v>0.10727994587712351</v>
      </c>
      <c r="AQ5" s="114">
        <f>Overview!E4</f>
        <v>2.1596015602333905E-2</v>
      </c>
      <c r="AR5" s="114">
        <f>Overview!D4</f>
        <v>2.2388059701492536E-2</v>
      </c>
      <c r="AS5" s="114">
        <f>ABS(AQ5-AR5)/AQ5</f>
        <v>3.6675473556938641E-2</v>
      </c>
      <c r="AT5" s="114">
        <f>Overview!F5</f>
        <v>1.9310691354613139E-2</v>
      </c>
      <c r="AU5" s="114">
        <f>Overview!G5</f>
        <v>1.9808164212606581E-2</v>
      </c>
      <c r="AV5" s="114">
        <f>ABS(AT5-AU5)/AT5</f>
        <v>2.5761524994525945E-2</v>
      </c>
      <c r="AW5" s="114">
        <f>Overview!F5</f>
        <v>1.9310691354613139E-2</v>
      </c>
      <c r="AX5" s="114">
        <f>Overview!H5</f>
        <v>2.11365784332311E-2</v>
      </c>
      <c r="AY5" s="114">
        <f>ABS(AW5-AX5)/AW5</f>
        <v>9.4553169800509193E-2</v>
      </c>
      <c r="AZ5" s="114">
        <f>Overview!F5</f>
        <v>1.9310691354613139E-2</v>
      </c>
      <c r="BA5" s="114">
        <f>Overview!D5</f>
        <v>2.0933333333333335E-2</v>
      </c>
      <c r="BB5" s="114">
        <f>ABS(AZ5-BA5)/AZ5</f>
        <v>8.4028165999999918E-2</v>
      </c>
      <c r="BC5" s="114">
        <f>Overview!G3</f>
        <v>1.4454743795292326E-2</v>
      </c>
      <c r="BD5" s="114">
        <f>Overview!H3</f>
        <v>1.9E-2</v>
      </c>
      <c r="BE5" s="114">
        <f>ABS(BC5-BD5)/BC5</f>
        <v>0.31444737236975379</v>
      </c>
      <c r="BF5" s="114">
        <f>Overview!G3</f>
        <v>1.4454743795292326E-2</v>
      </c>
      <c r="BG5" s="114">
        <f>Overview!D3</f>
        <v>1.8266666666666667E-2</v>
      </c>
      <c r="BH5" s="114">
        <f>ABS(BF5-BG5)/BF5</f>
        <v>0.26371431589232475</v>
      </c>
      <c r="BI5" s="114">
        <f>Overview!H3</f>
        <v>1.9E-2</v>
      </c>
      <c r="BJ5" s="114">
        <f>Overview!D3</f>
        <v>1.8266666666666667E-2</v>
      </c>
      <c r="BK5" s="114">
        <f>ABS(BI5-BJ5)/BI5</f>
        <v>3.8596491228070129E-2</v>
      </c>
    </row>
    <row r="6" spans="1:63" ht="17" customHeight="1" x14ac:dyDescent="0.2">
      <c r="A6" s="114">
        <v>1.7155601303825697E-2</v>
      </c>
      <c r="B6" s="114">
        <v>2.7400793011185975E-2</v>
      </c>
      <c r="C6" s="114">
        <f t="shared" ref="C6:C54" si="0">ABS(A6-B6)/A6</f>
        <v>0.5971922246220307</v>
      </c>
      <c r="D6" s="114">
        <f>Overview!B5</f>
        <v>1.8335862417804754E-2</v>
      </c>
      <c r="E6" s="114">
        <f>Overview!E5</f>
        <v>2.1738279237506441E-2</v>
      </c>
      <c r="F6" s="114">
        <f t="shared" ref="F6:F40" si="1">ABS(D6-E6)/D6</f>
        <v>0.18556077386345476</v>
      </c>
      <c r="G6" s="114">
        <f>Overview!B9</f>
        <v>2.0380980712360799E-2</v>
      </c>
      <c r="H6" s="114">
        <f>Overview!F9</f>
        <v>2.5004961622810521E-2</v>
      </c>
      <c r="I6" s="114">
        <f t="shared" ref="I6:I23" si="2">ABS(G6-H6)/G6</f>
        <v>0.22687725265572417</v>
      </c>
      <c r="J6" s="114">
        <f>Overview!B4</f>
        <v>1.7155601303825697E-2</v>
      </c>
      <c r="K6" s="114">
        <f>Overview!G4</f>
        <v>2.0842312585967006E-2</v>
      </c>
      <c r="L6" s="114">
        <f t="shared" ref="L6:L45" si="3">ABS(J6-K6)/J6</f>
        <v>0.21489840063601692</v>
      </c>
      <c r="M6" s="114">
        <f>Overview!B4</f>
        <v>1.7155601303825697E-2</v>
      </c>
      <c r="N6" s="114">
        <f>Overview!H4</f>
        <v>2.3912834987313801E-2</v>
      </c>
      <c r="O6" s="114">
        <f t="shared" ref="O6:O46" si="4">ABS(M6-N6)/M6</f>
        <v>0.39387915141052166</v>
      </c>
      <c r="P6" s="114">
        <f>Overview!B4</f>
        <v>1.7155601303825697E-2</v>
      </c>
      <c r="Q6" s="114">
        <f>Overview!D4</f>
        <v>2.2388059701492536E-2</v>
      </c>
      <c r="R6" s="114">
        <f t="shared" ref="R6:R53" si="5">ABS(P6-Q6)/P6</f>
        <v>0.3050000000000001</v>
      </c>
      <c r="S6" s="114">
        <f>Overview!C5</f>
        <v>2.6618581487205903E-2</v>
      </c>
      <c r="T6" s="114">
        <f>Overview!E5</f>
        <v>2.1738279237506441E-2</v>
      </c>
      <c r="U6" s="114">
        <f>ABS(S6-T6)/S6</f>
        <v>0.18334193548387079</v>
      </c>
      <c r="V6" s="114">
        <f>Overview!C9</f>
        <v>3.409633350760348E-2</v>
      </c>
      <c r="W6" s="114">
        <f>Overview!F9</f>
        <v>2.5004961622810521E-2</v>
      </c>
      <c r="X6" s="114">
        <f t="shared" ref="X6:X23" si="6">ABS(V6-W6)/V6</f>
        <v>0.26663781555179777</v>
      </c>
      <c r="Y6" s="114">
        <f>Overview!C4</f>
        <v>2.7400793011185975E-2</v>
      </c>
      <c r="Z6" s="114">
        <f>Overview!G4</f>
        <v>2.0842312585967006E-2</v>
      </c>
      <c r="AA6" s="114">
        <f t="shared" ref="AA6:AA45" si="7">ABS(Y6-Z6)/Y6</f>
        <v>0.23935367208319722</v>
      </c>
      <c r="AB6" s="114">
        <f>Overview!C4</f>
        <v>2.7400793011185975E-2</v>
      </c>
      <c r="AC6" s="114">
        <f>Overview!H4</f>
        <v>2.3912834987313801E-2</v>
      </c>
      <c r="AD6" s="114">
        <f t="shared" ref="AD6:AD46" si="8">ABS(AB6-AC6)/AB6</f>
        <v>0.12729405395122201</v>
      </c>
      <c r="AE6" s="114">
        <f>Overview!C4</f>
        <v>2.7400793011185975E-2</v>
      </c>
      <c r="AF6" s="114">
        <f>Overview!D4</f>
        <v>2.2388059701492536E-2</v>
      </c>
      <c r="AG6" s="114">
        <f t="shared" ref="AG6:AG43" si="9">ABS(AE6-AF6)/AE6</f>
        <v>0.18294117647058841</v>
      </c>
      <c r="AH6" s="114">
        <f>Overview!E9</f>
        <v>2.7488558785867451E-2</v>
      </c>
      <c r="AI6" s="114">
        <f>Overview!F9</f>
        <v>2.5004961622810521E-2</v>
      </c>
      <c r="AJ6" s="114">
        <f t="shared" ref="AJ6:AJ20" si="10">ABS(AH6-AI6)/AH6</f>
        <v>9.0350213789084075E-2</v>
      </c>
      <c r="AK6" s="114">
        <f>Overview!E5</f>
        <v>2.1738279237506441E-2</v>
      </c>
      <c r="AL6" s="114">
        <f>Overview!G5</f>
        <v>1.9808164212606581E-2</v>
      </c>
      <c r="AM6" s="114">
        <f t="shared" ref="AM6:AM37" si="11">ABS(AK6-AL6)/AK6</f>
        <v>8.8788767676224747E-2</v>
      </c>
      <c r="AN6" s="114">
        <f>Overview!E5</f>
        <v>2.1738279237506441E-2</v>
      </c>
      <c r="AO6" s="114">
        <f>Overview!H5</f>
        <v>2.11365784332311E-2</v>
      </c>
      <c r="AP6" s="114">
        <f t="shared" ref="AP6:AP35" si="12">ABS(AN6-AO6)/AN6</f>
        <v>2.767932078253867E-2</v>
      </c>
      <c r="AQ6" s="114">
        <f>Overview!E5</f>
        <v>2.1738279237506441E-2</v>
      </c>
      <c r="AR6" s="114">
        <f>Overview!D5</f>
        <v>2.0933333333333335E-2</v>
      </c>
      <c r="AS6" s="114">
        <f t="shared" ref="AS6:AS40" si="13">ABS(AQ6-AR6)/AQ6</f>
        <v>3.7028961463715176E-2</v>
      </c>
      <c r="AT6" s="114">
        <f>Overview!F9</f>
        <v>2.5004961622810521E-2</v>
      </c>
      <c r="AU6" s="114">
        <f>Overview!G9</f>
        <v>3.1136511210591595E-2</v>
      </c>
      <c r="AV6" s="114">
        <f t="shared" ref="AV6:AV16" si="14">ABS(AT6-AU6)/AT6</f>
        <v>0.2452133172717062</v>
      </c>
      <c r="AW6" s="114">
        <f>Overview!F9</f>
        <v>2.5004961622810521E-2</v>
      </c>
      <c r="AX6" s="114">
        <f>Overview!H9</f>
        <v>3.1099999999999999E-2</v>
      </c>
      <c r="AY6" s="114">
        <f t="shared" ref="AY6:AY17" si="15">ABS(AW6-AX6)/AW6</f>
        <v>0.24375315863829766</v>
      </c>
      <c r="AZ6" s="114">
        <f>Overview!F9</f>
        <v>2.5004961622810521E-2</v>
      </c>
      <c r="BA6" s="114">
        <f>Overview!D9</f>
        <v>3.0121951219512194E-2</v>
      </c>
      <c r="BB6" s="114">
        <f t="shared" ref="BB6:BB23" si="16">ABS(AZ6-BA6)/AZ6</f>
        <v>0.20463897021276575</v>
      </c>
      <c r="BC6" s="114">
        <f>Overview!G4</f>
        <v>2.0842312585967006E-2</v>
      </c>
      <c r="BD6" s="114">
        <f>Overview!H4</f>
        <v>2.3912834987313801E-2</v>
      </c>
      <c r="BE6" s="114">
        <f t="shared" ref="BE6:BE40" si="17">ABS(BC6-BD6)/BC6</f>
        <v>0.1473215790561628</v>
      </c>
      <c r="BF6" s="114">
        <f>Overview!G4</f>
        <v>2.0842312585967006E-2</v>
      </c>
      <c r="BG6" s="114">
        <f>Overview!D4</f>
        <v>2.2388059701492536E-2</v>
      </c>
      <c r="BH6" s="114">
        <f t="shared" ref="BH6:BH45" si="18">ABS(BF6-BG6)/BF6</f>
        <v>7.4163896599759846E-2</v>
      </c>
      <c r="BI6" s="114">
        <f>Overview!H4</f>
        <v>2.3912834987313801E-2</v>
      </c>
      <c r="BJ6" s="114">
        <f>Overview!D4</f>
        <v>2.2388059701492536E-2</v>
      </c>
      <c r="BK6" s="114">
        <f t="shared" ref="BK6:BK46" si="19">ABS(BI6-BJ6)/BI6</f>
        <v>6.3763886073323645E-2</v>
      </c>
    </row>
    <row r="7" spans="1:63" x14ac:dyDescent="0.2">
      <c r="A7" s="114">
        <v>1.8335862417804754E-2</v>
      </c>
      <c r="B7" s="114">
        <v>2.6618581487205903E-2</v>
      </c>
      <c r="C7" s="114">
        <f t="shared" si="0"/>
        <v>0.45172236138499511</v>
      </c>
      <c r="D7" s="114">
        <f>Overview!B7</f>
        <v>1.7757516552697274E-2</v>
      </c>
      <c r="E7" s="114">
        <f>Overview!E7</f>
        <v>2.1769100060915009E-2</v>
      </c>
      <c r="F7" s="114">
        <f t="shared" si="1"/>
        <v>0.22590903949394858</v>
      </c>
      <c r="G7" s="114">
        <f>Overview!B10</f>
        <v>1.502087832973362E-2</v>
      </c>
      <c r="H7" s="114">
        <f>Overview!F10</f>
        <v>2.0504068530704626E-2</v>
      </c>
      <c r="I7" s="114">
        <f t="shared" si="2"/>
        <v>0.36503792125904561</v>
      </c>
      <c r="J7" s="114">
        <f>Overview!B5</f>
        <v>1.8335862417804754E-2</v>
      </c>
      <c r="K7" s="114">
        <f>Overview!G5</f>
        <v>1.9808164212606581E-2</v>
      </c>
      <c r="L7" s="114">
        <f t="shared" si="3"/>
        <v>8.0296293746847242E-2</v>
      </c>
      <c r="M7" s="114">
        <f>Overview!B5</f>
        <v>1.8335862417804754E-2</v>
      </c>
      <c r="N7" s="114">
        <f>Overview!H5</f>
        <v>2.11365784332311E-2</v>
      </c>
      <c r="O7" s="114">
        <f t="shared" si="4"/>
        <v>0.1527452568964934</v>
      </c>
      <c r="P7" s="114">
        <f>Overview!B5</f>
        <v>1.8335862417804754E-2</v>
      </c>
      <c r="Q7" s="114">
        <f>Overview!D5</f>
        <v>2.0933333333333335E-2</v>
      </c>
      <c r="R7" s="114">
        <f t="shared" si="5"/>
        <v>0.14166068965517256</v>
      </c>
      <c r="S7" s="114">
        <f>Overview!C7</f>
        <v>2.0134013016575303E-2</v>
      </c>
      <c r="T7" s="114">
        <f>Overview!E7</f>
        <v>2.1769100060915009E-2</v>
      </c>
      <c r="U7" s="114">
        <f t="shared" ref="U7:U32" si="20">ABS(S7-T7)/S7</f>
        <v>8.1210191082802141E-2</v>
      </c>
      <c r="V7" s="114">
        <f>Overview!C10</f>
        <v>2.8917950710000428E-2</v>
      </c>
      <c r="W7" s="114">
        <f>Overview!F10</f>
        <v>2.0504068530704626E-2</v>
      </c>
      <c r="X7" s="114">
        <f t="shared" si="6"/>
        <v>0.29095706897329021</v>
      </c>
      <c r="Y7" s="114">
        <f>Overview!C5</f>
        <v>2.6618581487205903E-2</v>
      </c>
      <c r="Z7" s="114">
        <f>Overview!G5</f>
        <v>1.9808164212606581E-2</v>
      </c>
      <c r="AA7" s="114">
        <f t="shared" si="7"/>
        <v>0.25585199864510877</v>
      </c>
      <c r="AB7" s="114">
        <f>Overview!C5</f>
        <v>2.6618581487205903E-2</v>
      </c>
      <c r="AC7" s="114">
        <f>Overview!H5</f>
        <v>2.11365784332311E-2</v>
      </c>
      <c r="AD7" s="114">
        <f t="shared" si="8"/>
        <v>0.2059464760212599</v>
      </c>
      <c r="AE7" s="114">
        <f>Overview!C5</f>
        <v>2.6618581487205903E-2</v>
      </c>
      <c r="AF7" s="114">
        <f>Overview!D5</f>
        <v>2.0933333333333335E-2</v>
      </c>
      <c r="AG7" s="114">
        <f t="shared" si="9"/>
        <v>0.21358193548387078</v>
      </c>
      <c r="AH7" s="114">
        <f>Overview!E10</f>
        <v>2.1721610773015668E-2</v>
      </c>
      <c r="AI7" s="114">
        <f>Overview!F10</f>
        <v>2.0504068530704626E-2</v>
      </c>
      <c r="AJ7" s="114">
        <f t="shared" si="10"/>
        <v>5.6052115795370491E-2</v>
      </c>
      <c r="AK7" s="114">
        <f>Overview!E7</f>
        <v>2.1769100060915009E-2</v>
      </c>
      <c r="AL7" s="114">
        <f>Overview!G7</f>
        <v>1.962226134258228E-2</v>
      </c>
      <c r="AM7" s="114">
        <f t="shared" si="11"/>
        <v>9.8618625130362472E-2</v>
      </c>
      <c r="AN7" s="114">
        <f>Overview!E7</f>
        <v>2.1769100060915009E-2</v>
      </c>
      <c r="AO7" s="114">
        <f>Overview!H7</f>
        <v>2.023519258185745E-2</v>
      </c>
      <c r="AP7" s="114">
        <f t="shared" si="12"/>
        <v>7.0462604093202222E-2</v>
      </c>
      <c r="AQ7" s="114">
        <f>Overview!E7</f>
        <v>2.1769100060915009E-2</v>
      </c>
      <c r="AR7" s="114">
        <f>Overview!D7</f>
        <v>1.6108108108108109E-2</v>
      </c>
      <c r="AS7" s="114">
        <f t="shared" si="13"/>
        <v>0.26004712812960235</v>
      </c>
      <c r="AT7" s="114">
        <f>Overview!F10</f>
        <v>2.0504068530704626E-2</v>
      </c>
      <c r="AU7" s="114">
        <f>Overview!G10</f>
        <v>2.6331405352900066E-2</v>
      </c>
      <c r="AV7" s="114">
        <f t="shared" si="14"/>
        <v>0.28420392828228525</v>
      </c>
      <c r="AW7" s="114">
        <f>Overview!F10</f>
        <v>2.0504068530704626E-2</v>
      </c>
      <c r="AX7" s="114">
        <f>Overview!H10</f>
        <v>2.98E-2</v>
      </c>
      <c r="AY7" s="114">
        <f t="shared" si="15"/>
        <v>0.45337009361702113</v>
      </c>
      <c r="AZ7" s="114">
        <f>Overview!F10</f>
        <v>2.0504068530704626E-2</v>
      </c>
      <c r="BA7" s="114">
        <f>Overview!D10</f>
        <v>2.5266666666666666E-2</v>
      </c>
      <c r="BB7" s="114">
        <f t="shared" si="16"/>
        <v>0.23227576170212755</v>
      </c>
      <c r="BC7" s="114">
        <f>Overview!G5</f>
        <v>1.9808164212606581E-2</v>
      </c>
      <c r="BD7" s="114">
        <f>Overview!H5</f>
        <v>2.11365784332311E-2</v>
      </c>
      <c r="BE7" s="114">
        <f t="shared" si="17"/>
        <v>6.7063974549396721E-2</v>
      </c>
      <c r="BF7" s="114">
        <f>Overview!G5</f>
        <v>1.9808164212606581E-2</v>
      </c>
      <c r="BG7" s="114">
        <f>Overview!D5</f>
        <v>2.0933333333333335E-2</v>
      </c>
      <c r="BH7" s="114">
        <f t="shared" si="18"/>
        <v>5.680330133827638E-2</v>
      </c>
      <c r="BI7" s="114">
        <f>Overview!H5</f>
        <v>2.11365784332311E-2</v>
      </c>
      <c r="BJ7" s="114">
        <f>Overview!D5</f>
        <v>2.0933333333333335E-2</v>
      </c>
      <c r="BK7" s="114">
        <f t="shared" si="19"/>
        <v>9.6157994795515855E-3</v>
      </c>
    </row>
    <row r="8" spans="1:63" ht="16" customHeight="1" x14ac:dyDescent="0.2">
      <c r="A8" s="114">
        <v>1.3905139814485087E-2</v>
      </c>
      <c r="B8" s="114">
        <v>2.1683263732733694E-2</v>
      </c>
      <c r="C8" s="114">
        <f t="shared" si="0"/>
        <v>0.55937042144272997</v>
      </c>
      <c r="D8" s="114">
        <f>Overview!B9</f>
        <v>2.0380980712360799E-2</v>
      </c>
      <c r="E8" s="114">
        <f>Overview!E9</f>
        <v>2.7488558785867451E-2</v>
      </c>
      <c r="F8" s="114">
        <f t="shared" si="1"/>
        <v>0.34873582256991187</v>
      </c>
      <c r="G8" s="114">
        <f>Overview!B13</f>
        <v>2.6129943502824857E-2</v>
      </c>
      <c r="H8" s="114">
        <f>Overview!F13</f>
        <v>1.5885416666666669E-2</v>
      </c>
      <c r="I8" s="114">
        <f t="shared" si="2"/>
        <v>0.39206081081081068</v>
      </c>
      <c r="J8" s="114">
        <f>Overview!B6</f>
        <v>1.3905139814485087E-2</v>
      </c>
      <c r="K8" s="114">
        <f>Overview!G6</f>
        <v>1.5173537318064468E-2</v>
      </c>
      <c r="L8" s="114">
        <f t="shared" si="3"/>
        <v>9.1217889248267861E-2</v>
      </c>
      <c r="M8" s="114">
        <f>Overview!B6</f>
        <v>1.3905139814485087E-2</v>
      </c>
      <c r="N8" s="114">
        <f>Overview!H6</f>
        <v>1.8194732838307477E-2</v>
      </c>
      <c r="O8" s="114">
        <f t="shared" si="4"/>
        <v>0.30848974415589037</v>
      </c>
      <c r="P8" s="114">
        <f>Overview!B6</f>
        <v>1.3905139814485087E-2</v>
      </c>
      <c r="Q8" s="114">
        <f>Overview!D6</f>
        <v>1.7575757575757574E-2</v>
      </c>
      <c r="R8" s="114">
        <f t="shared" si="5"/>
        <v>0.26397560975609735</v>
      </c>
      <c r="S8" s="114">
        <f>Overview!C9</f>
        <v>3.409633350760348E-2</v>
      </c>
      <c r="T8" s="114">
        <f>Overview!E9</f>
        <v>2.7488558785867451E-2</v>
      </c>
      <c r="U8" s="114">
        <f t="shared" si="20"/>
        <v>0.19379722222222209</v>
      </c>
      <c r="V8" s="114">
        <f>Overview!C13</f>
        <v>4.0849673202614387E-2</v>
      </c>
      <c r="W8" s="114">
        <f>Overview!F13</f>
        <v>1.5885416666666669E-2</v>
      </c>
      <c r="X8" s="114">
        <f t="shared" si="6"/>
        <v>0.61112500000000003</v>
      </c>
      <c r="Y8" s="114">
        <f>Overview!C6</f>
        <v>2.1683263732733694E-2</v>
      </c>
      <c r="Z8" s="114">
        <f>Overview!G6</f>
        <v>1.5173537318064468E-2</v>
      </c>
      <c r="AA8" s="114">
        <f t="shared" si="7"/>
        <v>0.3002189382054119</v>
      </c>
      <c r="AB8" s="114">
        <f>Overview!C6</f>
        <v>2.1683263732733694E-2</v>
      </c>
      <c r="AC8" s="114">
        <f>Overview!H6</f>
        <v>1.8194732838307477E-2</v>
      </c>
      <c r="AD8" s="114">
        <f t="shared" si="8"/>
        <v>0.16088587665701951</v>
      </c>
      <c r="AE8" s="114">
        <f>Overview!C6</f>
        <v>2.1683263732733694E-2</v>
      </c>
      <c r="AF8" s="114">
        <f>Overview!D6</f>
        <v>1.7575757575757574E-2</v>
      </c>
      <c r="AG8" s="114">
        <f t="shared" si="9"/>
        <v>0.18943209876543204</v>
      </c>
      <c r="AH8" s="114">
        <f>Overview!E13</f>
        <v>3.3870829033367737E-2</v>
      </c>
      <c r="AI8" s="114">
        <f>Overview!F13</f>
        <v>1.5885416666666669E-2</v>
      </c>
      <c r="AJ8" s="114">
        <f t="shared" si="10"/>
        <v>0.53100006347594264</v>
      </c>
      <c r="AK8" s="114">
        <f>Overview!E9</f>
        <v>2.7488558785867451E-2</v>
      </c>
      <c r="AL8" s="114">
        <f>Overview!G9</f>
        <v>3.1136511210591595E-2</v>
      </c>
      <c r="AM8" s="114">
        <f t="shared" si="11"/>
        <v>0.13270802784319297</v>
      </c>
      <c r="AN8" s="114">
        <f>Overview!E9</f>
        <v>2.7488558785867451E-2</v>
      </c>
      <c r="AO8" s="114">
        <f>Overview!H9</f>
        <v>3.1099999999999999E-2</v>
      </c>
      <c r="AP8" s="114">
        <f t="shared" si="12"/>
        <v>0.13137979485447887</v>
      </c>
      <c r="AQ8" s="114">
        <f>Overview!E9</f>
        <v>2.7488558785867451E-2</v>
      </c>
      <c r="AR8" s="114">
        <f>Overview!D9</f>
        <v>3.0121951219512194E-2</v>
      </c>
      <c r="AS8" s="114">
        <f t="shared" si="13"/>
        <v>9.5799581715380278E-2</v>
      </c>
      <c r="AT8" s="114">
        <f>Overview!F19</f>
        <v>2.3527383546380294E-2</v>
      </c>
      <c r="AU8" s="114">
        <f>Overview!G19</f>
        <v>2.1505421768622586E-2</v>
      </c>
      <c r="AV8" s="114">
        <f t="shared" si="14"/>
        <v>8.5940783588270633E-2</v>
      </c>
      <c r="AW8" s="114">
        <f>Overview!F13</f>
        <v>1.5885416666666669E-2</v>
      </c>
      <c r="AX8" s="114">
        <f>Overview!H13</f>
        <v>2.6249999999999999E-2</v>
      </c>
      <c r="AY8" s="114">
        <f t="shared" si="15"/>
        <v>0.65245901639344228</v>
      </c>
      <c r="AZ8" s="114">
        <f>Overview!F13</f>
        <v>1.5885416666666669E-2</v>
      </c>
      <c r="BA8" s="114">
        <f>Overview!D13</f>
        <v>3.1875000000000001E-2</v>
      </c>
      <c r="BB8" s="114">
        <f t="shared" si="16"/>
        <v>1.00655737704918</v>
      </c>
      <c r="BC8" s="114">
        <f>Overview!G6</f>
        <v>1.5173537318064468E-2</v>
      </c>
      <c r="BD8" s="114">
        <f>Overview!H6</f>
        <v>1.8194732838307477E-2</v>
      </c>
      <c r="BE8" s="114">
        <f t="shared" si="17"/>
        <v>0.1991095060376068</v>
      </c>
      <c r="BF8" s="114">
        <f>Overview!G6</f>
        <v>1.5173537318064468E-2</v>
      </c>
      <c r="BG8" s="114">
        <f>Overview!D6</f>
        <v>1.7575757575757574E-2</v>
      </c>
      <c r="BH8" s="114">
        <f t="shared" si="18"/>
        <v>0.15831642993576747</v>
      </c>
      <c r="BI8" s="114">
        <f>Overview!H6</f>
        <v>1.8194732838307477E-2</v>
      </c>
      <c r="BJ8" s="114">
        <f>Overview!D6</f>
        <v>1.7575757575757574E-2</v>
      </c>
      <c r="BK8" s="114">
        <f t="shared" si="19"/>
        <v>3.4019475199256702E-2</v>
      </c>
    </row>
    <row r="9" spans="1:63" x14ac:dyDescent="0.2">
      <c r="A9" s="114">
        <v>1.7757516552697274E-2</v>
      </c>
      <c r="B9" s="114">
        <v>2.0134013016575303E-2</v>
      </c>
      <c r="C9" s="114">
        <f t="shared" si="0"/>
        <v>0.13383045184418263</v>
      </c>
      <c r="D9" s="114">
        <f>Overview!B10</f>
        <v>1.502087832973362E-2</v>
      </c>
      <c r="E9" s="114">
        <f>Overview!E10</f>
        <v>2.1721610773015668E-2</v>
      </c>
      <c r="F9" s="114">
        <f t="shared" si="1"/>
        <v>0.44609458223345305</v>
      </c>
      <c r="G9" s="114">
        <f>Overview!B14</f>
        <v>2.0415385034161744E-2</v>
      </c>
      <c r="H9" s="114">
        <f>Overview!F14</f>
        <v>1.076470588235294E-2</v>
      </c>
      <c r="I9" s="114">
        <f t="shared" si="2"/>
        <v>0.47271600000000003</v>
      </c>
      <c r="J9" s="114">
        <f>Overview!B7</f>
        <v>1.7757516552697274E-2</v>
      </c>
      <c r="K9" s="114">
        <f>Overview!G7</f>
        <v>1.962226134258228E-2</v>
      </c>
      <c r="L9" s="114">
        <f t="shared" si="3"/>
        <v>0.10501157548417214</v>
      </c>
      <c r="M9" s="114">
        <f>Overview!B7</f>
        <v>1.7757516552697274E-2</v>
      </c>
      <c r="N9" s="114">
        <f>Overview!H7</f>
        <v>2.023519258185745E-2</v>
      </c>
      <c r="O9" s="114">
        <f t="shared" si="4"/>
        <v>0.13952829618980869</v>
      </c>
      <c r="P9" s="114">
        <f>Overview!B7</f>
        <v>1.7757516552697274E-2</v>
      </c>
      <c r="Q9" s="114">
        <f>Overview!D7</f>
        <v>1.6108108108108109E-2</v>
      </c>
      <c r="R9" s="114">
        <f t="shared" si="5"/>
        <v>9.2885085574572035E-2</v>
      </c>
      <c r="S9" s="114">
        <f>Overview!C10</f>
        <v>2.8917950710000428E-2</v>
      </c>
      <c r="T9" s="114">
        <f>Overview!E10</f>
        <v>2.1721610773015668E-2</v>
      </c>
      <c r="U9" s="114">
        <f t="shared" si="20"/>
        <v>0.24885373134328348</v>
      </c>
      <c r="V9" s="114">
        <f>Overview!C14</f>
        <v>3.1762164909160215E-2</v>
      </c>
      <c r="W9" s="114">
        <f>Overview!F14</f>
        <v>1.076470588235294E-2</v>
      </c>
      <c r="X9" s="114">
        <f t="shared" si="6"/>
        <v>0.66108400000000012</v>
      </c>
      <c r="Y9" s="114">
        <f>Overview!C7</f>
        <v>2.0134013016575303E-2</v>
      </c>
      <c r="Z9" s="114">
        <f>Overview!G7</f>
        <v>1.962226134258228E-2</v>
      </c>
      <c r="AA9" s="114">
        <f t="shared" si="7"/>
        <v>2.5417271438720308E-2</v>
      </c>
      <c r="AB9" s="114">
        <f>Overview!C7</f>
        <v>2.0134013016575303E-2</v>
      </c>
      <c r="AC9" s="114">
        <f>Overview!H7</f>
        <v>2.023519258185745E-2</v>
      </c>
      <c r="AD9" s="114">
        <f t="shared" si="8"/>
        <v>5.0253054469991338E-3</v>
      </c>
      <c r="AE9" s="114">
        <f>Overview!C7</f>
        <v>2.0134013016575303E-2</v>
      </c>
      <c r="AF9" s="114">
        <f>Overview!D7</f>
        <v>1.6108108108108109E-2</v>
      </c>
      <c r="AG9" s="114">
        <f t="shared" si="9"/>
        <v>0.19995541401273917</v>
      </c>
      <c r="AH9" s="114">
        <f>Overview!E14</f>
        <v>2.7779189429551519E-2</v>
      </c>
      <c r="AI9" s="114">
        <f>Overview!F14</f>
        <v>1.076470588235294E-2</v>
      </c>
      <c r="AJ9" s="114">
        <f t="shared" si="10"/>
        <v>0.61249028127143845</v>
      </c>
      <c r="AK9" s="114">
        <f>Overview!E10</f>
        <v>2.1721610773015668E-2</v>
      </c>
      <c r="AL9" s="114">
        <f>Overview!G10</f>
        <v>2.6331405352900066E-2</v>
      </c>
      <c r="AM9" s="114">
        <f t="shared" si="11"/>
        <v>0.21222158098933691</v>
      </c>
      <c r="AN9" s="114">
        <f>Overview!E10</f>
        <v>2.1721610773015668E-2</v>
      </c>
      <c r="AO9" s="114">
        <f>Overview!H10</f>
        <v>2.98E-2</v>
      </c>
      <c r="AP9" s="114">
        <f t="shared" si="12"/>
        <v>0.37190562483607142</v>
      </c>
      <c r="AQ9" s="114">
        <f>Overview!E10</f>
        <v>2.1721610773015668E-2</v>
      </c>
      <c r="AR9" s="114">
        <f>Overview!D10</f>
        <v>2.5266666666666666E-2</v>
      </c>
      <c r="AS9" s="114">
        <f t="shared" si="13"/>
        <v>0.1632040980153715</v>
      </c>
      <c r="AT9" s="114">
        <f>Overview!F20</f>
        <v>2.0166328754040251E-2</v>
      </c>
      <c r="AU9" s="114">
        <f>Overview!G20</f>
        <v>2.0469488397419605E-2</v>
      </c>
      <c r="AV9" s="114">
        <f t="shared" si="14"/>
        <v>1.5032961481331455E-2</v>
      </c>
      <c r="AW9" s="114">
        <f>Overview!F14</f>
        <v>1.076470588235294E-2</v>
      </c>
      <c r="AX9" s="114">
        <f>Overview!H14</f>
        <v>1.9722222222222221E-2</v>
      </c>
      <c r="AY9" s="114">
        <f t="shared" si="15"/>
        <v>0.83211900425015184</v>
      </c>
      <c r="AZ9" s="114">
        <f>Overview!F14</f>
        <v>1.076470588235294E-2</v>
      </c>
      <c r="BA9" s="114">
        <f>Overview!D14</f>
        <v>2.1911764705882353E-2</v>
      </c>
      <c r="BB9" s="114">
        <f t="shared" si="16"/>
        <v>1.0355191256830603</v>
      </c>
      <c r="BC9" s="114">
        <f>Overview!G7</f>
        <v>1.962226134258228E-2</v>
      </c>
      <c r="BD9" s="114">
        <f>Overview!H7</f>
        <v>2.023519258185745E-2</v>
      </c>
      <c r="BE9" s="114">
        <f t="shared" si="17"/>
        <v>3.123652409750793E-2</v>
      </c>
      <c r="BF9" s="114">
        <f>Overview!G7</f>
        <v>1.962226134258228E-2</v>
      </c>
      <c r="BG9" s="114">
        <f>Overview!D7</f>
        <v>1.6108108108108109E-2</v>
      </c>
      <c r="BH9" s="114">
        <f t="shared" si="18"/>
        <v>0.17909012489035123</v>
      </c>
      <c r="BI9" s="114">
        <f>Overview!H7</f>
        <v>2.023519258185745E-2</v>
      </c>
      <c r="BJ9" s="114">
        <f>Overview!D7</f>
        <v>1.6108108108108109E-2</v>
      </c>
      <c r="BK9" s="114">
        <f t="shared" si="19"/>
        <v>0.20395577937071968</v>
      </c>
    </row>
    <row r="10" spans="1:63" x14ac:dyDescent="0.2">
      <c r="A10" s="114">
        <v>1.514441951440002E-2</v>
      </c>
      <c r="B10" s="114">
        <v>2.0367620948433311E-2</v>
      </c>
      <c r="C10" s="114">
        <f t="shared" si="0"/>
        <v>0.34489281210592637</v>
      </c>
      <c r="D10" s="114">
        <f>Overview!B11</f>
        <v>1.8014143284121684E-2</v>
      </c>
      <c r="E10" s="114">
        <f>Overview!E11</f>
        <v>1.8797049738978052E-2</v>
      </c>
      <c r="F10" s="114">
        <f t="shared" si="1"/>
        <v>4.3460654359646939E-2</v>
      </c>
      <c r="G10" s="114">
        <f>Overview!B19</f>
        <v>2.1640826873385012E-2</v>
      </c>
      <c r="H10" s="114">
        <f>Overview!F19</f>
        <v>2.3527383546380294E-2</v>
      </c>
      <c r="I10" s="114">
        <f t="shared" si="2"/>
        <v>8.7175812829752147E-2</v>
      </c>
      <c r="J10" s="114">
        <f>Overview!B8</f>
        <v>1.514441951440002E-2</v>
      </c>
      <c r="K10" s="114">
        <f>Overview!G8</f>
        <v>1.4399446119038739E-2</v>
      </c>
      <c r="L10" s="114">
        <f t="shared" si="3"/>
        <v>4.9191280963454952E-2</v>
      </c>
      <c r="M10" s="114">
        <f>Overview!B8</f>
        <v>1.514441951440002E-2</v>
      </c>
      <c r="N10" s="114">
        <f>Overview!H8</f>
        <v>1.7742375727119331E-2</v>
      </c>
      <c r="O10" s="114">
        <f t="shared" si="4"/>
        <v>0.17154544683928316</v>
      </c>
      <c r="P10" s="114">
        <f>Overview!B8</f>
        <v>1.514441951440002E-2</v>
      </c>
      <c r="Q10" s="114">
        <f>Overview!D8</f>
        <v>1.7184466019417477E-2</v>
      </c>
      <c r="R10" s="114">
        <f t="shared" si="5"/>
        <v>0.13470615384615339</v>
      </c>
      <c r="S10" s="114">
        <f>Overview!C11</f>
        <v>2.4786426564698302E-2</v>
      </c>
      <c r="T10" s="114">
        <f>Overview!E11</f>
        <v>1.8797049738978052E-2</v>
      </c>
      <c r="U10" s="114">
        <f t="shared" si="20"/>
        <v>0.24163938315539726</v>
      </c>
      <c r="V10" s="114">
        <f>Overview!C19</f>
        <v>2.9832869466483888E-2</v>
      </c>
      <c r="W10" s="114">
        <f>Overview!F19</f>
        <v>2.3527383546380294E-2</v>
      </c>
      <c r="X10" s="114">
        <f t="shared" si="6"/>
        <v>0.21136035630724598</v>
      </c>
      <c r="Y10" s="114">
        <f>Overview!C8</f>
        <v>2.0367620948433311E-2</v>
      </c>
      <c r="Z10" s="114">
        <f>Overview!G8</f>
        <v>1.4399446119038739E-2</v>
      </c>
      <c r="AA10" s="114">
        <f t="shared" si="7"/>
        <v>0.29302267773466434</v>
      </c>
      <c r="AB10" s="114">
        <f>Overview!C8</f>
        <v>2.0367620948433311E-2</v>
      </c>
      <c r="AC10" s="114">
        <f>Overview!H8</f>
        <v>1.7742375727119331E-2</v>
      </c>
      <c r="AD10" s="114">
        <f t="shared" si="8"/>
        <v>0.12889307140782758</v>
      </c>
      <c r="AE10" s="114">
        <f>Overview!C8</f>
        <v>2.0367620948433311E-2</v>
      </c>
      <c r="AF10" s="114">
        <f>Overview!D8</f>
        <v>1.7184466019417477E-2</v>
      </c>
      <c r="AG10" s="114">
        <f t="shared" si="9"/>
        <v>0.15628506329113925</v>
      </c>
      <c r="AH10" s="114">
        <f>Overview!E19</f>
        <v>2.7905398856256664E-2</v>
      </c>
      <c r="AI10" s="114">
        <f>Overview!F19</f>
        <v>2.3527383546380294E-2</v>
      </c>
      <c r="AJ10" s="114">
        <f t="shared" si="10"/>
        <v>0.15688775252516329</v>
      </c>
      <c r="AK10" s="114">
        <f>Overview!E11</f>
        <v>1.8797049738978052E-2</v>
      </c>
      <c r="AL10" s="114">
        <f>Overview!G11</f>
        <v>2.4326911959472754E-2</v>
      </c>
      <c r="AM10" s="114">
        <f t="shared" si="11"/>
        <v>0.29418777400092933</v>
      </c>
      <c r="AN10" s="114">
        <f>Overview!E11</f>
        <v>1.8797049738978052E-2</v>
      </c>
      <c r="AO10" s="114">
        <f>Overview!H11</f>
        <v>2.4487041036717064E-2</v>
      </c>
      <c r="AP10" s="114">
        <f t="shared" si="12"/>
        <v>0.30270661496096901</v>
      </c>
      <c r="AQ10" s="114">
        <f>Overview!E11</f>
        <v>1.8797049738978052E-2</v>
      </c>
      <c r="AR10" s="114">
        <f>Overview!D11</f>
        <v>2.2285714285714284E-2</v>
      </c>
      <c r="AS10" s="114">
        <f t="shared" si="13"/>
        <v>0.18559638853867827</v>
      </c>
      <c r="AT10" s="114">
        <f>Overview!F21</f>
        <v>2.694954842585379E-2</v>
      </c>
      <c r="AU10" s="114">
        <f>Overview!G21</f>
        <v>2.4385836272180196E-2</v>
      </c>
      <c r="AV10" s="114">
        <f t="shared" si="14"/>
        <v>9.5130059812583767E-2</v>
      </c>
      <c r="AW10" s="114">
        <f>Overview!F19</f>
        <v>2.3527383546380294E-2</v>
      </c>
      <c r="AX10" s="114">
        <f>Overview!H19</f>
        <v>2.7698412698412701E-2</v>
      </c>
      <c r="AY10" s="114">
        <f t="shared" si="15"/>
        <v>0.17728402071611243</v>
      </c>
      <c r="AZ10" s="114">
        <f>Overview!F19</f>
        <v>2.3527383546380294E-2</v>
      </c>
      <c r="BA10" s="114">
        <f>Overview!D19</f>
        <v>2.2777777777777779E-2</v>
      </c>
      <c r="BB10" s="114">
        <f t="shared" si="16"/>
        <v>3.1860991560102435E-2</v>
      </c>
      <c r="BC10" s="114">
        <f>Overview!G8</f>
        <v>1.4399446119038739E-2</v>
      </c>
      <c r="BD10" s="114">
        <f>Overview!H8</f>
        <v>1.7742375727119331E-2</v>
      </c>
      <c r="BE10" s="114">
        <f t="shared" si="17"/>
        <v>0.23215681911963401</v>
      </c>
      <c r="BF10" s="114">
        <f>Overview!G8</f>
        <v>1.4399446119038739E-2</v>
      </c>
      <c r="BG10" s="114">
        <f>Overview!D8</f>
        <v>1.7184466019417477E-2</v>
      </c>
      <c r="BH10" s="114">
        <f t="shared" si="18"/>
        <v>0.19341159912369305</v>
      </c>
      <c r="BI10" s="114">
        <f>Overview!H8</f>
        <v>1.7742375727119331E-2</v>
      </c>
      <c r="BJ10" s="114">
        <f>Overview!D8</f>
        <v>1.7184466019417477E-2</v>
      </c>
      <c r="BK10" s="114">
        <f t="shared" si="19"/>
        <v>3.1445039620544492E-2</v>
      </c>
    </row>
    <row r="11" spans="1:63" x14ac:dyDescent="0.2">
      <c r="A11" s="114">
        <v>2.0380980712360799E-2</v>
      </c>
      <c r="B11" s="114">
        <v>3.409633350760348E-2</v>
      </c>
      <c r="C11" s="114">
        <f t="shared" si="0"/>
        <v>0.6729486175768028</v>
      </c>
      <c r="D11" s="114">
        <f>Overview!B12</f>
        <v>2.0569484875992528E-2</v>
      </c>
      <c r="E11" s="114">
        <f>Overview!E12</f>
        <v>2.5951020203359699E-2</v>
      </c>
      <c r="F11" s="114">
        <f t="shared" si="1"/>
        <v>0.261627131637515</v>
      </c>
      <c r="G11" s="114">
        <f>Overview!B20</f>
        <v>2.2312131849824477E-2</v>
      </c>
      <c r="H11" s="114">
        <f>Overview!F20</f>
        <v>2.0166328754040251E-2</v>
      </c>
      <c r="I11" s="114">
        <f t="shared" si="2"/>
        <v>9.6172033682254632E-2</v>
      </c>
      <c r="J11" s="114">
        <f>Overview!B9</f>
        <v>2.0380980712360799E-2</v>
      </c>
      <c r="K11" s="114">
        <f>Overview!G9</f>
        <v>3.1136511210591595E-2</v>
      </c>
      <c r="L11" s="114">
        <f t="shared" si="3"/>
        <v>0.52772389366463157</v>
      </c>
      <c r="M11" s="114">
        <f>Overview!B9</f>
        <v>2.0380980712360799E-2</v>
      </c>
      <c r="N11" s="114">
        <f>Overview!H9</f>
        <v>3.1099999999999999E-2</v>
      </c>
      <c r="O11" s="114">
        <f t="shared" si="4"/>
        <v>0.52593245825203372</v>
      </c>
      <c r="P11" s="114">
        <f>Overview!B9</f>
        <v>2.0380980712360799E-2</v>
      </c>
      <c r="Q11" s="114">
        <f>Overview!D9</f>
        <v>3.0121951219512194E-2</v>
      </c>
      <c r="R11" s="114">
        <f t="shared" si="5"/>
        <v>0.47794415021665881</v>
      </c>
      <c r="S11" s="114">
        <f>Overview!C12</f>
        <v>2.9532674104790813E-2</v>
      </c>
      <c r="T11" s="114">
        <f>Overview!E12</f>
        <v>2.5951020203359699E-2</v>
      </c>
      <c r="U11" s="114">
        <f t="shared" si="20"/>
        <v>0.12127766990291257</v>
      </c>
      <c r="V11" s="114">
        <f>Overview!C20</f>
        <v>3.1255350513440486E-2</v>
      </c>
      <c r="W11" s="114">
        <f>Overview!F20</f>
        <v>2.0166328754040251E-2</v>
      </c>
      <c r="X11" s="114">
        <f t="shared" si="6"/>
        <v>0.35478795077443498</v>
      </c>
      <c r="Y11" s="114">
        <f>Overview!C9</f>
        <v>3.409633350760348E-2</v>
      </c>
      <c r="Z11" s="114">
        <f>Overview!G9</f>
        <v>3.1136511210591595E-2</v>
      </c>
      <c r="AA11" s="114">
        <f t="shared" si="7"/>
        <v>8.6807641541629232E-2</v>
      </c>
      <c r="AB11" s="114">
        <f>Overview!C9</f>
        <v>3.409633350760348E-2</v>
      </c>
      <c r="AC11" s="114">
        <f>Overview!H9</f>
        <v>3.1099999999999999E-2</v>
      </c>
      <c r="AD11" s="114">
        <f t="shared" si="8"/>
        <v>8.7878466666666613E-2</v>
      </c>
      <c r="AE11" s="114">
        <f>Overview!C9</f>
        <v>3.409633350760348E-2</v>
      </c>
      <c r="AF11" s="114">
        <f>Overview!D9</f>
        <v>3.0121951219512194E-2</v>
      </c>
      <c r="AG11" s="114">
        <f t="shared" si="9"/>
        <v>0.1165633333333333</v>
      </c>
      <c r="AH11" s="114">
        <f>Overview!E20</f>
        <v>2.6013204545169817E-2</v>
      </c>
      <c r="AI11" s="114">
        <f>Overview!F20</f>
        <v>2.0166328754040251E-2</v>
      </c>
      <c r="AJ11" s="114">
        <f t="shared" si="10"/>
        <v>0.2247656870177967</v>
      </c>
      <c r="AK11" s="114">
        <f>Overview!E12</f>
        <v>2.5951020203359699E-2</v>
      </c>
      <c r="AL11" s="114">
        <f>Overview!G12</f>
        <v>2.9207794641665907E-2</v>
      </c>
      <c r="AM11" s="114">
        <f t="shared" si="11"/>
        <v>0.12549697132464085</v>
      </c>
      <c r="AN11" s="114">
        <f>Overview!E12</f>
        <v>2.5951020203359699E-2</v>
      </c>
      <c r="AO11" s="114">
        <f>Overview!H12</f>
        <v>2.5558935135541826E-2</v>
      </c>
      <c r="AP11" s="114">
        <f t="shared" si="12"/>
        <v>1.5108657183624429E-2</v>
      </c>
      <c r="AQ11" s="114">
        <f>Overview!E12</f>
        <v>2.5951020203359699E-2</v>
      </c>
      <c r="AR11" s="114">
        <f>Overview!D12</f>
        <v>2.6834782608695651E-2</v>
      </c>
      <c r="AS11" s="114">
        <f t="shared" si="13"/>
        <v>3.4055015888028076E-2</v>
      </c>
      <c r="AT11" s="114">
        <f>Overview!F22</f>
        <v>3.0355530448458845E-2</v>
      </c>
      <c r="AU11" s="114">
        <f>Overview!G22</f>
        <v>2.1102979634677506E-2</v>
      </c>
      <c r="AV11" s="114">
        <f t="shared" si="14"/>
        <v>0.30480609882576087</v>
      </c>
      <c r="AW11" s="114">
        <f>Overview!F22</f>
        <v>3.0355530448458845E-2</v>
      </c>
      <c r="AX11" s="114">
        <f>Overview!H22</f>
        <v>2.2408207343412527E-2</v>
      </c>
      <c r="AY11" s="114">
        <f t="shared" si="15"/>
        <v>0.26180807871370287</v>
      </c>
      <c r="AZ11" s="114">
        <f>Overview!F20</f>
        <v>2.0166328754040251E-2</v>
      </c>
      <c r="BA11" s="114">
        <f>Overview!D20</f>
        <v>2.3537414965986395E-2</v>
      </c>
      <c r="BB11" s="114">
        <f t="shared" si="16"/>
        <v>0.16716410076726329</v>
      </c>
      <c r="BC11" s="114">
        <f>Overview!G9</f>
        <v>3.1136511210591595E-2</v>
      </c>
      <c r="BD11" s="114">
        <f>Overview!H9</f>
        <v>3.1099999999999999E-2</v>
      </c>
      <c r="BE11" s="114">
        <f t="shared" si="17"/>
        <v>1.1726172641710688E-3</v>
      </c>
      <c r="BF11" s="114">
        <f>Overview!G9</f>
        <v>3.1136511210591595E-2</v>
      </c>
      <c r="BG11" s="114">
        <f>Overview!D9</f>
        <v>3.0121951219512194E-2</v>
      </c>
      <c r="BH11" s="114">
        <f t="shared" si="18"/>
        <v>3.2584254035958965E-2</v>
      </c>
      <c r="BI11" s="114">
        <f>Overview!H9</f>
        <v>3.1099999999999999E-2</v>
      </c>
      <c r="BJ11" s="114">
        <f>Overview!D9</f>
        <v>3.0121951219512194E-2</v>
      </c>
      <c r="BK11" s="114">
        <f t="shared" si="19"/>
        <v>3.1448513842051613E-2</v>
      </c>
    </row>
    <row r="12" spans="1:63" x14ac:dyDescent="0.2">
      <c r="A12" s="114">
        <v>1.502087832973362E-2</v>
      </c>
      <c r="B12" s="114">
        <v>2.8917950710000428E-2</v>
      </c>
      <c r="C12" s="114">
        <f t="shared" si="0"/>
        <v>0.92518373927293884</v>
      </c>
      <c r="D12" s="114">
        <f>Overview!B13</f>
        <v>2.6129943502824857E-2</v>
      </c>
      <c r="E12" s="114">
        <f>Overview!E13</f>
        <v>3.3870829033367737E-2</v>
      </c>
      <c r="F12" s="114">
        <f t="shared" si="1"/>
        <v>0.29624578138510049</v>
      </c>
      <c r="G12" s="114">
        <f>Overview!B21</f>
        <v>2.3268190542662711E-2</v>
      </c>
      <c r="H12" s="114">
        <f>Overview!F21</f>
        <v>2.694954842585379E-2</v>
      </c>
      <c r="I12" s="114">
        <f t="shared" si="2"/>
        <v>0.15821418844070548</v>
      </c>
      <c r="J12" s="114">
        <f>Overview!B10</f>
        <v>1.502087832973362E-2</v>
      </c>
      <c r="K12" s="114">
        <f>Overview!G10</f>
        <v>2.6331405352900066E-2</v>
      </c>
      <c r="L12" s="114">
        <f t="shared" si="3"/>
        <v>0.75298706073515109</v>
      </c>
      <c r="M12" s="114">
        <f>Overview!B10</f>
        <v>1.502087832973362E-2</v>
      </c>
      <c r="N12" s="114">
        <f>Overview!H10</f>
        <v>2.98E-2</v>
      </c>
      <c r="O12" s="114">
        <f t="shared" si="4"/>
        <v>0.9839052914110431</v>
      </c>
      <c r="P12" s="114">
        <f>Overview!B10</f>
        <v>1.502087832973362E-2</v>
      </c>
      <c r="Q12" s="114">
        <f>Overview!D10</f>
        <v>2.5266666666666666E-2</v>
      </c>
      <c r="R12" s="114">
        <f t="shared" si="5"/>
        <v>0.6821031441717792</v>
      </c>
      <c r="S12" s="114">
        <f>Overview!C13</f>
        <v>4.0849673202614387E-2</v>
      </c>
      <c r="T12" s="114">
        <f>Overview!E13</f>
        <v>3.3870829033367737E-2</v>
      </c>
      <c r="U12" s="114">
        <f t="shared" si="20"/>
        <v>0.17084210526315793</v>
      </c>
      <c r="V12" s="114">
        <f>Overview!C21</f>
        <v>4.3930021868166212E-2</v>
      </c>
      <c r="W12" s="114">
        <f>Overview!F21</f>
        <v>2.694954842585379E-2</v>
      </c>
      <c r="X12" s="114">
        <f t="shared" si="6"/>
        <v>0.38653460026199721</v>
      </c>
      <c r="Y12" s="114">
        <f>Overview!C10</f>
        <v>2.8917950710000428E-2</v>
      </c>
      <c r="Z12" s="114">
        <f>Overview!G10</f>
        <v>2.6331405352900066E-2</v>
      </c>
      <c r="AA12" s="114">
        <f t="shared" si="7"/>
        <v>8.944428265471388E-2</v>
      </c>
      <c r="AB12" s="114">
        <f>Overview!C10</f>
        <v>2.8917950710000428E-2</v>
      </c>
      <c r="AC12" s="114">
        <f>Overview!H10</f>
        <v>2.98E-2</v>
      </c>
      <c r="AD12" s="114">
        <f t="shared" si="8"/>
        <v>3.0501791044776259E-2</v>
      </c>
      <c r="AE12" s="114">
        <f>Overview!C10</f>
        <v>2.8917950710000428E-2</v>
      </c>
      <c r="AF12" s="114">
        <f>Overview!D10</f>
        <v>2.5266666666666666E-2</v>
      </c>
      <c r="AG12" s="114">
        <f t="shared" si="9"/>
        <v>0.12626358208955213</v>
      </c>
      <c r="AH12" s="114">
        <f>Overview!E21</f>
        <v>3.1055295220243671E-2</v>
      </c>
      <c r="AI12" s="114">
        <f>Overview!F21</f>
        <v>2.694954842585379E-2</v>
      </c>
      <c r="AJ12" s="114">
        <f t="shared" si="10"/>
        <v>0.13220762402263408</v>
      </c>
      <c r="AK12" s="114">
        <f>Overview!E16</f>
        <v>3.1029748283752861E-2</v>
      </c>
      <c r="AL12" s="114">
        <f>Overview!G16</f>
        <v>1.277511049732645E-2</v>
      </c>
      <c r="AM12" s="114">
        <f t="shared" si="11"/>
        <v>0.58829474282214911</v>
      </c>
      <c r="AN12" s="114">
        <f>Overview!E13</f>
        <v>3.3870829033367737E-2</v>
      </c>
      <c r="AO12" s="114">
        <f>Overview!H13</f>
        <v>2.6249999999999999E-2</v>
      </c>
      <c r="AP12" s="114">
        <f t="shared" si="12"/>
        <v>0.22499682620286923</v>
      </c>
      <c r="AQ12" s="114">
        <f>Overview!E13</f>
        <v>3.3870829033367737E-2</v>
      </c>
      <c r="AR12" s="114">
        <f>Overview!D13</f>
        <v>3.1875000000000001E-2</v>
      </c>
      <c r="AS12" s="114">
        <f t="shared" si="13"/>
        <v>5.892471753205545E-2</v>
      </c>
      <c r="AT12" s="114">
        <f>Overview!F23</f>
        <v>2.4284424358767077E-2</v>
      </c>
      <c r="AU12" s="114">
        <f>Overview!G23</f>
        <v>1.9335959540771976E-2</v>
      </c>
      <c r="AV12" s="114">
        <f t="shared" si="14"/>
        <v>0.20377113926559368</v>
      </c>
      <c r="AW12" s="114">
        <f>Overview!F23</f>
        <v>2.4284424358767077E-2</v>
      </c>
      <c r="AX12" s="114">
        <f>Overview!H23</f>
        <v>1.9546436285097193E-2</v>
      </c>
      <c r="AY12" s="114">
        <f t="shared" si="15"/>
        <v>0.19510398944084473</v>
      </c>
      <c r="AZ12" s="114">
        <f>Overview!F21</f>
        <v>2.694954842585379E-2</v>
      </c>
      <c r="BA12" s="114">
        <f>Overview!D21</f>
        <v>3.1909090909090908E-2</v>
      </c>
      <c r="BB12" s="114">
        <f t="shared" si="16"/>
        <v>0.18403063401534508</v>
      </c>
      <c r="BC12" s="114">
        <f>Overview!G10</f>
        <v>2.6331405352900066E-2</v>
      </c>
      <c r="BD12" s="114">
        <f>Overview!H10</f>
        <v>2.98E-2</v>
      </c>
      <c r="BE12" s="114">
        <f t="shared" si="17"/>
        <v>0.13172842849111027</v>
      </c>
      <c r="BF12" s="114">
        <f>Overview!G10</f>
        <v>2.6331405352900066E-2</v>
      </c>
      <c r="BG12" s="114">
        <f>Overview!D10</f>
        <v>2.5266666666666666E-2</v>
      </c>
      <c r="BH12" s="114">
        <f t="shared" si="18"/>
        <v>4.0436075171966915E-2</v>
      </c>
      <c r="BI12" s="114">
        <f>Overview!H10</f>
        <v>2.98E-2</v>
      </c>
      <c r="BJ12" s="114">
        <f>Overview!D10</f>
        <v>2.5266666666666666E-2</v>
      </c>
      <c r="BK12" s="114">
        <f t="shared" si="19"/>
        <v>0.15212527964205819</v>
      </c>
    </row>
    <row r="13" spans="1:63" x14ac:dyDescent="0.2">
      <c r="A13" s="114">
        <v>1.8014143284121684E-2</v>
      </c>
      <c r="B13" s="114">
        <v>2.4786426564698302E-2</v>
      </c>
      <c r="C13" s="114">
        <f t="shared" si="0"/>
        <v>0.37594256766825834</v>
      </c>
      <c r="D13" s="114">
        <f>Overview!B14</f>
        <v>2.0415385034161744E-2</v>
      </c>
      <c r="E13" s="114">
        <f>Overview!E14</f>
        <v>2.7779189429551519E-2</v>
      </c>
      <c r="F13" s="114">
        <f t="shared" si="1"/>
        <v>0.36069877609791218</v>
      </c>
      <c r="G13" s="114">
        <f>Overview!B22</f>
        <v>2.0794985497545739E-2</v>
      </c>
      <c r="H13" s="114">
        <f>Overview!F22</f>
        <v>3.0355530448458845E-2</v>
      </c>
      <c r="I13" s="114">
        <f t="shared" si="2"/>
        <v>0.45975242214241785</v>
      </c>
      <c r="J13" s="114">
        <f>Overview!B11</f>
        <v>1.8014143284121684E-2</v>
      </c>
      <c r="K13" s="114">
        <f>Overview!G11</f>
        <v>2.4326911959472754E-2</v>
      </c>
      <c r="L13" s="114">
        <f t="shared" si="3"/>
        <v>0.35043402152326458</v>
      </c>
      <c r="M13" s="114">
        <f>Overview!B11</f>
        <v>1.8014143284121684E-2</v>
      </c>
      <c r="N13" s="114">
        <f>Overview!H11</f>
        <v>2.4487041036717064E-2</v>
      </c>
      <c r="O13" s="114">
        <f t="shared" si="4"/>
        <v>0.35932309688581338</v>
      </c>
      <c r="P13" s="114">
        <f>Overview!B11</f>
        <v>1.8014143284121684E-2</v>
      </c>
      <c r="Q13" s="114">
        <f>Overview!D11</f>
        <v>2.2285714285714284E-2</v>
      </c>
      <c r="R13" s="114">
        <f t="shared" si="5"/>
        <v>0.23712318339100344</v>
      </c>
      <c r="S13" s="114">
        <f>Overview!C14</f>
        <v>3.1762164909160215E-2</v>
      </c>
      <c r="T13" s="114">
        <f>Overview!E14</f>
        <v>2.7779189429551519E-2</v>
      </c>
      <c r="U13" s="114">
        <f t="shared" si="20"/>
        <v>0.12540000000000018</v>
      </c>
      <c r="V13" s="114">
        <f>Overview!C22</f>
        <v>2.9463719898605838E-2</v>
      </c>
      <c r="W13" s="114">
        <f>Overview!F22</f>
        <v>3.0355530448458845E-2</v>
      </c>
      <c r="X13" s="114">
        <f t="shared" si="6"/>
        <v>3.0268090822272761E-2</v>
      </c>
      <c r="Y13" s="114">
        <f>Overview!C11</f>
        <v>2.4786426564698302E-2</v>
      </c>
      <c r="Z13" s="114">
        <f>Overview!G11</f>
        <v>2.4326911959472754E-2</v>
      </c>
      <c r="AA13" s="114">
        <f t="shared" si="7"/>
        <v>1.8538961395911935E-2</v>
      </c>
      <c r="AB13" s="114">
        <f>Overview!C11</f>
        <v>2.4786426564698302E-2</v>
      </c>
      <c r="AC13" s="114">
        <f>Overview!H11</f>
        <v>2.4487041036717064E-2</v>
      </c>
      <c r="AD13" s="114">
        <f t="shared" si="8"/>
        <v>1.2078607910655148E-2</v>
      </c>
      <c r="AE13" s="114">
        <f>Overview!C11</f>
        <v>2.4786426564698302E-2</v>
      </c>
      <c r="AF13" s="114">
        <f>Overview!D11</f>
        <v>2.2285714285714284E-2</v>
      </c>
      <c r="AG13" s="114">
        <f t="shared" si="9"/>
        <v>0.10089039145907465</v>
      </c>
      <c r="AH13" s="114">
        <f>Overview!E22</f>
        <v>2.4817411280101391E-2</v>
      </c>
      <c r="AI13" s="114">
        <f>Overview!F22</f>
        <v>3.0355530448458845E-2</v>
      </c>
      <c r="AJ13" s="114">
        <f t="shared" si="10"/>
        <v>0.22315458715059133</v>
      </c>
      <c r="AK13" s="114">
        <f>Overview!E17</f>
        <v>2.0479472312736804E-2</v>
      </c>
      <c r="AL13" s="114">
        <f>Overview!G17</f>
        <v>1.7096347711813648E-2</v>
      </c>
      <c r="AM13" s="114">
        <f t="shared" si="11"/>
        <v>0.16519588733832213</v>
      </c>
      <c r="AN13" s="114">
        <f>Overview!E14</f>
        <v>2.7779189429551519E-2</v>
      </c>
      <c r="AO13" s="114">
        <f>Overview!H14</f>
        <v>1.9722222222222221E-2</v>
      </c>
      <c r="AP13" s="114">
        <f t="shared" si="12"/>
        <v>0.29003607998577136</v>
      </c>
      <c r="AQ13" s="114">
        <f>Overview!E14</f>
        <v>2.7779189429551519E-2</v>
      </c>
      <c r="AR13" s="114">
        <f>Overview!D14</f>
        <v>2.1911764705882353E-2</v>
      </c>
      <c r="AS13" s="114">
        <f t="shared" si="13"/>
        <v>0.21121655613994972</v>
      </c>
      <c r="AT13" s="114">
        <f>Overview!F25</f>
        <v>3.1292904344961785E-2</v>
      </c>
      <c r="AU13" s="114">
        <f>Overview!G25</f>
        <v>3.0998428062404364E-2</v>
      </c>
      <c r="AV13" s="114">
        <f t="shared" si="14"/>
        <v>9.4103212444335334E-3</v>
      </c>
      <c r="AW13" s="114">
        <f>Overview!F25</f>
        <v>3.1292904344961785E-2</v>
      </c>
      <c r="AX13" s="114">
        <f>Overview!H25</f>
        <v>2.6700863930885527E-2</v>
      </c>
      <c r="AY13" s="114">
        <f t="shared" si="15"/>
        <v>0.14674382292724406</v>
      </c>
      <c r="AZ13" s="114">
        <f>Overview!F22</f>
        <v>3.0355530448458845E-2</v>
      </c>
      <c r="BA13" s="114">
        <f>Overview!D22</f>
        <v>2.328125E-2</v>
      </c>
      <c r="BB13" s="114">
        <f t="shared" si="16"/>
        <v>0.23304749888888887</v>
      </c>
      <c r="BC13" s="114">
        <f>Overview!G11</f>
        <v>2.4326911959472754E-2</v>
      </c>
      <c r="BD13" s="114">
        <f>Overview!H11</f>
        <v>2.4487041036717064E-2</v>
      </c>
      <c r="BE13" s="114">
        <f t="shared" si="17"/>
        <v>6.5823840490349117E-3</v>
      </c>
      <c r="BF13" s="114">
        <f>Overview!G11</f>
        <v>2.4326911959472754E-2</v>
      </c>
      <c r="BG13" s="114">
        <f>Overview!D11</f>
        <v>2.2285714285714284E-2</v>
      </c>
      <c r="BH13" s="114">
        <f t="shared" si="18"/>
        <v>8.3906978294614187E-2</v>
      </c>
      <c r="BI13" s="114">
        <f>Overview!H11</f>
        <v>2.4487041036717064E-2</v>
      </c>
      <c r="BJ13" s="114">
        <f>Overview!D11</f>
        <v>2.2285714285714284E-2</v>
      </c>
      <c r="BK13" s="114">
        <f t="shared" si="19"/>
        <v>8.9897621672704514E-2</v>
      </c>
    </row>
    <row r="14" spans="1:63" x14ac:dyDescent="0.2">
      <c r="A14" s="114">
        <v>2.0569484875992528E-2</v>
      </c>
      <c r="B14" s="114">
        <v>2.9532674104790813E-2</v>
      </c>
      <c r="C14" s="114">
        <f t="shared" si="0"/>
        <v>0.43575175960092144</v>
      </c>
      <c r="D14" s="114">
        <f>Overview!B16</f>
        <v>2.2289987206081458E-2</v>
      </c>
      <c r="E14" s="114">
        <f>Overview!E16</f>
        <v>3.1029748283752861E-2</v>
      </c>
      <c r="F14" s="114">
        <f t="shared" si="1"/>
        <v>0.39209358878801431</v>
      </c>
      <c r="G14" s="114">
        <f>Overview!B23</f>
        <v>1.8957909029192123E-2</v>
      </c>
      <c r="H14" s="114">
        <f>Overview!F23</f>
        <v>2.4284424358767077E-2</v>
      </c>
      <c r="I14" s="114">
        <f t="shared" si="2"/>
        <v>0.28096533860210954</v>
      </c>
      <c r="J14" s="114">
        <f>Overview!B12</f>
        <v>2.0569484875992528E-2</v>
      </c>
      <c r="K14" s="114">
        <f>Overview!G12</f>
        <v>2.9207794641665907E-2</v>
      </c>
      <c r="L14" s="114">
        <f t="shared" si="3"/>
        <v>0.41995751559901717</v>
      </c>
      <c r="M14" s="114">
        <f>Overview!B12</f>
        <v>2.0569484875992528E-2</v>
      </c>
      <c r="N14" s="114">
        <f>Overview!H12</f>
        <v>2.5558935135541826E-2</v>
      </c>
      <c r="O14" s="114">
        <f t="shared" si="4"/>
        <v>0.2425656398120444</v>
      </c>
      <c r="P14" s="114">
        <f>Overview!B12</f>
        <v>2.0569484875992528E-2</v>
      </c>
      <c r="Q14" s="114">
        <f>Overview!D12</f>
        <v>2.6834782608695651E-2</v>
      </c>
      <c r="R14" s="114">
        <f t="shared" si="5"/>
        <v>0.30459186365019786</v>
      </c>
      <c r="S14" s="114">
        <f>Overview!C16</f>
        <v>4.0145071456327446E-2</v>
      </c>
      <c r="T14" s="114">
        <f>Overview!E16</f>
        <v>3.1029748283752861E-2</v>
      </c>
      <c r="U14" s="114">
        <f t="shared" si="20"/>
        <v>0.22705958270595822</v>
      </c>
      <c r="V14" s="114">
        <f>Overview!C23</f>
        <v>2.7139999999999991E-2</v>
      </c>
      <c r="W14" s="114">
        <f>Overview!F23</f>
        <v>2.4284424358767077E-2</v>
      </c>
      <c r="X14" s="114">
        <f t="shared" si="6"/>
        <v>0.10521649378161069</v>
      </c>
      <c r="Y14" s="114">
        <f>Overview!C12</f>
        <v>2.9532674104790813E-2</v>
      </c>
      <c r="Z14" s="114">
        <f>Overview!G12</f>
        <v>2.9207794641665907E-2</v>
      </c>
      <c r="AA14" s="114">
        <f t="shared" si="7"/>
        <v>1.1000678840396794E-2</v>
      </c>
      <c r="AB14" s="114">
        <f>Overview!C12</f>
        <v>2.9532674104790813E-2</v>
      </c>
      <c r="AC14" s="114">
        <f>Overview!H12</f>
        <v>2.5558935135541826E-2</v>
      </c>
      <c r="AD14" s="114">
        <f t="shared" si="8"/>
        <v>0.13455398434794513</v>
      </c>
      <c r="AE14" s="114">
        <f>Overview!C12</f>
        <v>2.9532674104790813E-2</v>
      </c>
      <c r="AF14" s="114">
        <f>Overview!D12</f>
        <v>2.6834782608695651E-2</v>
      </c>
      <c r="AG14" s="114">
        <f t="shared" si="9"/>
        <v>9.1352766990291212E-2</v>
      </c>
      <c r="AH14" s="114">
        <f>Overview!E23</f>
        <v>2.1632000000000002E-2</v>
      </c>
      <c r="AI14" s="114">
        <f>Overview!F23</f>
        <v>2.4284424358767077E-2</v>
      </c>
      <c r="AJ14" s="114">
        <f t="shared" si="10"/>
        <v>0.12261577102288625</v>
      </c>
      <c r="AK14" s="114">
        <f>Overview!E18</f>
        <v>1.94016558675306E-2</v>
      </c>
      <c r="AL14" s="114">
        <f>Overview!G18</f>
        <v>1.654243077155056E-2</v>
      </c>
      <c r="AM14" s="114">
        <f t="shared" si="11"/>
        <v>0.14737015827422548</v>
      </c>
      <c r="AN14" s="114">
        <f>Overview!E17</f>
        <v>2.0479472312736804E-2</v>
      </c>
      <c r="AO14" s="114">
        <f>Overview!H17</f>
        <v>1.8466149558172211E-2</v>
      </c>
      <c r="AP14" s="114">
        <f t="shared" si="12"/>
        <v>9.8309308160857561E-2</v>
      </c>
      <c r="AQ14" s="114">
        <f>Overview!E16</f>
        <v>3.1029748283752861E-2</v>
      </c>
      <c r="AR14" s="114">
        <f>Overview!D16</f>
        <v>2.5754716981132075E-2</v>
      </c>
      <c r="AS14" s="114">
        <f t="shared" si="13"/>
        <v>0.16999916513608285</v>
      </c>
      <c r="AT14" s="114">
        <f>Overview!F26</f>
        <v>2.0687181572734151E-2</v>
      </c>
      <c r="AU14" s="114">
        <f>Overview!G26</f>
        <v>2.1869181912474379E-2</v>
      </c>
      <c r="AV14" s="114">
        <f t="shared" si="14"/>
        <v>5.7136847549021021E-2</v>
      </c>
      <c r="AW14" s="114">
        <f>Overview!F26</f>
        <v>2.0687181572734151E-2</v>
      </c>
      <c r="AX14" s="114">
        <f>Overview!H26</f>
        <v>1.8574514038876888E-2</v>
      </c>
      <c r="AY14" s="114">
        <f t="shared" si="15"/>
        <v>0.10212447386461639</v>
      </c>
      <c r="AZ14" s="114">
        <f>Overview!F23</f>
        <v>2.4284424358767077E-2</v>
      </c>
      <c r="BA14" s="114">
        <f>Overview!D23</f>
        <v>2.1187500000000001E-2</v>
      </c>
      <c r="BB14" s="114">
        <f t="shared" si="16"/>
        <v>0.12752718833333332</v>
      </c>
      <c r="BC14" s="114">
        <f>Overview!G12</f>
        <v>2.9207794641665907E-2</v>
      </c>
      <c r="BD14" s="114">
        <f>Overview!H12</f>
        <v>2.5558935135541826E-2</v>
      </c>
      <c r="BE14" s="114">
        <f t="shared" si="17"/>
        <v>0.12492759384574895</v>
      </c>
      <c r="BF14" s="114">
        <f>Overview!G12</f>
        <v>2.9207794641665907E-2</v>
      </c>
      <c r="BG14" s="114">
        <f>Overview!D12</f>
        <v>2.6834782608695651E-2</v>
      </c>
      <c r="BH14" s="114">
        <f t="shared" si="18"/>
        <v>8.1245847626752132E-2</v>
      </c>
      <c r="BI14" s="114">
        <f>Overview!H12</f>
        <v>2.5558935135541826E-2</v>
      </c>
      <c r="BJ14" s="114">
        <f>Overview!D12</f>
        <v>2.6834782608695651E-2</v>
      </c>
      <c r="BK14" s="114">
        <f t="shared" si="19"/>
        <v>4.9917864980988713E-2</v>
      </c>
    </row>
    <row r="15" spans="1:63" x14ac:dyDescent="0.2">
      <c r="A15" s="114">
        <v>2.6129943502824857E-2</v>
      </c>
      <c r="B15" s="114">
        <v>4.0849673202614387E-2</v>
      </c>
      <c r="C15" s="114">
        <f t="shared" si="0"/>
        <v>0.56332803391626962</v>
      </c>
      <c r="D15" s="114">
        <f>Overview!B17</f>
        <v>1.5381437835141541E-2</v>
      </c>
      <c r="E15" s="114">
        <f>Overview!E17</f>
        <v>2.0479472312736804E-2</v>
      </c>
      <c r="F15" s="114">
        <f t="shared" si="1"/>
        <v>0.33144069704250445</v>
      </c>
      <c r="G15" s="114">
        <f>Overview!B25</f>
        <v>2.2613256308908484E-2</v>
      </c>
      <c r="H15" s="114">
        <f>Overview!F25</f>
        <v>3.1292904344961785E-2</v>
      </c>
      <c r="I15" s="114">
        <f t="shared" si="2"/>
        <v>0.3838300825624108</v>
      </c>
      <c r="J15" s="114">
        <f>Overview!B16</f>
        <v>2.2289987206081458E-2</v>
      </c>
      <c r="K15" s="114">
        <f>Overview!G16</f>
        <v>1.277511049732645E-2</v>
      </c>
      <c r="L15" s="114">
        <f t="shared" si="3"/>
        <v>0.4268677510123931</v>
      </c>
      <c r="M15" s="114">
        <f>Overview!B13</f>
        <v>2.6129943502824857E-2</v>
      </c>
      <c r="N15" s="114">
        <f>Overview!H13</f>
        <v>2.6249999999999999E-2</v>
      </c>
      <c r="O15" s="114">
        <f t="shared" si="4"/>
        <v>4.594594594594611E-3</v>
      </c>
      <c r="P15" s="114">
        <f>Overview!B13</f>
        <v>2.6129943502824857E-2</v>
      </c>
      <c r="Q15" s="114">
        <f>Overview!D13</f>
        <v>3.1875000000000001E-2</v>
      </c>
      <c r="R15" s="114">
        <f t="shared" si="5"/>
        <v>0.21986486486486495</v>
      </c>
      <c r="S15" s="114">
        <f>Overview!C17</f>
        <v>2.127985068918567E-2</v>
      </c>
      <c r="T15" s="114">
        <f>Overview!E17</f>
        <v>2.0479472312736804E-2</v>
      </c>
      <c r="U15" s="114">
        <f t="shared" si="20"/>
        <v>3.7612029714833239E-2</v>
      </c>
      <c r="V15" s="114">
        <f>Overview!C25</f>
        <v>3.4299723455352593E-2</v>
      </c>
      <c r="W15" s="114">
        <f>Overview!F25</f>
        <v>3.1292904344961785E-2</v>
      </c>
      <c r="X15" s="114">
        <f t="shared" si="6"/>
        <v>8.7663071520233601E-2</v>
      </c>
      <c r="Y15" s="114">
        <f>Overview!C16</f>
        <v>4.0145071456327446E-2</v>
      </c>
      <c r="Z15" s="114">
        <f>Overview!G16</f>
        <v>1.277511049732645E-2</v>
      </c>
      <c r="AA15" s="114">
        <f t="shared" si="7"/>
        <v>0.68177636671480113</v>
      </c>
      <c r="AB15" s="114">
        <f>Overview!C13</f>
        <v>4.0849673202614387E-2</v>
      </c>
      <c r="AC15" s="114">
        <f>Overview!H13</f>
        <v>2.6249999999999999E-2</v>
      </c>
      <c r="AD15" s="114">
        <f t="shared" si="8"/>
        <v>0.35740000000000016</v>
      </c>
      <c r="AE15" s="114">
        <f>Overview!C13</f>
        <v>4.0849673202614387E-2</v>
      </c>
      <c r="AF15" s="114">
        <f>Overview!D13</f>
        <v>3.1875000000000001E-2</v>
      </c>
      <c r="AG15" s="114">
        <f t="shared" si="9"/>
        <v>0.21970000000000012</v>
      </c>
      <c r="AH15" s="114">
        <f>Overview!E25</f>
        <v>2.675983370933702E-2</v>
      </c>
      <c r="AI15" s="114">
        <f>Overview!F25</f>
        <v>3.1292904344961785E-2</v>
      </c>
      <c r="AJ15" s="114">
        <f t="shared" si="10"/>
        <v>0.16939831109799047</v>
      </c>
      <c r="AK15" s="114">
        <f>Overview!E19</f>
        <v>2.7905398856256664E-2</v>
      </c>
      <c r="AL15" s="114">
        <f>Overview!G19</f>
        <v>2.1505421768622586E-2</v>
      </c>
      <c r="AM15" s="114">
        <f t="shared" si="11"/>
        <v>0.22934547972601871</v>
      </c>
      <c r="AN15" s="114">
        <f>Overview!E18</f>
        <v>1.94016558675306E-2</v>
      </c>
      <c r="AO15" s="114">
        <f>Overview!H18</f>
        <v>1.84931822011879E-2</v>
      </c>
      <c r="AP15" s="114">
        <f t="shared" si="12"/>
        <v>4.6824542840338927E-2</v>
      </c>
      <c r="AQ15" s="114">
        <f>Overview!E17</f>
        <v>2.0479472312736804E-2</v>
      </c>
      <c r="AR15" s="114">
        <f>Overview!D17</f>
        <v>1.7469135802469136E-2</v>
      </c>
      <c r="AS15" s="114">
        <f t="shared" si="13"/>
        <v>0.14699287483083476</v>
      </c>
      <c r="AT15" s="114">
        <f>Overview!F27</f>
        <v>2.1776550110563196E-2</v>
      </c>
      <c r="AU15" s="114">
        <f>Overview!G27</f>
        <v>2.550425584500297E-2</v>
      </c>
      <c r="AV15" s="114">
        <f t="shared" si="14"/>
        <v>0.17117981110477037</v>
      </c>
      <c r="AW15" s="114">
        <f>Overview!F27</f>
        <v>2.1776550110563196E-2</v>
      </c>
      <c r="AX15" s="114">
        <f>Overview!H27</f>
        <v>2.0500359971202305E-2</v>
      </c>
      <c r="AY15" s="114">
        <f t="shared" si="15"/>
        <v>5.8603871268931927E-2</v>
      </c>
      <c r="AZ15" s="114">
        <f>Overview!F25</f>
        <v>3.1292904344961785E-2</v>
      </c>
      <c r="BA15" s="114">
        <f>Overview!D25</f>
        <v>3.09375E-2</v>
      </c>
      <c r="BB15" s="114">
        <f t="shared" si="16"/>
        <v>1.1357346094946465E-2</v>
      </c>
      <c r="BC15" s="114">
        <f>Overview!G17</f>
        <v>1.7096347711813648E-2</v>
      </c>
      <c r="BD15" s="114">
        <f>Overview!H17</f>
        <v>1.8466149558172211E-2</v>
      </c>
      <c r="BE15" s="114">
        <f t="shared" si="17"/>
        <v>8.0122484021076898E-2</v>
      </c>
      <c r="BF15" s="114">
        <f>Overview!G16</f>
        <v>1.277511049732645E-2</v>
      </c>
      <c r="BG15" s="114">
        <f>Overview!D16</f>
        <v>2.5754716981132075E-2</v>
      </c>
      <c r="BH15" s="114">
        <f t="shared" si="18"/>
        <v>1.0160073751629759</v>
      </c>
      <c r="BI15" s="114">
        <f>Overview!H13</f>
        <v>2.6249999999999999E-2</v>
      </c>
      <c r="BJ15" s="114">
        <f>Overview!D13</f>
        <v>3.1875000000000001E-2</v>
      </c>
      <c r="BK15" s="114">
        <f t="shared" si="19"/>
        <v>0.21428571428571436</v>
      </c>
    </row>
    <row r="16" spans="1:63" x14ac:dyDescent="0.2">
      <c r="A16" s="114">
        <v>2.0415385034161744E-2</v>
      </c>
      <c r="B16" s="114">
        <v>3.1762164909160215E-2</v>
      </c>
      <c r="C16" s="114">
        <f t="shared" si="0"/>
        <v>0.55579553635709178</v>
      </c>
      <c r="D16" s="114">
        <f>Overview!B18</f>
        <v>1.5166712466794907E-2</v>
      </c>
      <c r="E16" s="114">
        <f>Overview!E18</f>
        <v>1.94016558675306E-2</v>
      </c>
      <c r="F16" s="114">
        <f t="shared" si="1"/>
        <v>0.27922619420704547</v>
      </c>
      <c r="G16" s="114">
        <f>Overview!B26</f>
        <v>2.1864877371587231E-2</v>
      </c>
      <c r="H16" s="114">
        <f>Overview!F26</f>
        <v>2.0687181572734151E-2</v>
      </c>
      <c r="I16" s="114">
        <f t="shared" si="2"/>
        <v>5.3862447012095374E-2</v>
      </c>
      <c r="J16" s="114">
        <f>Overview!B17</f>
        <v>1.5381437835141541E-2</v>
      </c>
      <c r="K16" s="114">
        <f>Overview!G17</f>
        <v>1.7096347711813648E-2</v>
      </c>
      <c r="L16" s="114">
        <f t="shared" si="3"/>
        <v>0.11149216965621384</v>
      </c>
      <c r="M16" s="114">
        <f>Overview!B14</f>
        <v>2.0415385034161744E-2</v>
      </c>
      <c r="N16" s="114">
        <f>Overview!H14</f>
        <v>1.9722222222222221E-2</v>
      </c>
      <c r="O16" s="114">
        <f t="shared" si="4"/>
        <v>3.3952962962963018E-2</v>
      </c>
      <c r="P16" s="114">
        <f>Overview!B14</f>
        <v>2.0415385034161744E-2</v>
      </c>
      <c r="Q16" s="114">
        <f>Overview!D14</f>
        <v>2.1911764705882353E-2</v>
      </c>
      <c r="R16" s="114">
        <f t="shared" si="5"/>
        <v>7.3296666666666677E-2</v>
      </c>
      <c r="S16" s="114">
        <f>Overview!C18</f>
        <v>2.079073674106071E-2</v>
      </c>
      <c r="T16" s="114">
        <f>Overview!E18</f>
        <v>1.94016558675306E-2</v>
      </c>
      <c r="U16" s="114">
        <f t="shared" si="20"/>
        <v>6.6812489178738041E-2</v>
      </c>
      <c r="V16" s="114">
        <f>Overview!C26</f>
        <v>2.9391344596158289E-2</v>
      </c>
      <c r="W16" s="114">
        <f>Overview!F26</f>
        <v>2.0687181572734151E-2</v>
      </c>
      <c r="X16" s="114">
        <f t="shared" si="6"/>
        <v>0.29614715294658039</v>
      </c>
      <c r="Y16" s="114">
        <f>Overview!C17</f>
        <v>2.127985068918567E-2</v>
      </c>
      <c r="Z16" s="114">
        <f>Overview!G17</f>
        <v>1.7096347711813648E-2</v>
      </c>
      <c r="AA16" s="114">
        <f t="shared" si="7"/>
        <v>0.19659456442981815</v>
      </c>
      <c r="AB16" s="114">
        <f>Overview!C14</f>
        <v>3.1762164909160215E-2</v>
      </c>
      <c r="AC16" s="114">
        <f>Overview!H14</f>
        <v>1.9722222222222221E-2</v>
      </c>
      <c r="AD16" s="114">
        <f t="shared" si="8"/>
        <v>0.37906555555555571</v>
      </c>
      <c r="AE16" s="114">
        <f>Overview!C14</f>
        <v>3.1762164909160215E-2</v>
      </c>
      <c r="AF16" s="114">
        <f>Overview!D14</f>
        <v>2.1911764705882353E-2</v>
      </c>
      <c r="AG16" s="114">
        <f t="shared" si="9"/>
        <v>0.31013000000000013</v>
      </c>
      <c r="AH16" s="114">
        <f>Overview!E26</f>
        <v>2.4276556352696134E-2</v>
      </c>
      <c r="AI16" s="114">
        <f>Overview!F26</f>
        <v>2.0687181572734151E-2</v>
      </c>
      <c r="AJ16" s="114">
        <f t="shared" si="10"/>
        <v>0.1478535393494288</v>
      </c>
      <c r="AK16" s="114">
        <f>Overview!E20</f>
        <v>2.6013204545169817E-2</v>
      </c>
      <c r="AL16" s="114">
        <f>Overview!G20</f>
        <v>2.0469488397419605E-2</v>
      </c>
      <c r="AM16" s="114">
        <f t="shared" si="11"/>
        <v>0.2131116194517288</v>
      </c>
      <c r="AN16" s="114">
        <f>Overview!E19</f>
        <v>2.7905398856256664E-2</v>
      </c>
      <c r="AO16" s="114">
        <f>Overview!H19</f>
        <v>2.7698412698412701E-2</v>
      </c>
      <c r="AP16" s="114">
        <f t="shared" si="12"/>
        <v>7.4174233778262072E-3</v>
      </c>
      <c r="AQ16" s="114">
        <f>Overview!E18</f>
        <v>1.94016558675306E-2</v>
      </c>
      <c r="AR16" s="114">
        <f>Overview!D18</f>
        <v>1.6944444444444443E-2</v>
      </c>
      <c r="AS16" s="114">
        <f t="shared" si="13"/>
        <v>0.12664957258614162</v>
      </c>
      <c r="AT16" s="114">
        <f>Overview!F33</f>
        <v>2.4063292725679707E-2</v>
      </c>
      <c r="AU16" s="114">
        <f>Overview!G33</f>
        <v>2.2928504088358195E-2</v>
      </c>
      <c r="AV16" s="114">
        <f t="shared" si="14"/>
        <v>4.7158493654964204E-2</v>
      </c>
      <c r="AW16" s="114">
        <f>Overview!F41</f>
        <v>5.6789224608664E-3</v>
      </c>
      <c r="AX16" s="114">
        <f>Overview!H41</f>
        <v>2.231707317073171E-2</v>
      </c>
      <c r="AY16" s="114">
        <f t="shared" si="15"/>
        <v>2.9298076923076923</v>
      </c>
      <c r="AZ16" s="114">
        <f>Overview!F26</f>
        <v>2.0687181572734151E-2</v>
      </c>
      <c r="BA16" s="114">
        <f>Overview!D26</f>
        <v>2.3700000000000002E-2</v>
      </c>
      <c r="BB16" s="114">
        <f t="shared" si="16"/>
        <v>0.14563696928327671</v>
      </c>
      <c r="BC16" s="114">
        <f>Overview!G18</f>
        <v>1.654243077155056E-2</v>
      </c>
      <c r="BD16" s="114">
        <f>Overview!H18</f>
        <v>1.84931822011879E-2</v>
      </c>
      <c r="BE16" s="114">
        <f t="shared" si="17"/>
        <v>0.11792411022158938</v>
      </c>
      <c r="BF16" s="114">
        <f>Overview!G17</f>
        <v>1.7096347711813648E-2</v>
      </c>
      <c r="BG16" s="114">
        <f>Overview!D17</f>
        <v>1.7469135802469136E-2</v>
      </c>
      <c r="BH16" s="114">
        <f t="shared" si="18"/>
        <v>2.1805130366990069E-2</v>
      </c>
      <c r="BI16" s="114">
        <f>Overview!H14</f>
        <v>1.9722222222222221E-2</v>
      </c>
      <c r="BJ16" s="114">
        <f>Overview!D14</f>
        <v>2.1911764705882353E-2</v>
      </c>
      <c r="BK16" s="114">
        <f t="shared" si="19"/>
        <v>0.11101905550952783</v>
      </c>
    </row>
    <row r="17" spans="1:63" x14ac:dyDescent="0.2">
      <c r="A17" s="114">
        <v>3.5087719298245612E-2</v>
      </c>
      <c r="B17" s="114">
        <v>7.9802069275753479E-2</v>
      </c>
      <c r="C17" s="114">
        <f t="shared" si="0"/>
        <v>1.2743589743589743</v>
      </c>
      <c r="D17" s="114">
        <f>Overview!B19</f>
        <v>2.1640826873385012E-2</v>
      </c>
      <c r="E17" s="114">
        <f>Overview!E19</f>
        <v>2.7905398856256664E-2</v>
      </c>
      <c r="F17" s="114">
        <f t="shared" si="1"/>
        <v>0.28947932625329309</v>
      </c>
      <c r="G17" s="114">
        <f>Overview!B27</f>
        <v>1.8771550362775787E-2</v>
      </c>
      <c r="H17" s="114">
        <f>Overview!F27</f>
        <v>2.1776550110563196E-2</v>
      </c>
      <c r="I17" s="114">
        <f t="shared" si="2"/>
        <v>0.1600826617787714</v>
      </c>
      <c r="J17" s="114">
        <f>Overview!B18</f>
        <v>1.5166712466794907E-2</v>
      </c>
      <c r="K17" s="114">
        <f>Overview!G18</f>
        <v>1.654243077155056E-2</v>
      </c>
      <c r="L17" s="114">
        <f t="shared" si="3"/>
        <v>9.0706427498218098E-2</v>
      </c>
      <c r="M17" s="114">
        <f>Overview!B15</f>
        <v>3.5087719298245612E-2</v>
      </c>
      <c r="N17" s="114">
        <f>Overview!H15</f>
        <v>5.2777732668604554E-2</v>
      </c>
      <c r="O17" s="114">
        <f t="shared" si="4"/>
        <v>0.5041653810552299</v>
      </c>
      <c r="P17" s="114">
        <f>Overview!B15</f>
        <v>3.5087719298245612E-2</v>
      </c>
      <c r="Q17" s="114">
        <f>Overview!D15</f>
        <v>2.1052631578947368E-2</v>
      </c>
      <c r="R17" s="114">
        <f t="shared" si="5"/>
        <v>0.39999999999999997</v>
      </c>
      <c r="S17" s="114">
        <f>Overview!C19</f>
        <v>2.9832869466483888E-2</v>
      </c>
      <c r="T17" s="114">
        <f>Overview!E19</f>
        <v>2.7905398856256664E-2</v>
      </c>
      <c r="U17" s="114">
        <f t="shared" si="20"/>
        <v>6.4608957994894342E-2</v>
      </c>
      <c r="V17" s="114">
        <f>Overview!C27</f>
        <v>2.9373302394186319E-2</v>
      </c>
      <c r="W17" s="114">
        <f>Overview!F27</f>
        <v>2.1776550110563196E-2</v>
      </c>
      <c r="X17" s="114">
        <f t="shared" si="6"/>
        <v>0.25862779001406061</v>
      </c>
      <c r="Y17" s="114">
        <f>Overview!C18</f>
        <v>2.079073674106071E-2</v>
      </c>
      <c r="Z17" s="114">
        <f>Overview!G18</f>
        <v>1.654243077155056E-2</v>
      </c>
      <c r="AA17" s="114">
        <f t="shared" si="7"/>
        <v>0.20433648034799792</v>
      </c>
      <c r="AB17" s="114">
        <f>Overview!C15</f>
        <v>7.9802069275753479E-2</v>
      </c>
      <c r="AC17" s="114">
        <f>Overview!H15</f>
        <v>5.2777732668604554E-2</v>
      </c>
      <c r="AD17" s="114">
        <f t="shared" si="8"/>
        <v>0.33864205342554715</v>
      </c>
      <c r="AE17" s="114">
        <f>Overview!C15</f>
        <v>7.9802069275753479E-2</v>
      </c>
      <c r="AF17" s="114">
        <f>Overview!D15</f>
        <v>2.1052631578947368E-2</v>
      </c>
      <c r="AG17" s="114">
        <f t="shared" si="9"/>
        <v>0.73618940248027065</v>
      </c>
      <c r="AH17" s="114">
        <f>Overview!E27</f>
        <v>2.4249042145593872E-2</v>
      </c>
      <c r="AI17" s="114">
        <f>Overview!F27</f>
        <v>2.1776550110563196E-2</v>
      </c>
      <c r="AJ17" s="114">
        <f t="shared" si="10"/>
        <v>0.10196246186490858</v>
      </c>
      <c r="AK17" s="114">
        <f>Overview!E21</f>
        <v>3.1055295220243671E-2</v>
      </c>
      <c r="AL17" s="114">
        <f>Overview!G21</f>
        <v>2.4385836272180196E-2</v>
      </c>
      <c r="AM17" s="114">
        <f t="shared" si="11"/>
        <v>0.21476076465426508</v>
      </c>
      <c r="AN17" s="114">
        <f>Overview!E22</f>
        <v>2.4817411280101391E-2</v>
      </c>
      <c r="AO17" s="114">
        <f>Overview!H22</f>
        <v>2.2408207343412527E-2</v>
      </c>
      <c r="AP17" s="114">
        <f t="shared" si="12"/>
        <v>9.7077165281157451E-2</v>
      </c>
      <c r="AQ17" s="114">
        <f>Overview!E19</f>
        <v>2.7905398856256664E-2</v>
      </c>
      <c r="AR17" s="114">
        <f>Overview!D19</f>
        <v>2.2777777777777779E-2</v>
      </c>
      <c r="AS17" s="114">
        <f t="shared" si="13"/>
        <v>0.18375014472617804</v>
      </c>
      <c r="AT17" s="114"/>
      <c r="AU17" s="114"/>
      <c r="AV17" s="114"/>
      <c r="AW17" s="114">
        <f>Overview!F48</f>
        <v>1.7770034843205582E-2</v>
      </c>
      <c r="AX17" s="114">
        <f>Overview!H48</f>
        <v>3.0912526997840167E-2</v>
      </c>
      <c r="AY17" s="114">
        <f t="shared" si="15"/>
        <v>0.73958730360394598</v>
      </c>
      <c r="AZ17" s="114">
        <f>Overview!F27</f>
        <v>2.1776550110563196E-2</v>
      </c>
      <c r="BA17" s="114">
        <f>Overview!D27</f>
        <v>2.3409961685823755E-2</v>
      </c>
      <c r="BB17" s="114">
        <f t="shared" si="16"/>
        <v>7.5007821118012491E-2</v>
      </c>
      <c r="BC17" s="114">
        <f>Overview!G19</f>
        <v>2.1505421768622586E-2</v>
      </c>
      <c r="BD17" s="114">
        <f>Overview!H19</f>
        <v>2.7698412698412701E-2</v>
      </c>
      <c r="BE17" s="114">
        <f t="shared" si="17"/>
        <v>0.28797346996588452</v>
      </c>
      <c r="BF17" s="114">
        <f>Overview!G18</f>
        <v>1.654243077155056E-2</v>
      </c>
      <c r="BG17" s="114">
        <f>Overview!D18</f>
        <v>1.6944444444444443E-2</v>
      </c>
      <c r="BH17" s="114">
        <f t="shared" si="18"/>
        <v>2.4301971000855578E-2</v>
      </c>
      <c r="BI17" s="114">
        <f>Overview!H15</f>
        <v>5.2777732668604554E-2</v>
      </c>
      <c r="BJ17" s="114">
        <f>Overview!D15</f>
        <v>2.1052631578947368E-2</v>
      </c>
      <c r="BK17" s="114">
        <f t="shared" si="19"/>
        <v>0.60110769230769234</v>
      </c>
    </row>
    <row r="18" spans="1:63" x14ac:dyDescent="0.2">
      <c r="A18" s="114">
        <v>2.2289987206081458E-2</v>
      </c>
      <c r="B18" s="114">
        <v>4.0145071456327446E-2</v>
      </c>
      <c r="C18" s="114">
        <f t="shared" si="0"/>
        <v>0.80103609235695383</v>
      </c>
      <c r="D18" s="114">
        <f>Overview!B20</f>
        <v>2.2312131849824477E-2</v>
      </c>
      <c r="E18" s="114">
        <f>Overview!E20</f>
        <v>2.6013204545169817E-2</v>
      </c>
      <c r="F18" s="114">
        <f t="shared" si="1"/>
        <v>0.16587714344178436</v>
      </c>
      <c r="G18" s="114">
        <f>Overview!B33</f>
        <v>1.937711609657311E-2</v>
      </c>
      <c r="H18" s="114">
        <f>Overview!F33</f>
        <v>2.4063292725679707E-2</v>
      </c>
      <c r="I18" s="114">
        <f t="shared" si="2"/>
        <v>0.24184076751933992</v>
      </c>
      <c r="J18" s="114">
        <f>Overview!B19</f>
        <v>2.1640826873385012E-2</v>
      </c>
      <c r="K18" s="114">
        <f>Overview!G19</f>
        <v>2.1505421768622586E-2</v>
      </c>
      <c r="L18" s="114">
        <f t="shared" si="3"/>
        <v>6.2569284230518073E-3</v>
      </c>
      <c r="M18" s="114">
        <f>Overview!B17</f>
        <v>1.5381437835141541E-2</v>
      </c>
      <c r="N18" s="114">
        <f>Overview!H17</f>
        <v>1.8466149558172211E-2</v>
      </c>
      <c r="O18" s="114">
        <f t="shared" si="4"/>
        <v>0.2005476832590459</v>
      </c>
      <c r="P18" s="114">
        <f>Overview!B16</f>
        <v>2.2289987206081458E-2</v>
      </c>
      <c r="Q18" s="114">
        <f>Overview!D16</f>
        <v>2.5754716981132075E-2</v>
      </c>
      <c r="R18" s="114">
        <f t="shared" si="5"/>
        <v>0.15543884090275845</v>
      </c>
      <c r="S18" s="114">
        <f>Overview!C20</f>
        <v>3.1255350513440486E-2</v>
      </c>
      <c r="T18" s="114">
        <f>Overview!E20</f>
        <v>2.6013204545169817E-2</v>
      </c>
      <c r="U18" s="114">
        <f t="shared" si="20"/>
        <v>0.16771995457278366</v>
      </c>
      <c r="V18" s="114">
        <f>Overview!C33</f>
        <v>3.3889803443408938E-2</v>
      </c>
      <c r="W18" s="114">
        <f>Overview!F33</f>
        <v>2.4063292725679707E-2</v>
      </c>
      <c r="X18" s="114">
        <f t="shared" si="6"/>
        <v>0.28995478637514316</v>
      </c>
      <c r="Y18" s="114">
        <f>Overview!C19</f>
        <v>2.9832869466483888E-2</v>
      </c>
      <c r="Z18" s="114">
        <f>Overview!G19</f>
        <v>2.1505421768622586E-2</v>
      </c>
      <c r="AA18" s="114">
        <f t="shared" si="7"/>
        <v>0.27913666525497582</v>
      </c>
      <c r="AB18" s="114">
        <f>Overview!C17</f>
        <v>2.127985068918567E-2</v>
      </c>
      <c r="AC18" s="114">
        <f>Overview!H17</f>
        <v>1.8466149558172211E-2</v>
      </c>
      <c r="AD18" s="114">
        <f t="shared" si="8"/>
        <v>0.13222372525589993</v>
      </c>
      <c r="AE18" s="114">
        <f>Overview!C16</f>
        <v>4.0145071456327446E-2</v>
      </c>
      <c r="AF18" s="114">
        <f>Overview!D16</f>
        <v>2.5754716981132075E-2</v>
      </c>
      <c r="AG18" s="114">
        <f t="shared" si="9"/>
        <v>0.35845880834588084</v>
      </c>
      <c r="AH18" s="114">
        <f>Overview!E33</f>
        <v>3.0674194176674149E-2</v>
      </c>
      <c r="AI18" s="114">
        <f>Overview!F33</f>
        <v>2.4063292725679707E-2</v>
      </c>
      <c r="AJ18" s="114">
        <f t="shared" si="10"/>
        <v>0.21551997137781792</v>
      </c>
      <c r="AK18" s="114">
        <f>Overview!E22</f>
        <v>2.4817411280101391E-2</v>
      </c>
      <c r="AL18" s="114">
        <f>Overview!G22</f>
        <v>2.1102979634677506E-2</v>
      </c>
      <c r="AM18" s="114">
        <f t="shared" si="11"/>
        <v>0.14967039081961453</v>
      </c>
      <c r="AN18" s="114">
        <f>Overview!E23</f>
        <v>2.1632000000000002E-2</v>
      </c>
      <c r="AO18" s="114">
        <f>Overview!H23</f>
        <v>1.9546436285097193E-2</v>
      </c>
      <c r="AP18" s="114">
        <f t="shared" si="12"/>
        <v>9.6411044512888733E-2</v>
      </c>
      <c r="AQ18" s="114">
        <f>Overview!E20</f>
        <v>2.6013204545169817E-2</v>
      </c>
      <c r="AR18" s="114">
        <f>Overview!D20</f>
        <v>2.3537414965986395E-2</v>
      </c>
      <c r="AS18" s="114">
        <f t="shared" si="13"/>
        <v>9.5174340204199556E-2</v>
      </c>
      <c r="AT18" s="114"/>
      <c r="AU18" s="124">
        <f>RSQ(AT5:AT16,AU5:AU16)</f>
        <v>0.159789649616909</v>
      </c>
      <c r="AV18" s="124">
        <f>AVERAGE(AV5:AV16)</f>
        <v>0.12872877392293727</v>
      </c>
      <c r="AW18" s="114"/>
      <c r="AX18" s="114"/>
      <c r="AY18" s="114"/>
      <c r="AZ18" s="114">
        <f>Overview!F33</f>
        <v>2.4063292725679707E-2</v>
      </c>
      <c r="BA18" s="114">
        <f>Overview!D33</f>
        <v>2.3636363636363636E-2</v>
      </c>
      <c r="BB18" s="114">
        <f t="shared" si="16"/>
        <v>1.7741923110151256E-2</v>
      </c>
      <c r="BC18" s="114">
        <f>Overview!G22</f>
        <v>2.1102979634677506E-2</v>
      </c>
      <c r="BD18" s="114">
        <f>Overview!H22</f>
        <v>2.2408207343412527E-2</v>
      </c>
      <c r="BE18" s="114">
        <f t="shared" si="17"/>
        <v>6.18503989166631E-2</v>
      </c>
      <c r="BF18" s="114">
        <f>Overview!G19</f>
        <v>2.1505421768622586E-2</v>
      </c>
      <c r="BG18" s="114">
        <f>Overview!D19</f>
        <v>2.2777777777777779E-2</v>
      </c>
      <c r="BH18" s="114">
        <f t="shared" si="18"/>
        <v>5.9164429456185767E-2</v>
      </c>
      <c r="BI18" s="114">
        <f>Overview!H17</f>
        <v>1.8466149558172211E-2</v>
      </c>
      <c r="BJ18" s="114">
        <f>Overview!D17</f>
        <v>1.7469135802469136E-2</v>
      </c>
      <c r="BK18" s="114">
        <f t="shared" si="19"/>
        <v>5.3991426450992065E-2</v>
      </c>
    </row>
    <row r="19" spans="1:63" x14ac:dyDescent="0.2">
      <c r="A19" s="114">
        <v>1.5381437835141541E-2</v>
      </c>
      <c r="B19" s="114">
        <v>2.127985068918567E-2</v>
      </c>
      <c r="C19" s="114">
        <f t="shared" si="0"/>
        <v>0.38347603892844079</v>
      </c>
      <c r="D19" s="114">
        <f>Overview!B21</f>
        <v>2.3268190542662711E-2</v>
      </c>
      <c r="E19" s="114">
        <f>Overview!E21</f>
        <v>3.1055295220243671E-2</v>
      </c>
      <c r="F19" s="114">
        <f t="shared" si="1"/>
        <v>0.33466739337995111</v>
      </c>
      <c r="G19" s="114">
        <f>Overview!B39</f>
        <v>2.6976272046694581E-2</v>
      </c>
      <c r="H19" s="114">
        <f>Overview!F39</f>
        <v>1.6864864864864867E-2</v>
      </c>
      <c r="I19" s="114">
        <f t="shared" si="2"/>
        <v>0.37482596425211656</v>
      </c>
      <c r="J19" s="114">
        <f>Overview!B20</f>
        <v>2.2312131849824477E-2</v>
      </c>
      <c r="K19" s="114">
        <f>Overview!G20</f>
        <v>2.0469488397419605E-2</v>
      </c>
      <c r="L19" s="114">
        <f t="shared" si="3"/>
        <v>8.2584822678849826E-2</v>
      </c>
      <c r="M19" s="114">
        <f>Overview!B18</f>
        <v>1.5166712466794907E-2</v>
      </c>
      <c r="N19" s="114">
        <f>Overview!H18</f>
        <v>1.84931822011879E-2</v>
      </c>
      <c r="O19" s="114">
        <f t="shared" si="4"/>
        <v>0.21932701247391395</v>
      </c>
      <c r="P19" s="114">
        <f>Overview!B17</f>
        <v>1.5381437835141541E-2</v>
      </c>
      <c r="Q19" s="114">
        <f>Overview!D17</f>
        <v>1.7469135802469136E-2</v>
      </c>
      <c r="R19" s="114">
        <f t="shared" si="5"/>
        <v>0.13572840131745623</v>
      </c>
      <c r="S19" s="114">
        <f>Overview!C21</f>
        <v>4.3930021868166212E-2</v>
      </c>
      <c r="T19" s="114">
        <f>Overview!E21</f>
        <v>3.1055295220243671E-2</v>
      </c>
      <c r="U19" s="114">
        <f t="shared" si="20"/>
        <v>0.29307353150334264</v>
      </c>
      <c r="V19" s="114">
        <f>Overview!C39</f>
        <v>4.6377911388710544E-2</v>
      </c>
      <c r="W19" s="114">
        <f>Overview!F39</f>
        <v>1.6864864864864867E-2</v>
      </c>
      <c r="X19" s="114">
        <f t="shared" si="6"/>
        <v>0.63635997482693529</v>
      </c>
      <c r="Y19" s="114">
        <f>Overview!C20</f>
        <v>3.1255350513440486E-2</v>
      </c>
      <c r="Z19" s="114">
        <f>Overview!G20</f>
        <v>2.0469488397419605E-2</v>
      </c>
      <c r="AA19" s="114">
        <f t="shared" si="7"/>
        <v>0.34508850289113613</v>
      </c>
      <c r="AB19" s="114">
        <f>Overview!C18</f>
        <v>2.079073674106071E-2</v>
      </c>
      <c r="AC19" s="114">
        <f>Overview!H18</f>
        <v>1.84931822011879E-2</v>
      </c>
      <c r="AD19" s="114">
        <f t="shared" si="8"/>
        <v>0.11050856775725748</v>
      </c>
      <c r="AE19" s="114">
        <f>Overview!C17</f>
        <v>2.127985068918567E-2</v>
      </c>
      <c r="AF19" s="114">
        <f>Overview!D17</f>
        <v>1.7469135802469136E-2</v>
      </c>
      <c r="AG19" s="114">
        <f t="shared" si="9"/>
        <v>0.17907620416966188</v>
      </c>
      <c r="AH19" s="114">
        <f>Overview!E48</f>
        <v>5.822594661700807E-2</v>
      </c>
      <c r="AI19" s="114">
        <f>Overview!F48</f>
        <v>1.7770034843205582E-2</v>
      </c>
      <c r="AJ19" s="114">
        <f t="shared" si="10"/>
        <v>0.69480900052872874</v>
      </c>
      <c r="AK19" s="114">
        <f>Overview!E23</f>
        <v>2.1632000000000002E-2</v>
      </c>
      <c r="AL19" s="114">
        <f>Overview!G23</f>
        <v>1.9335959540771976E-2</v>
      </c>
      <c r="AM19" s="114">
        <f t="shared" si="11"/>
        <v>0.10614092359597015</v>
      </c>
      <c r="AN19" s="114">
        <f>Overview!E24</f>
        <v>2.0470158997449694E-2</v>
      </c>
      <c r="AO19" s="114">
        <f>Overview!H24</f>
        <v>1.9006479481641469E-2</v>
      </c>
      <c r="AP19" s="114">
        <f t="shared" si="12"/>
        <v>7.1503084855890936E-2</v>
      </c>
      <c r="AQ19" s="114">
        <f>Overview!E21</f>
        <v>3.1055295220243671E-2</v>
      </c>
      <c r="AR19" s="114">
        <f>Overview!D21</f>
        <v>3.1909090909090908E-2</v>
      </c>
      <c r="AS19" s="114">
        <f t="shared" si="13"/>
        <v>2.7492757122163269E-2</v>
      </c>
      <c r="AT19" s="114"/>
      <c r="AU19" s="114" t="s">
        <v>236</v>
      </c>
      <c r="AV19" s="114" t="s">
        <v>229</v>
      </c>
      <c r="AW19" s="114"/>
      <c r="AX19" s="124">
        <f>RSQ(AW5:AW17,AX5:AX17)</f>
        <v>3.7283738608881581E-2</v>
      </c>
      <c r="AY19" s="124">
        <f>AVERAGE(AY5:AY17)</f>
        <v>0.52979366888788559</v>
      </c>
      <c r="AZ19" s="114">
        <f>Overview!F39</f>
        <v>1.6864864864864867E-2</v>
      </c>
      <c r="BA19" s="114">
        <f>Overview!D39</f>
        <v>7.8378378378378376E-3</v>
      </c>
      <c r="BB19" s="114">
        <f t="shared" si="16"/>
        <v>0.53525641025641035</v>
      </c>
      <c r="BC19" s="114">
        <f>Overview!G23</f>
        <v>1.9335959540771976E-2</v>
      </c>
      <c r="BD19" s="114">
        <f>Overview!H23</f>
        <v>1.9546436285097193E-2</v>
      </c>
      <c r="BE19" s="114">
        <f t="shared" si="17"/>
        <v>1.0885249520790733E-2</v>
      </c>
      <c r="BF19" s="114">
        <f>Overview!G20</f>
        <v>2.0469488397419605E-2</v>
      </c>
      <c r="BG19" s="114">
        <f>Overview!D20</f>
        <v>2.3537414965986395E-2</v>
      </c>
      <c r="BH19" s="114">
        <f t="shared" si="18"/>
        <v>0.14987802865427424</v>
      </c>
      <c r="BI19" s="114">
        <f>Overview!H18</f>
        <v>1.84931822011879E-2</v>
      </c>
      <c r="BJ19" s="114">
        <f>Overview!D18</f>
        <v>1.6944444444444443E-2</v>
      </c>
      <c r="BK19" s="114">
        <f t="shared" si="19"/>
        <v>8.3746417457779387E-2</v>
      </c>
    </row>
    <row r="20" spans="1:63" x14ac:dyDescent="0.2">
      <c r="A20" s="114">
        <v>1.5166712466794907E-2</v>
      </c>
      <c r="B20" s="114">
        <v>2.079073674106071E-2</v>
      </c>
      <c r="C20" s="114">
        <f t="shared" si="0"/>
        <v>0.37081366753531492</v>
      </c>
      <c r="D20" s="114">
        <f>Overview!B22</f>
        <v>2.0794985497545739E-2</v>
      </c>
      <c r="E20" s="114">
        <f>Overview!E22</f>
        <v>2.4817411280101391E-2</v>
      </c>
      <c r="F20" s="114">
        <f t="shared" si="1"/>
        <v>0.19343248799237611</v>
      </c>
      <c r="G20" s="114">
        <f>Overview!B40</f>
        <v>1.8964467005076143E-2</v>
      </c>
      <c r="H20" s="114">
        <f>Overview!F40</f>
        <v>1.1818181818181821E-2</v>
      </c>
      <c r="I20" s="114">
        <f t="shared" si="2"/>
        <v>0.37682499513334616</v>
      </c>
      <c r="J20" s="114">
        <f>Overview!B21</f>
        <v>2.3268190542662711E-2</v>
      </c>
      <c r="K20" s="114">
        <f>Overview!G21</f>
        <v>2.4385836272180196E-2</v>
      </c>
      <c r="L20" s="114">
        <f t="shared" si="3"/>
        <v>4.8033203418557983E-2</v>
      </c>
      <c r="M20" s="114">
        <f>Overview!B19</f>
        <v>2.1640826873385012E-2</v>
      </c>
      <c r="N20" s="114">
        <f>Overview!H19</f>
        <v>2.7698412698412701E-2</v>
      </c>
      <c r="O20" s="114">
        <f t="shared" si="4"/>
        <v>0.27991471215351832</v>
      </c>
      <c r="P20" s="114">
        <f>Overview!B18</f>
        <v>1.5166712466794907E-2</v>
      </c>
      <c r="Q20" s="114">
        <f>Overview!D18</f>
        <v>1.6944444444444443E-2</v>
      </c>
      <c r="R20" s="114">
        <f t="shared" si="5"/>
        <v>0.11721274346972657</v>
      </c>
      <c r="S20" s="114">
        <f>Overview!C22</f>
        <v>2.9463719898605838E-2</v>
      </c>
      <c r="T20" s="114">
        <f>Overview!E22</f>
        <v>2.4817411280101391E-2</v>
      </c>
      <c r="U20" s="114">
        <f t="shared" si="20"/>
        <v>0.15769592687189171</v>
      </c>
      <c r="V20" s="114">
        <f>Overview!C40</f>
        <v>4.4195804195804191E-2</v>
      </c>
      <c r="W20" s="114">
        <f>Overview!F40</f>
        <v>1.1818181818181821E-2</v>
      </c>
      <c r="X20" s="114">
        <f t="shared" si="6"/>
        <v>0.73259493670886078</v>
      </c>
      <c r="Y20" s="114">
        <f>Overview!C21</f>
        <v>4.3930021868166212E-2</v>
      </c>
      <c r="Z20" s="114">
        <f>Overview!G21</f>
        <v>2.4385836272180196E-2</v>
      </c>
      <c r="AA20" s="114">
        <f t="shared" si="7"/>
        <v>0.44489360043202403</v>
      </c>
      <c r="AB20" s="114">
        <f>Overview!C19</f>
        <v>2.9832869466483888E-2</v>
      </c>
      <c r="AC20" s="114">
        <f>Overview!H19</f>
        <v>2.7698412698412701E-2</v>
      </c>
      <c r="AD20" s="114">
        <f t="shared" si="8"/>
        <v>7.1547149377272232E-2</v>
      </c>
      <c r="AE20" s="114">
        <f>Overview!C18</f>
        <v>2.079073674106071E-2</v>
      </c>
      <c r="AF20" s="114">
        <f>Overview!D18</f>
        <v>1.6944444444444443E-2</v>
      </c>
      <c r="AG20" s="114">
        <f t="shared" si="9"/>
        <v>0.18500028856697628</v>
      </c>
      <c r="AH20" s="114">
        <f>Overview!E50</f>
        <v>3.3925471559651602E-2</v>
      </c>
      <c r="AI20" s="114">
        <f>Overview!F50</f>
        <v>2.219061544142191E-2</v>
      </c>
      <c r="AJ20" s="114">
        <f t="shared" si="10"/>
        <v>0.34590104658077164</v>
      </c>
      <c r="AK20" s="114">
        <f>Overview!E24</f>
        <v>2.0470158997449694E-2</v>
      </c>
      <c r="AL20" s="114">
        <f>Overview!G24</f>
        <v>1.6927057579567518E-2</v>
      </c>
      <c r="AM20" s="114">
        <f t="shared" si="11"/>
        <v>0.17308616988874387</v>
      </c>
      <c r="AN20" s="114">
        <f>Overview!E25</f>
        <v>2.675983370933702E-2</v>
      </c>
      <c r="AO20" s="114">
        <f>Overview!H25</f>
        <v>2.6700863930885527E-2</v>
      </c>
      <c r="AP20" s="114">
        <f t="shared" si="12"/>
        <v>2.2036675971912915E-3</v>
      </c>
      <c r="AQ20" s="114">
        <f>Overview!E22</f>
        <v>2.4817411280101391E-2</v>
      </c>
      <c r="AR20" s="114">
        <f>Overview!D22</f>
        <v>2.328125E-2</v>
      </c>
      <c r="AS20" s="114">
        <f t="shared" si="13"/>
        <v>6.189853013932544E-2</v>
      </c>
      <c r="AT20" s="114"/>
      <c r="AU20" s="114"/>
      <c r="AV20" s="114"/>
      <c r="AW20" s="114"/>
      <c r="AX20" s="114" t="s">
        <v>236</v>
      </c>
      <c r="AY20" s="114" t="s">
        <v>229</v>
      </c>
      <c r="AZ20" s="114">
        <f>Overview!F40</f>
        <v>1.1818181818181821E-2</v>
      </c>
      <c r="BA20" s="114">
        <f>Overview!D40</f>
        <v>3.4000000000000002E-3</v>
      </c>
      <c r="BB20" s="114">
        <f t="shared" si="16"/>
        <v>0.71230769230769242</v>
      </c>
      <c r="BC20" s="114">
        <f>Overview!G24</f>
        <v>1.6927057579567518E-2</v>
      </c>
      <c r="BD20" s="114">
        <f>Overview!H24</f>
        <v>1.9006479481641469E-2</v>
      </c>
      <c r="BE20" s="114">
        <f t="shared" si="17"/>
        <v>0.12284603465778962</v>
      </c>
      <c r="BF20" s="114">
        <f>Overview!G21</f>
        <v>2.4385836272180196E-2</v>
      </c>
      <c r="BG20" s="114">
        <f>Overview!D21</f>
        <v>3.1909090909090908E-2</v>
      </c>
      <c r="BH20" s="114">
        <f t="shared" si="18"/>
        <v>0.3085091916857236</v>
      </c>
      <c r="BI20" s="114">
        <f>Overview!H19</f>
        <v>2.7698412698412701E-2</v>
      </c>
      <c r="BJ20" s="114">
        <f>Overview!D19</f>
        <v>2.2777777777777779E-2</v>
      </c>
      <c r="BK20" s="114">
        <f t="shared" si="19"/>
        <v>0.177650429799427</v>
      </c>
    </row>
    <row r="21" spans="1:63" x14ac:dyDescent="0.2">
      <c r="A21" s="114">
        <v>2.1640826873385012E-2</v>
      </c>
      <c r="B21" s="114">
        <v>2.9832869466483888E-2</v>
      </c>
      <c r="C21" s="114">
        <f t="shared" si="0"/>
        <v>0.37854572937662867</v>
      </c>
      <c r="D21" s="114">
        <f>Overview!B23</f>
        <v>1.8957909029192123E-2</v>
      </c>
      <c r="E21" s="114">
        <f>Overview!E23</f>
        <v>2.1632000000000002E-2</v>
      </c>
      <c r="F21" s="114">
        <f t="shared" si="1"/>
        <v>0.14105410922112824</v>
      </c>
      <c r="G21" s="114">
        <f>Overview!B41</f>
        <v>1.7078213511287424E-2</v>
      </c>
      <c r="H21" s="114">
        <f>Overview!F41</f>
        <v>5.6789224608664E-3</v>
      </c>
      <c r="I21" s="114">
        <f t="shared" si="2"/>
        <v>0.66747561405570577</v>
      </c>
      <c r="J21" s="114">
        <f>Overview!B22</f>
        <v>2.0794985497545739E-2</v>
      </c>
      <c r="K21" s="114">
        <f>Overview!G22</f>
        <v>2.1102979634677506E-2</v>
      </c>
      <c r="L21" s="114">
        <f t="shared" si="3"/>
        <v>1.4810981097732273E-2</v>
      </c>
      <c r="M21" s="114">
        <f>Overview!B22</f>
        <v>2.0794985497545739E-2</v>
      </c>
      <c r="N21" s="114">
        <f>Overview!H22</f>
        <v>2.2408207343412527E-2</v>
      </c>
      <c r="O21" s="114">
        <f t="shared" si="4"/>
        <v>7.7577445103637274E-2</v>
      </c>
      <c r="P21" s="114">
        <f>Overview!B19</f>
        <v>2.1640826873385012E-2</v>
      </c>
      <c r="Q21" s="114">
        <f>Overview!D19</f>
        <v>2.2777777777777779E-2</v>
      </c>
      <c r="R21" s="114">
        <f t="shared" si="5"/>
        <v>5.2537313432835908E-2</v>
      </c>
      <c r="S21" s="114">
        <f>Overview!C23</f>
        <v>2.7139999999999991E-2</v>
      </c>
      <c r="T21" s="114">
        <f>Overview!E23</f>
        <v>2.1632000000000002E-2</v>
      </c>
      <c r="U21" s="114">
        <f t="shared" si="20"/>
        <v>0.20294767870302102</v>
      </c>
      <c r="V21" s="114">
        <f>Overview!C41</f>
        <v>2.9719057935565032E-2</v>
      </c>
      <c r="W21" s="114">
        <f>Overview!F41</f>
        <v>5.6789224608664E-3</v>
      </c>
      <c r="X21" s="114">
        <f t="shared" si="6"/>
        <v>0.80891310642554426</v>
      </c>
      <c r="Y21" s="114">
        <f>Overview!C22</f>
        <v>2.9463719898605838E-2</v>
      </c>
      <c r="Z21" s="114">
        <f>Overview!G22</f>
        <v>2.1102979634677506E-2</v>
      </c>
      <c r="AA21" s="114">
        <f t="shared" si="7"/>
        <v>0.28376390668592888</v>
      </c>
      <c r="AB21" s="114">
        <f>Overview!C22</f>
        <v>2.9463719898605838E-2</v>
      </c>
      <c r="AC21" s="114">
        <f>Overview!H22</f>
        <v>2.2408207343412527E-2</v>
      </c>
      <c r="AD21" s="114">
        <f t="shared" si="8"/>
        <v>0.23946441859594123</v>
      </c>
      <c r="AE21" s="114">
        <f>Overview!C19</f>
        <v>2.9832869466483888E-2</v>
      </c>
      <c r="AF21" s="114">
        <f>Overview!D19</f>
        <v>2.2777777777777779E-2</v>
      </c>
      <c r="AG21" s="114">
        <f t="shared" si="9"/>
        <v>0.236487197338903</v>
      </c>
      <c r="AH21" s="114"/>
      <c r="AI21" s="114"/>
      <c r="AJ21" s="114"/>
      <c r="AK21" s="114">
        <f>Overview!E25</f>
        <v>2.675983370933702E-2</v>
      </c>
      <c r="AL21" s="114">
        <f>Overview!G25</f>
        <v>3.0998428062404364E-2</v>
      </c>
      <c r="AM21" s="114">
        <f t="shared" si="11"/>
        <v>0.15839389732786036</v>
      </c>
      <c r="AN21" s="114">
        <f>Overview!E26</f>
        <v>2.4276556352696134E-2</v>
      </c>
      <c r="AO21" s="114">
        <f>Overview!H26</f>
        <v>1.8574514038876888E-2</v>
      </c>
      <c r="AP21" s="114">
        <f t="shared" si="12"/>
        <v>0.2348785482989634</v>
      </c>
      <c r="AQ21" s="114">
        <f>Overview!E23</f>
        <v>2.1632000000000002E-2</v>
      </c>
      <c r="AR21" s="114">
        <f>Overview!D23</f>
        <v>2.1187500000000001E-2</v>
      </c>
      <c r="AS21" s="114">
        <f t="shared" si="13"/>
        <v>2.0548261834319546E-2</v>
      </c>
      <c r="AT21" s="114"/>
      <c r="AU21" s="114"/>
      <c r="AV21" s="114"/>
      <c r="AW21" s="114"/>
      <c r="AX21" s="114"/>
      <c r="AY21" s="114"/>
      <c r="AZ21" s="114">
        <f>Overview!F41</f>
        <v>5.6789224608664E-3</v>
      </c>
      <c r="BA21" s="114">
        <f>Overview!D41</f>
        <v>1.3414634146341465E-2</v>
      </c>
      <c r="BB21" s="114">
        <f t="shared" si="16"/>
        <v>1.3621794871794872</v>
      </c>
      <c r="BC21" s="114">
        <f>Overview!G25</f>
        <v>3.0998428062404364E-2</v>
      </c>
      <c r="BD21" s="114">
        <f>Overview!H25</f>
        <v>2.6700863930885527E-2</v>
      </c>
      <c r="BE21" s="114">
        <f t="shared" si="17"/>
        <v>0.13863813103255473</v>
      </c>
      <c r="BF21" s="114">
        <f>Overview!G22</f>
        <v>2.1102979634677506E-2</v>
      </c>
      <c r="BG21" s="114">
        <f>Overview!D22</f>
        <v>2.328125E-2</v>
      </c>
      <c r="BH21" s="114">
        <f t="shared" si="18"/>
        <v>0.1032209859949373</v>
      </c>
      <c r="BI21" s="114">
        <f>Overview!H22</f>
        <v>2.2408207343412527E-2</v>
      </c>
      <c r="BJ21" s="114">
        <f>Overview!D22</f>
        <v>2.328125E-2</v>
      </c>
      <c r="BK21" s="114">
        <f t="shared" si="19"/>
        <v>3.8960843373493967E-2</v>
      </c>
    </row>
    <row r="22" spans="1:63" x14ac:dyDescent="0.2">
      <c r="A22" s="114">
        <v>2.2312131849824477E-2</v>
      </c>
      <c r="B22" s="114">
        <v>3.1255350513440486E-2</v>
      </c>
      <c r="C22" s="114">
        <f t="shared" si="0"/>
        <v>0.40082313621171806</v>
      </c>
      <c r="D22" s="114">
        <f>Overview!B24</f>
        <v>1.7824956503039901E-2</v>
      </c>
      <c r="E22" s="114">
        <f>Overview!E24</f>
        <v>2.0470158997449694E-2</v>
      </c>
      <c r="F22" s="114">
        <f t="shared" si="1"/>
        <v>0.14839881903547286</v>
      </c>
      <c r="G22" s="114">
        <f>Overview!B48</f>
        <v>2.2059439095856007E-2</v>
      </c>
      <c r="H22" s="114">
        <f>Overview!F48</f>
        <v>1.7770034843205582E-2</v>
      </c>
      <c r="I22" s="114">
        <f t="shared" si="2"/>
        <v>0.19444756659548132</v>
      </c>
      <c r="J22" s="114">
        <f>Overview!B23</f>
        <v>1.8957909029192123E-2</v>
      </c>
      <c r="K22" s="114">
        <f>Overview!G23</f>
        <v>1.9335959540771976E-2</v>
      </c>
      <c r="L22" s="114">
        <f t="shared" si="3"/>
        <v>1.9941572195420702E-2</v>
      </c>
      <c r="M22" s="114">
        <f>Overview!B23</f>
        <v>1.8957909029192123E-2</v>
      </c>
      <c r="N22" s="114">
        <f>Overview!H23</f>
        <v>1.9546436285097193E-2</v>
      </c>
      <c r="O22" s="114">
        <f t="shared" si="4"/>
        <v>3.1043890705395451E-2</v>
      </c>
      <c r="P22" s="114">
        <f>Overview!B20</f>
        <v>2.2312131849824477E-2</v>
      </c>
      <c r="Q22" s="114">
        <f>Overview!D20</f>
        <v>2.3537414965986395E-2</v>
      </c>
      <c r="R22" s="114">
        <f t="shared" si="5"/>
        <v>5.4915555555555592E-2</v>
      </c>
      <c r="S22" s="114">
        <f>Overview!C24</f>
        <v>1.7780441971421951E-2</v>
      </c>
      <c r="T22" s="114">
        <f>Overview!E24</f>
        <v>2.0470158997449694E-2</v>
      </c>
      <c r="U22" s="114">
        <f t="shared" si="20"/>
        <v>0.15127391267049811</v>
      </c>
      <c r="V22" s="114">
        <f>Overview!C48</f>
        <v>6.2073246430788369E-2</v>
      </c>
      <c r="W22" s="114">
        <f>Overview!F48</f>
        <v>1.7770034843205582E-2</v>
      </c>
      <c r="X22" s="114">
        <f t="shared" si="6"/>
        <v>0.7137247386759582</v>
      </c>
      <c r="Y22" s="114">
        <f>Overview!C23</f>
        <v>2.7139999999999991E-2</v>
      </c>
      <c r="Z22" s="114">
        <f>Overview!G23</f>
        <v>1.9335959540771976E-2</v>
      </c>
      <c r="AA22" s="114">
        <f t="shared" si="7"/>
        <v>0.28754754823979434</v>
      </c>
      <c r="AB22" s="114">
        <f>Overview!C23</f>
        <v>2.7139999999999991E-2</v>
      </c>
      <c r="AC22" s="114">
        <f>Overview!H23</f>
        <v>1.9546436285097193E-2</v>
      </c>
      <c r="AD22" s="114">
        <f t="shared" si="8"/>
        <v>0.27979232553068534</v>
      </c>
      <c r="AE22" s="114">
        <f>Overview!C20</f>
        <v>3.1255350513440486E-2</v>
      </c>
      <c r="AF22" s="114">
        <f>Overview!D20</f>
        <v>2.3537414965986395E-2</v>
      </c>
      <c r="AG22" s="114">
        <f t="shared" si="9"/>
        <v>0.24693165876144021</v>
      </c>
      <c r="AH22" s="114"/>
      <c r="AI22" s="124">
        <f>RSQ(AH5:AH20,AI5:AI20)</f>
        <v>5.6363845427371086E-2</v>
      </c>
      <c r="AJ22" s="124">
        <f>AVERAGE(AJ5:AJ20)</f>
        <v>0.24604011512903495</v>
      </c>
      <c r="AK22" s="114">
        <f>Overview!E26</f>
        <v>2.4276556352696134E-2</v>
      </c>
      <c r="AL22" s="114">
        <f>Overview!G26</f>
        <v>2.1869181912474379E-2</v>
      </c>
      <c r="AM22" s="114">
        <f t="shared" si="11"/>
        <v>9.9164576937799259E-2</v>
      </c>
      <c r="AN22" s="114">
        <f>Overview!E27</f>
        <v>2.4249042145593872E-2</v>
      </c>
      <c r="AO22" s="114">
        <f>Overview!H27</f>
        <v>2.0500359971202305E-2</v>
      </c>
      <c r="AP22" s="114">
        <f t="shared" si="12"/>
        <v>0.15459093814444602</v>
      </c>
      <c r="AQ22" s="114">
        <f>Overview!E24</f>
        <v>2.0470158997449694E-2</v>
      </c>
      <c r="AR22" s="114">
        <f>Overview!D24</f>
        <v>1.3785310734463277E-2</v>
      </c>
      <c r="AS22" s="114">
        <f t="shared" si="13"/>
        <v>0.32656552710798481</v>
      </c>
      <c r="AT22" s="114"/>
      <c r="AU22" s="114"/>
      <c r="AV22" s="114"/>
      <c r="AW22" s="114"/>
      <c r="AX22" s="114"/>
      <c r="AY22" s="114"/>
      <c r="AZ22" s="114">
        <f>Overview!F48</f>
        <v>1.7770034843205582E-2</v>
      </c>
      <c r="BA22" s="114">
        <f>Overview!D48</f>
        <v>1.4333333333333333E-2</v>
      </c>
      <c r="BB22" s="114">
        <f t="shared" si="16"/>
        <v>0.19339869281045785</v>
      </c>
      <c r="BC22" s="114">
        <f>Overview!G26</f>
        <v>2.1869181912474379E-2</v>
      </c>
      <c r="BD22" s="114">
        <f>Overview!H26</f>
        <v>1.8574514038876888E-2</v>
      </c>
      <c r="BE22" s="114">
        <f t="shared" si="17"/>
        <v>0.15065345776460812</v>
      </c>
      <c r="BF22" s="114">
        <f>Overview!G23</f>
        <v>1.9335959540771976E-2</v>
      </c>
      <c r="BG22" s="114">
        <f>Overview!D23</f>
        <v>2.1187500000000001E-2</v>
      </c>
      <c r="BH22" s="114">
        <f t="shared" si="18"/>
        <v>9.5756326719853305E-2</v>
      </c>
      <c r="BI22" s="114">
        <f>Overview!H23</f>
        <v>1.9546436285097193E-2</v>
      </c>
      <c r="BJ22" s="114">
        <f>Overview!D23</f>
        <v>2.1187500000000001E-2</v>
      </c>
      <c r="BK22" s="114">
        <f t="shared" si="19"/>
        <v>8.3957182320442039E-2</v>
      </c>
    </row>
    <row r="23" spans="1:63" x14ac:dyDescent="0.2">
      <c r="A23" s="114">
        <v>2.3268190542662711E-2</v>
      </c>
      <c r="B23" s="114">
        <v>4.3930021868166212E-2</v>
      </c>
      <c r="C23" s="114">
        <f t="shared" si="0"/>
        <v>0.88798616667761954</v>
      </c>
      <c r="D23" s="114">
        <f>Overview!B25</f>
        <v>2.2613256308908484E-2</v>
      </c>
      <c r="E23" s="114">
        <f>Overview!E25</f>
        <v>2.675983370933702E-2</v>
      </c>
      <c r="F23" s="114">
        <f t="shared" si="1"/>
        <v>0.18336931858836242</v>
      </c>
      <c r="G23" s="114">
        <f>Overview!B50</f>
        <v>2.2077597957342241E-2</v>
      </c>
      <c r="H23" s="114">
        <f>Overview!F50</f>
        <v>2.219061544142191E-2</v>
      </c>
      <c r="I23" s="114">
        <f t="shared" si="2"/>
        <v>5.1191023723703155E-3</v>
      </c>
      <c r="J23" s="114">
        <f>Overview!B24</f>
        <v>1.7824956503039901E-2</v>
      </c>
      <c r="K23" s="114">
        <f>Overview!G24</f>
        <v>1.6927057579567518E-2</v>
      </c>
      <c r="L23" s="114">
        <f t="shared" si="3"/>
        <v>5.0373134056133806E-2</v>
      </c>
      <c r="M23" s="114">
        <f>Overview!B24</f>
        <v>1.7824956503039901E-2</v>
      </c>
      <c r="N23" s="114">
        <f>Overview!H24</f>
        <v>1.9006479481641469E-2</v>
      </c>
      <c r="O23" s="114">
        <f t="shared" si="4"/>
        <v>6.6284760829574504E-2</v>
      </c>
      <c r="P23" s="114">
        <f>Overview!B21</f>
        <v>2.3268190542662711E-2</v>
      </c>
      <c r="Q23" s="114">
        <f>Overview!D21</f>
        <v>3.1909090909090908E-2</v>
      </c>
      <c r="R23" s="114">
        <f t="shared" si="5"/>
        <v>0.37136107986501687</v>
      </c>
      <c r="S23" s="114">
        <f>Overview!C25</f>
        <v>3.4299723455352593E-2</v>
      </c>
      <c r="T23" s="114">
        <f>Overview!E25</f>
        <v>2.675983370933702E-2</v>
      </c>
      <c r="U23" s="114">
        <f t="shared" si="20"/>
        <v>0.21982363081819387</v>
      </c>
      <c r="V23" s="114">
        <f>Overview!C50</f>
        <v>3.9020390811229357E-2</v>
      </c>
      <c r="W23" s="114">
        <f>Overview!F50</f>
        <v>2.219061544142191E-2</v>
      </c>
      <c r="X23" s="114">
        <f t="shared" si="6"/>
        <v>0.43130719656872696</v>
      </c>
      <c r="Y23" s="114">
        <f>Overview!C24</f>
        <v>1.7780441971421951E-2</v>
      </c>
      <c r="Z23" s="114">
        <f>Overview!G24</f>
        <v>1.6927057579567518E-2</v>
      </c>
      <c r="AA23" s="114">
        <f t="shared" si="7"/>
        <v>4.7995679366466586E-2</v>
      </c>
      <c r="AB23" s="114">
        <f>Overview!C24</f>
        <v>1.7780441971421951E-2</v>
      </c>
      <c r="AC23" s="114">
        <f>Overview!H24</f>
        <v>1.9006479481641469E-2</v>
      </c>
      <c r="AD23" s="114">
        <f t="shared" si="8"/>
        <v>6.8954276400445921E-2</v>
      </c>
      <c r="AE23" s="114">
        <f>Overview!C21</f>
        <v>4.3930021868166212E-2</v>
      </c>
      <c r="AF23" s="114">
        <f>Overview!D21</f>
        <v>3.1909090909090908E-2</v>
      </c>
      <c r="AG23" s="114">
        <f t="shared" si="9"/>
        <v>0.27363817380173544</v>
      </c>
      <c r="AH23" s="114"/>
      <c r="AI23" s="114" t="s">
        <v>236</v>
      </c>
      <c r="AJ23" s="114" t="s">
        <v>229</v>
      </c>
      <c r="AK23" s="114">
        <f>Overview!E27</f>
        <v>2.4249042145593872E-2</v>
      </c>
      <c r="AL23" s="114">
        <f>Overview!G27</f>
        <v>2.550425584500297E-2</v>
      </c>
      <c r="AM23" s="114">
        <f t="shared" si="11"/>
        <v>5.1763434278049386E-2</v>
      </c>
      <c r="AN23" s="114">
        <f>Overview!E28</f>
        <v>2.490612393785941E-2</v>
      </c>
      <c r="AO23" s="114">
        <f>Overview!H28</f>
        <v>2.2393442622950819E-2</v>
      </c>
      <c r="AP23" s="114">
        <f t="shared" si="12"/>
        <v>0.10088608412845421</v>
      </c>
      <c r="AQ23" s="114">
        <f>Overview!E25</f>
        <v>2.675983370933702E-2</v>
      </c>
      <c r="AR23" s="114">
        <f>Overview!D25</f>
        <v>3.09375E-2</v>
      </c>
      <c r="AS23" s="114">
        <f t="shared" si="13"/>
        <v>0.15611704975600471</v>
      </c>
      <c r="AT23" s="114"/>
      <c r="AU23" s="114"/>
      <c r="AV23" s="114"/>
      <c r="AW23" s="114"/>
      <c r="AX23" s="114"/>
      <c r="AY23" s="114"/>
      <c r="AZ23" s="114">
        <f>Overview!F50</f>
        <v>2.219061544142191E-2</v>
      </c>
      <c r="BA23" s="114">
        <f>Overview!D50</f>
        <v>2.4020618556701033E-2</v>
      </c>
      <c r="BB23" s="114">
        <f t="shared" si="16"/>
        <v>8.2467434042553175E-2</v>
      </c>
      <c r="BC23" s="114">
        <f>Overview!G27</f>
        <v>2.550425584500297E-2</v>
      </c>
      <c r="BD23" s="114">
        <f>Overview!H27</f>
        <v>2.0500359971202305E-2</v>
      </c>
      <c r="BE23" s="114">
        <f t="shared" si="17"/>
        <v>0.19619846602115523</v>
      </c>
      <c r="BF23" s="114">
        <f>Overview!G24</f>
        <v>1.6927057579567518E-2</v>
      </c>
      <c r="BG23" s="114">
        <f>Overview!D24</f>
        <v>1.3785310734463277E-2</v>
      </c>
      <c r="BH23" s="114">
        <f t="shared" si="18"/>
        <v>0.18560501908474702</v>
      </c>
      <c r="BI23" s="114">
        <f>Overview!H24</f>
        <v>1.9006479481641469E-2</v>
      </c>
      <c r="BJ23" s="114">
        <f>Overview!D24</f>
        <v>1.3785310734463277E-2</v>
      </c>
      <c r="BK23" s="114">
        <f t="shared" si="19"/>
        <v>0.27470467385721625</v>
      </c>
    </row>
    <row r="24" spans="1:63" x14ac:dyDescent="0.2">
      <c r="A24" s="114">
        <v>2.0794985497545739E-2</v>
      </c>
      <c r="B24" s="114">
        <v>2.9463719898605838E-2</v>
      </c>
      <c r="C24" s="114">
        <f t="shared" si="0"/>
        <v>0.4168665759388579</v>
      </c>
      <c r="D24" s="114">
        <f>Overview!B26</f>
        <v>2.1864877371587231E-2</v>
      </c>
      <c r="E24" s="114">
        <f>Overview!E26</f>
        <v>2.4276556352696134E-2</v>
      </c>
      <c r="F24" s="114">
        <f t="shared" si="1"/>
        <v>0.11029922281854684</v>
      </c>
      <c r="G24" s="114"/>
      <c r="H24" s="114"/>
      <c r="I24" s="114"/>
      <c r="J24" s="114">
        <f>Overview!B25</f>
        <v>2.2613256308908484E-2</v>
      </c>
      <c r="K24" s="114">
        <f>Overview!G25</f>
        <v>3.0998428062404364E-2</v>
      </c>
      <c r="L24" s="114">
        <f t="shared" si="3"/>
        <v>0.37080779693778754</v>
      </c>
      <c r="M24" s="114">
        <f>Overview!B25</f>
        <v>2.2613256308908484E-2</v>
      </c>
      <c r="N24" s="114">
        <f>Overview!H25</f>
        <v>2.6700863930885527E-2</v>
      </c>
      <c r="O24" s="114">
        <f t="shared" si="4"/>
        <v>0.1807615659654789</v>
      </c>
      <c r="P24" s="114">
        <f>Overview!B22</f>
        <v>2.0794985497545739E-2</v>
      </c>
      <c r="Q24" s="114">
        <f>Overview!D22</f>
        <v>2.328125E-2</v>
      </c>
      <c r="R24" s="114">
        <f t="shared" si="5"/>
        <v>0.11956077116512988</v>
      </c>
      <c r="S24" s="114">
        <f>Overview!C26</f>
        <v>2.9391344596158289E-2</v>
      </c>
      <c r="T24" s="114">
        <f>Overview!E26</f>
        <v>2.4276556352696134E-2</v>
      </c>
      <c r="U24" s="114">
        <f t="shared" si="20"/>
        <v>0.17402362204724392</v>
      </c>
      <c r="V24" s="114"/>
      <c r="W24" s="114"/>
      <c r="X24" s="114"/>
      <c r="Y24" s="114">
        <f>Overview!C25</f>
        <v>3.4299723455352593E-2</v>
      </c>
      <c r="Z24" s="114">
        <f>Overview!G25</f>
        <v>3.0998428062404364E-2</v>
      </c>
      <c r="AA24" s="114">
        <f t="shared" si="7"/>
        <v>9.6248455100387986E-2</v>
      </c>
      <c r="AB24" s="114">
        <f>Overview!C25</f>
        <v>3.4299723455352593E-2</v>
      </c>
      <c r="AC24" s="114">
        <f>Overview!H25</f>
        <v>2.6700863930885527E-2</v>
      </c>
      <c r="AD24" s="114">
        <f t="shared" si="8"/>
        <v>0.22154288020305415</v>
      </c>
      <c r="AE24" s="114">
        <f>Overview!C22</f>
        <v>2.9463719898605838E-2</v>
      </c>
      <c r="AF24" s="114">
        <f>Overview!D22</f>
        <v>2.328125E-2</v>
      </c>
      <c r="AG24" s="114">
        <f t="shared" si="9"/>
        <v>0.20983331092888852</v>
      </c>
      <c r="AH24" s="114"/>
      <c r="AI24" s="114"/>
      <c r="AJ24" s="114"/>
      <c r="AK24" s="114">
        <f>Overview!E28</f>
        <v>2.490612393785941E-2</v>
      </c>
      <c r="AL24" s="114">
        <f>Overview!G28</f>
        <v>2.7022516690302818E-2</v>
      </c>
      <c r="AM24" s="114">
        <f t="shared" si="11"/>
        <v>8.4974794059637371E-2</v>
      </c>
      <c r="AN24" s="114">
        <f>Overview!E29</f>
        <v>2.5031396470139716E-2</v>
      </c>
      <c r="AO24" s="114">
        <f>Overview!H29</f>
        <v>2.3122923588039867E-2</v>
      </c>
      <c r="AP24" s="114">
        <f t="shared" si="12"/>
        <v>7.6243164634322014E-2</v>
      </c>
      <c r="AQ24" s="114">
        <f>Overview!E26</f>
        <v>2.4276556352696134E-2</v>
      </c>
      <c r="AR24" s="114">
        <f>Overview!D26</f>
        <v>2.3700000000000002E-2</v>
      </c>
      <c r="AS24" s="114">
        <f t="shared" si="13"/>
        <v>2.3749511434808575E-2</v>
      </c>
      <c r="AT24" s="114"/>
      <c r="AU24" s="114"/>
      <c r="AV24" s="114"/>
      <c r="AW24" s="114"/>
      <c r="AX24" s="114"/>
      <c r="AY24" s="114"/>
      <c r="AZ24" s="114"/>
      <c r="BA24" s="114"/>
      <c r="BB24" s="114"/>
      <c r="BC24" s="114">
        <f>Overview!G28</f>
        <v>2.7022516690302818E-2</v>
      </c>
      <c r="BD24" s="114">
        <f>Overview!H28</f>
        <v>2.2393442622950819E-2</v>
      </c>
      <c r="BE24" s="114">
        <f t="shared" si="17"/>
        <v>0.17130432817951291</v>
      </c>
      <c r="BF24" s="114">
        <f>Overview!G25</f>
        <v>3.0998428062404364E-2</v>
      </c>
      <c r="BG24" s="114">
        <f>Overview!D25</f>
        <v>3.09375E-2</v>
      </c>
      <c r="BH24" s="114">
        <f t="shared" si="18"/>
        <v>1.9655210348636905E-3</v>
      </c>
      <c r="BI24" s="114">
        <f>Overview!H25</f>
        <v>2.6700863930885527E-2</v>
      </c>
      <c r="BJ24" s="114">
        <f>Overview!D25</f>
        <v>3.09375E-2</v>
      </c>
      <c r="BK24" s="114">
        <f t="shared" si="19"/>
        <v>0.15867037411526805</v>
      </c>
    </row>
    <row r="25" spans="1:63" x14ac:dyDescent="0.2">
      <c r="A25" s="114">
        <v>1.8957909029192123E-2</v>
      </c>
      <c r="B25" s="114">
        <v>2.7139999999999991E-2</v>
      </c>
      <c r="C25" s="114">
        <f t="shared" si="0"/>
        <v>0.4315924798567588</v>
      </c>
      <c r="D25" s="114">
        <f>Overview!B27</f>
        <v>1.8771550362775787E-2</v>
      </c>
      <c r="E25" s="114">
        <f>Overview!E27</f>
        <v>2.4249042145593872E-2</v>
      </c>
      <c r="F25" s="114">
        <f t="shared" si="1"/>
        <v>0.29179751682524946</v>
      </c>
      <c r="G25" s="114"/>
      <c r="H25" s="124">
        <f>RSQ(G5:G23,H5:H23)</f>
        <v>2.2865841313669165E-2</v>
      </c>
      <c r="I25" s="124">
        <f>AVERAGE(I5:I23)</f>
        <v>0.26581295447529113</v>
      </c>
      <c r="J25" s="114">
        <f>Overview!B26</f>
        <v>2.1864877371587231E-2</v>
      </c>
      <c r="K25" s="114">
        <f>Overview!G26</f>
        <v>2.1869181912474379E-2</v>
      </c>
      <c r="L25" s="114">
        <f t="shared" si="3"/>
        <v>1.9687011337833109E-4</v>
      </c>
      <c r="M25" s="114">
        <f>Overview!B26</f>
        <v>2.1864877371587231E-2</v>
      </c>
      <c r="N25" s="114">
        <f>Overview!H26</f>
        <v>1.8574514038876888E-2</v>
      </c>
      <c r="O25" s="114">
        <f t="shared" si="4"/>
        <v>0.15048624681454073</v>
      </c>
      <c r="P25" s="114">
        <f>Overview!B23</f>
        <v>1.8957909029192123E-2</v>
      </c>
      <c r="Q25" s="114">
        <f>Overview!D23</f>
        <v>2.1187500000000001E-2</v>
      </c>
      <c r="R25" s="114">
        <f t="shared" si="5"/>
        <v>0.11760743061772624</v>
      </c>
      <c r="S25" s="114">
        <f>Overview!C27</f>
        <v>2.9373302394186319E-2</v>
      </c>
      <c r="T25" s="114">
        <f>Overview!E27</f>
        <v>2.4249042145593872E-2</v>
      </c>
      <c r="U25" s="114">
        <f t="shared" si="20"/>
        <v>0.17445298386355976</v>
      </c>
      <c r="V25" s="114"/>
      <c r="W25" s="124">
        <f>RSQ(V5:V23,W5:W23)</f>
        <v>2.4153669147860442E-2</v>
      </c>
      <c r="X25" s="124">
        <f>AVERAGE(X5:X23)</f>
        <v>0.3919897400594109</v>
      </c>
      <c r="Y25" s="114">
        <f>Overview!C26</f>
        <v>2.9391344596158289E-2</v>
      </c>
      <c r="Z25" s="114">
        <f>Overview!G26</f>
        <v>2.1869181912474379E-2</v>
      </c>
      <c r="AA25" s="114">
        <f t="shared" si="7"/>
        <v>0.25593122012754477</v>
      </c>
      <c r="AB25" s="114">
        <f>Overview!C26</f>
        <v>2.9391344596158289E-2</v>
      </c>
      <c r="AC25" s="114">
        <f>Overview!H26</f>
        <v>1.8574514038876888E-2</v>
      </c>
      <c r="AD25" s="114">
        <f t="shared" si="8"/>
        <v>0.36802775463002319</v>
      </c>
      <c r="AE25" s="114">
        <f>Overview!C23</f>
        <v>2.7139999999999991E-2</v>
      </c>
      <c r="AF25" s="114">
        <f>Overview!D23</f>
        <v>2.1187500000000001E-2</v>
      </c>
      <c r="AG25" s="114">
        <f t="shared" si="9"/>
        <v>0.21932571849668353</v>
      </c>
      <c r="AH25" s="114"/>
      <c r="AI25" s="114"/>
      <c r="AJ25" s="114"/>
      <c r="AK25" s="114">
        <f>Overview!E29</f>
        <v>2.5031396470139716E-2</v>
      </c>
      <c r="AL25" s="114">
        <f>Overview!G29</f>
        <v>2.6621315134700074E-2</v>
      </c>
      <c r="AM25" s="114">
        <f t="shared" si="11"/>
        <v>6.3516978226004786E-2</v>
      </c>
      <c r="AN25" s="114">
        <f>Overview!E30</f>
        <v>2.6364108106420914E-2</v>
      </c>
      <c r="AO25" s="114">
        <f>Overview!H30</f>
        <v>2.1814254859611231E-2</v>
      </c>
      <c r="AP25" s="114">
        <f t="shared" si="12"/>
        <v>0.17257755234669128</v>
      </c>
      <c r="AQ25" s="114">
        <f>Overview!E27</f>
        <v>2.4249042145593872E-2</v>
      </c>
      <c r="AR25" s="114">
        <f>Overview!D27</f>
        <v>2.3409961685823755E-2</v>
      </c>
      <c r="AS25" s="114">
        <f t="shared" si="13"/>
        <v>3.4602622847211321E-2</v>
      </c>
      <c r="AT25" s="114"/>
      <c r="AU25" s="114"/>
      <c r="AV25" s="114"/>
      <c r="AW25" s="114"/>
      <c r="AX25" s="114"/>
      <c r="AY25" s="114"/>
      <c r="AZ25" s="114"/>
      <c r="BA25" s="124">
        <f>RSQ(AZ5:AZ23,BA5:BA23)</f>
        <v>0.36724369730459738</v>
      </c>
      <c r="BB25" s="124">
        <f>AVERAGE(BB5:BB23)</f>
        <v>0.33905282054816077</v>
      </c>
      <c r="BC25" s="114">
        <f>Overview!G29</f>
        <v>2.6621315134700074E-2</v>
      </c>
      <c r="BD25" s="114">
        <f>Overview!H29</f>
        <v>2.3122923588039867E-2</v>
      </c>
      <c r="BE25" s="114">
        <f t="shared" si="17"/>
        <v>0.13141317508015071</v>
      </c>
      <c r="BF25" s="114">
        <f>Overview!G26</f>
        <v>2.1869181912474379E-2</v>
      </c>
      <c r="BG25" s="114">
        <f>Overview!D26</f>
        <v>2.3700000000000002E-2</v>
      </c>
      <c r="BH25" s="114">
        <f t="shared" si="18"/>
        <v>8.3716807279439587E-2</v>
      </c>
      <c r="BI25" s="114">
        <f>Overview!H26</f>
        <v>1.8574514038876888E-2</v>
      </c>
      <c r="BJ25" s="114">
        <f>Overview!D26</f>
        <v>2.3700000000000002E-2</v>
      </c>
      <c r="BK25" s="114">
        <f t="shared" si="19"/>
        <v>0.27594186046511654</v>
      </c>
    </row>
    <row r="26" spans="1:63" x14ac:dyDescent="0.2">
      <c r="A26" s="114">
        <v>1.7824956503039901E-2</v>
      </c>
      <c r="B26" s="114">
        <v>1.7780441971421951E-2</v>
      </c>
      <c r="C26" s="114">
        <f t="shared" si="0"/>
        <v>2.4973150206766804E-3</v>
      </c>
      <c r="D26" s="114">
        <f>Overview!B28</f>
        <v>2.0865347769781356E-2</v>
      </c>
      <c r="E26" s="114">
        <f>Overview!E28</f>
        <v>2.490612393785941E-2</v>
      </c>
      <c r="F26" s="114">
        <f t="shared" si="1"/>
        <v>0.19365966063264886</v>
      </c>
      <c r="G26" s="114"/>
      <c r="H26" s="114" t="s">
        <v>236</v>
      </c>
      <c r="I26" s="114" t="s">
        <v>229</v>
      </c>
      <c r="J26" s="114">
        <f>Overview!B27</f>
        <v>1.8771550362775787E-2</v>
      </c>
      <c r="K26" s="114">
        <f>Overview!G27</f>
        <v>2.550425584500297E-2</v>
      </c>
      <c r="L26" s="114">
        <f t="shared" si="3"/>
        <v>0.3586653926879807</v>
      </c>
      <c r="M26" s="114">
        <f>Overview!B27</f>
        <v>1.8771550362775787E-2</v>
      </c>
      <c r="N26" s="114">
        <f>Overview!H27</f>
        <v>2.0500359971202305E-2</v>
      </c>
      <c r="O26" s="114">
        <f t="shared" si="4"/>
        <v>9.2097326806568375E-2</v>
      </c>
      <c r="P26" s="114">
        <f>Overview!B24</f>
        <v>1.7824956503039901E-2</v>
      </c>
      <c r="Q26" s="114">
        <f>Overview!D24</f>
        <v>1.3785310734463277E-2</v>
      </c>
      <c r="R26" s="114">
        <f t="shared" si="5"/>
        <v>0.22662864663303359</v>
      </c>
      <c r="S26" s="114">
        <f>Overview!C28</f>
        <v>2.7980430864303487E-2</v>
      </c>
      <c r="T26" s="114">
        <f>Overview!E28</f>
        <v>2.490612393785941E-2</v>
      </c>
      <c r="U26" s="114">
        <f t="shared" si="20"/>
        <v>0.10987346625766854</v>
      </c>
      <c r="V26" s="114"/>
      <c r="W26" s="114" t="s">
        <v>236</v>
      </c>
      <c r="X26" s="114" t="s">
        <v>229</v>
      </c>
      <c r="Y26" s="114">
        <f>Overview!C27</f>
        <v>2.9373302394186319E-2</v>
      </c>
      <c r="Z26" s="114">
        <f>Overview!G27</f>
        <v>2.550425584500297E-2</v>
      </c>
      <c r="AA26" s="114">
        <f t="shared" si="7"/>
        <v>0.13171983515034136</v>
      </c>
      <c r="AB26" s="114">
        <f>Overview!C27</f>
        <v>2.9373302394186319E-2</v>
      </c>
      <c r="AC26" s="114">
        <f>Overview!H27</f>
        <v>2.0500359971202305E-2</v>
      </c>
      <c r="AD26" s="114">
        <f t="shared" si="8"/>
        <v>0.30207507157044017</v>
      </c>
      <c r="AE26" s="114">
        <f>Overview!C24</f>
        <v>1.7780441971421951E-2</v>
      </c>
      <c r="AF26" s="114">
        <f>Overview!D24</f>
        <v>1.3785310734463277E-2</v>
      </c>
      <c r="AG26" s="114">
        <f t="shared" si="9"/>
        <v>0.22469245946641517</v>
      </c>
      <c r="AH26" s="114"/>
      <c r="AI26" s="114"/>
      <c r="AJ26" s="114"/>
      <c r="AK26" s="114">
        <f>Overview!E30</f>
        <v>2.6364108106420914E-2</v>
      </c>
      <c r="AL26" s="114">
        <f>Overview!G30</f>
        <v>2.7091113995536553E-2</v>
      </c>
      <c r="AM26" s="114">
        <f t="shared" si="11"/>
        <v>2.7575592020068283E-2</v>
      </c>
      <c r="AN26" s="114">
        <f>Overview!E31</f>
        <v>2.2908286044854953E-2</v>
      </c>
      <c r="AO26" s="114">
        <f>Overview!H31</f>
        <v>2.1451372125524074E-2</v>
      </c>
      <c r="AP26" s="114">
        <f t="shared" si="12"/>
        <v>6.3597683234712904E-2</v>
      </c>
      <c r="AQ26" s="114">
        <f>Overview!E28</f>
        <v>2.490612393785941E-2</v>
      </c>
      <c r="AR26" s="114">
        <f>Overview!D28</f>
        <v>2.3704918032786886E-2</v>
      </c>
      <c r="AS26" s="114">
        <f t="shared" si="13"/>
        <v>4.8229339421482192E-2</v>
      </c>
      <c r="AT26" s="114"/>
      <c r="AU26" s="114"/>
      <c r="AV26" s="114"/>
      <c r="AW26" s="114"/>
      <c r="AX26" s="114"/>
      <c r="AY26" s="114"/>
      <c r="AZ26" s="114"/>
      <c r="BA26" s="114" t="s">
        <v>236</v>
      </c>
      <c r="BB26" s="114" t="s">
        <v>229</v>
      </c>
      <c r="BC26" s="114">
        <f>Overview!G30</f>
        <v>2.7091113995536553E-2</v>
      </c>
      <c r="BD26" s="114">
        <f>Overview!H30</f>
        <v>2.1814254859611231E-2</v>
      </c>
      <c r="BE26" s="114">
        <f t="shared" si="17"/>
        <v>0.19478191767214595</v>
      </c>
      <c r="BF26" s="114">
        <f>Overview!G27</f>
        <v>2.550425584500297E-2</v>
      </c>
      <c r="BG26" s="114">
        <f>Overview!D27</f>
        <v>2.3409961685823755E-2</v>
      </c>
      <c r="BH26" s="114">
        <f t="shared" si="18"/>
        <v>8.2115477977748902E-2</v>
      </c>
      <c r="BI26" s="114">
        <f>Overview!H27</f>
        <v>2.0500359971202305E-2</v>
      </c>
      <c r="BJ26" s="114">
        <f>Overview!D27</f>
        <v>2.3409961685823755E-2</v>
      </c>
      <c r="BK26" s="114">
        <f t="shared" si="19"/>
        <v>0.14192929873956783</v>
      </c>
    </row>
    <row r="27" spans="1:63" x14ac:dyDescent="0.2">
      <c r="A27" s="114">
        <v>2.2613256308908484E-2</v>
      </c>
      <c r="B27" s="114">
        <v>3.4299723455352593E-2</v>
      </c>
      <c r="C27" s="114">
        <f t="shared" si="0"/>
        <v>0.51679718244913853</v>
      </c>
      <c r="D27" s="114">
        <f>Overview!B29</f>
        <v>2.0947588654360551E-2</v>
      </c>
      <c r="E27" s="114">
        <f>Overview!E29</f>
        <v>2.5031396470139716E-2</v>
      </c>
      <c r="F27" s="114">
        <f t="shared" si="1"/>
        <v>0.19495359982300681</v>
      </c>
      <c r="G27" s="114"/>
      <c r="H27" s="114"/>
      <c r="I27" s="114"/>
      <c r="J27" s="114">
        <f>Overview!B28</f>
        <v>2.0865347769781356E-2</v>
      </c>
      <c r="K27" s="114">
        <f>Overview!G28</f>
        <v>2.7022516690302818E-2</v>
      </c>
      <c r="L27" s="114">
        <f t="shared" si="3"/>
        <v>0.29509064447220484</v>
      </c>
      <c r="M27" s="114">
        <f>Overview!B28</f>
        <v>2.0865347769781356E-2</v>
      </c>
      <c r="N27" s="114">
        <f>Overview!H28</f>
        <v>2.2393442622950819E-2</v>
      </c>
      <c r="O27" s="114">
        <f t="shared" si="4"/>
        <v>7.3236011689321368E-2</v>
      </c>
      <c r="P27" s="114">
        <f>Overview!B25</f>
        <v>2.2613256308908484E-2</v>
      </c>
      <c r="Q27" s="114">
        <f>Overview!D25</f>
        <v>3.09375E-2</v>
      </c>
      <c r="R27" s="114">
        <f t="shared" si="5"/>
        <v>0.36811344537815116</v>
      </c>
      <c r="S27" s="114">
        <f>Overview!C29</f>
        <v>2.4164068982530103E-2</v>
      </c>
      <c r="T27" s="114">
        <f>Overview!E29</f>
        <v>2.5031396470139716E-2</v>
      </c>
      <c r="U27" s="114">
        <f t="shared" si="20"/>
        <v>3.5893271461717197E-2</v>
      </c>
      <c r="V27" s="114"/>
      <c r="W27" s="114"/>
      <c r="X27" s="114"/>
      <c r="Y27" s="114">
        <f>Overview!C28</f>
        <v>2.7980430864303487E-2</v>
      </c>
      <c r="Z27" s="114">
        <f>Overview!G28</f>
        <v>2.7022516690302818E-2</v>
      </c>
      <c r="AA27" s="114">
        <f>ABS(Y27-Z27)/Y27</f>
        <v>3.4235147365895072E-2</v>
      </c>
      <c r="AB27" s="114">
        <f>Overview!C28</f>
        <v>2.7980430864303487E-2</v>
      </c>
      <c r="AC27" s="114">
        <f>Overview!H28</f>
        <v>2.2393442622950819E-2</v>
      </c>
      <c r="AD27" s="114">
        <f t="shared" si="8"/>
        <v>0.19967484662576671</v>
      </c>
      <c r="AE27" s="114">
        <f>Overview!C25</f>
        <v>3.4299723455352593E-2</v>
      </c>
      <c r="AF27" s="114">
        <f>Overview!D25</f>
        <v>3.09375E-2</v>
      </c>
      <c r="AG27" s="114">
        <f t="shared" si="9"/>
        <v>9.8024797772178734E-2</v>
      </c>
      <c r="AH27" s="114"/>
      <c r="AI27" s="114"/>
      <c r="AJ27" s="114"/>
      <c r="AK27" s="114">
        <f>Overview!E31</f>
        <v>2.2908286044854953E-2</v>
      </c>
      <c r="AL27" s="114">
        <f>Overview!G31</f>
        <v>2.435066770491438E-2</v>
      </c>
      <c r="AM27" s="114">
        <f t="shared" si="11"/>
        <v>6.2963316296784935E-2</v>
      </c>
      <c r="AN27" s="114">
        <f>Overview!E32</f>
        <v>2.0555472726885477E-2</v>
      </c>
      <c r="AO27" s="114">
        <f>Overview!H32</f>
        <v>2.4673599331252519E-2</v>
      </c>
      <c r="AP27" s="114">
        <f t="shared" si="12"/>
        <v>0.20034210154557766</v>
      </c>
      <c r="AQ27" s="114">
        <f>Overview!E29</f>
        <v>2.5031396470139716E-2</v>
      </c>
      <c r="AR27" s="114">
        <f>Overview!D29</f>
        <v>2.0295081967213115E-2</v>
      </c>
      <c r="AS27" s="114">
        <f t="shared" si="13"/>
        <v>0.18921495285237536</v>
      </c>
      <c r="AT27" s="114"/>
      <c r="AU27" s="114"/>
      <c r="AV27" s="114"/>
      <c r="AW27" s="114"/>
      <c r="AX27" s="114"/>
      <c r="AY27" s="114"/>
      <c r="AZ27" s="114"/>
      <c r="BA27" s="114"/>
      <c r="BB27" s="114"/>
      <c r="BC27" s="114">
        <f>Overview!G31</f>
        <v>2.435066770491438E-2</v>
      </c>
      <c r="BD27" s="114">
        <f>Overview!H31</f>
        <v>2.1451372125524074E-2</v>
      </c>
      <c r="BE27" s="114">
        <f t="shared" si="17"/>
        <v>0.1190643153824147</v>
      </c>
      <c r="BF27" s="114">
        <f>Overview!G28</f>
        <v>2.7022516690302818E-2</v>
      </c>
      <c r="BG27" s="114">
        <f>Overview!D28</f>
        <v>2.3704918032786886E-2</v>
      </c>
      <c r="BH27" s="114">
        <f t="shared" si="18"/>
        <v>0.12277163876103631</v>
      </c>
      <c r="BI27" s="114">
        <f>Overview!H28</f>
        <v>2.2393442622950819E-2</v>
      </c>
      <c r="BJ27" s="114">
        <f>Overview!D28</f>
        <v>2.3704918032786886E-2</v>
      </c>
      <c r="BK27" s="114">
        <f t="shared" si="19"/>
        <v>5.8565153733528628E-2</v>
      </c>
    </row>
    <row r="28" spans="1:63" x14ac:dyDescent="0.2">
      <c r="A28" s="114">
        <v>2.1864877371587231E-2</v>
      </c>
      <c r="B28" s="114">
        <v>2.9391344596158289E-2</v>
      </c>
      <c r="C28" s="114">
        <f t="shared" si="0"/>
        <v>0.34422636343487945</v>
      </c>
      <c r="D28" s="114">
        <f>Overview!B30</f>
        <v>2.1158501129156581E-2</v>
      </c>
      <c r="E28" s="114">
        <f>Overview!E30</f>
        <v>2.6364108106420914E-2</v>
      </c>
      <c r="F28" s="114">
        <f t="shared" si="1"/>
        <v>0.24602909939073928</v>
      </c>
      <c r="G28" s="114"/>
      <c r="H28" s="114"/>
      <c r="I28" s="114"/>
      <c r="J28" s="114">
        <f>Overview!B29</f>
        <v>2.0947588654360551E-2</v>
      </c>
      <c r="K28" s="114">
        <f>Overview!G29</f>
        <v>2.6621315134700074E-2</v>
      </c>
      <c r="L28" s="114">
        <f t="shared" si="3"/>
        <v>0.27085344160405078</v>
      </c>
      <c r="M28" s="114">
        <f>Overview!B29</f>
        <v>2.0947588654360551E-2</v>
      </c>
      <c r="N28" s="114">
        <f>Overview!H29</f>
        <v>2.3122923588039867E-2</v>
      </c>
      <c r="O28" s="114">
        <f t="shared" si="4"/>
        <v>0.10384655578132555</v>
      </c>
      <c r="P28" s="114">
        <f>Overview!B26</f>
        <v>2.1864877371587231E-2</v>
      </c>
      <c r="Q28" s="114">
        <f>Overview!D26</f>
        <v>2.3700000000000002E-2</v>
      </c>
      <c r="R28" s="114">
        <f t="shared" si="5"/>
        <v>8.3930158730158688E-2</v>
      </c>
      <c r="S28" s="114">
        <f>Overview!C30</f>
        <v>2.9614167606309725E-2</v>
      </c>
      <c r="T28" s="114">
        <f>Overview!E30</f>
        <v>2.6364108106420914E-2</v>
      </c>
      <c r="U28" s="114">
        <f t="shared" si="20"/>
        <v>0.10974677874100836</v>
      </c>
      <c r="V28" s="114"/>
      <c r="W28" s="114"/>
      <c r="X28" s="114"/>
      <c r="Y28" s="114">
        <f>Overview!C29</f>
        <v>2.4164068982530103E-2</v>
      </c>
      <c r="Z28" s="114">
        <f>Overview!G29</f>
        <v>2.6621315134700074E-2</v>
      </c>
      <c r="AA28" s="114">
        <f t="shared" si="7"/>
        <v>0.10169008182961595</v>
      </c>
      <c r="AB28" s="114">
        <f>Overview!C29</f>
        <v>2.4164068982530103E-2</v>
      </c>
      <c r="AC28" s="114">
        <f>Overview!H29</f>
        <v>2.3122923588039867E-2</v>
      </c>
      <c r="AD28" s="114">
        <f t="shared" si="8"/>
        <v>4.3086509777924935E-2</v>
      </c>
      <c r="AE28" s="114">
        <f>Overview!C26</f>
        <v>2.9391344596158289E-2</v>
      </c>
      <c r="AF28" s="114">
        <f>Overview!D26</f>
        <v>2.3700000000000002E-2</v>
      </c>
      <c r="AG28" s="114">
        <f t="shared" si="9"/>
        <v>0.19364015748031468</v>
      </c>
      <c r="AH28" s="114"/>
      <c r="AI28" s="114"/>
      <c r="AJ28" s="114"/>
      <c r="AK28" s="114">
        <f>Overview!E32</f>
        <v>2.0555472726885477E-2</v>
      </c>
      <c r="AL28" s="114">
        <f>Overview!G32</f>
        <v>2.3010585738148896E-2</v>
      </c>
      <c r="AM28" s="114">
        <f t="shared" si="11"/>
        <v>0.11943841155510183</v>
      </c>
      <c r="AN28" s="114">
        <f>Overview!E37</f>
        <v>2.859005422868351E-2</v>
      </c>
      <c r="AO28" s="114">
        <f>Overview!H37</f>
        <v>3.3170583683490948E-2</v>
      </c>
      <c r="AP28" s="114">
        <f t="shared" si="12"/>
        <v>0.16021408767430514</v>
      </c>
      <c r="AQ28" s="114">
        <f>Overview!E30</f>
        <v>2.6364108106420914E-2</v>
      </c>
      <c r="AR28" s="114">
        <f>Overview!D30</f>
        <v>2.6602739726027398E-2</v>
      </c>
      <c r="AS28" s="114">
        <f t="shared" si="13"/>
        <v>9.0513822293258467E-3</v>
      </c>
      <c r="AT28" s="114"/>
      <c r="AU28" s="114"/>
      <c r="AV28" s="114"/>
      <c r="AW28" s="114"/>
      <c r="AX28" s="114"/>
      <c r="AY28" s="114"/>
      <c r="AZ28" s="114"/>
      <c r="BA28" s="114"/>
      <c r="BB28" s="114"/>
      <c r="BC28" s="114">
        <f>Overview!G32</f>
        <v>2.3010585738148896E-2</v>
      </c>
      <c r="BD28" s="114">
        <f>Overview!H32</f>
        <v>2.4673599331252519E-2</v>
      </c>
      <c r="BE28" s="114">
        <f t="shared" si="17"/>
        <v>7.2271675829031087E-2</v>
      </c>
      <c r="BF28" s="114">
        <f>Overview!G29</f>
        <v>2.6621315134700074E-2</v>
      </c>
      <c r="BG28" s="114">
        <f>Overview!D29</f>
        <v>2.0295081967213115E-2</v>
      </c>
      <c r="BH28" s="114">
        <f t="shared" si="18"/>
        <v>0.23763789037007066</v>
      </c>
      <c r="BI28" s="114">
        <f>Overview!H29</f>
        <v>2.3122923588039867E-2</v>
      </c>
      <c r="BJ28" s="114">
        <f>Overview!D29</f>
        <v>2.0295081967213115E-2</v>
      </c>
      <c r="BK28" s="114">
        <f t="shared" si="19"/>
        <v>0.12229602411908799</v>
      </c>
    </row>
    <row r="29" spans="1:63" x14ac:dyDescent="0.2">
      <c r="A29" s="114">
        <v>1.8771550362775787E-2</v>
      </c>
      <c r="B29" s="114">
        <v>2.9373302394186319E-2</v>
      </c>
      <c r="C29" s="114">
        <f t="shared" si="0"/>
        <v>0.56477764630639871</v>
      </c>
      <c r="D29" s="114">
        <f>Overview!B31</f>
        <v>1.9124641592174061E-2</v>
      </c>
      <c r="E29" s="114">
        <f>Overview!E31</f>
        <v>2.2908286044854953E-2</v>
      </c>
      <c r="F29" s="114">
        <f t="shared" si="1"/>
        <v>0.19784132604237592</v>
      </c>
      <c r="G29" s="114"/>
      <c r="H29" s="114"/>
      <c r="I29" s="114"/>
      <c r="J29" s="114">
        <f>Overview!B30</f>
        <v>2.1158501129156581E-2</v>
      </c>
      <c r="K29" s="114">
        <f>Overview!G30</f>
        <v>2.7091113995536553E-2</v>
      </c>
      <c r="L29" s="114">
        <f t="shared" si="3"/>
        <v>0.28038908948067143</v>
      </c>
      <c r="M29" s="114">
        <f>Overview!B30</f>
        <v>2.1158501129156581E-2</v>
      </c>
      <c r="N29" s="114">
        <f>Overview!H30</f>
        <v>2.1814254859611231E-2</v>
      </c>
      <c r="O29" s="114">
        <f t="shared" si="4"/>
        <v>3.0992447265133366E-2</v>
      </c>
      <c r="P29" s="114">
        <f>Overview!B27</f>
        <v>1.8771550362775787E-2</v>
      </c>
      <c r="Q29" s="114">
        <f>Overview!D27</f>
        <v>2.3409961685823755E-2</v>
      </c>
      <c r="R29" s="114">
        <f t="shared" si="5"/>
        <v>0.24709793455558127</v>
      </c>
      <c r="S29" s="114">
        <f>Overview!C31</f>
        <v>2.7141855698876925E-2</v>
      </c>
      <c r="T29" s="114">
        <f>Overview!E31</f>
        <v>2.2908286044854953E-2</v>
      </c>
      <c r="U29" s="114">
        <f t="shared" si="20"/>
        <v>0.1559793737388836</v>
      </c>
      <c r="V29" s="114"/>
      <c r="W29" s="114"/>
      <c r="X29" s="114"/>
      <c r="Y29" s="114">
        <f>Overview!C30</f>
        <v>2.9614167606309725E-2</v>
      </c>
      <c r="Z29" s="114">
        <f>Overview!G30</f>
        <v>2.7091113995536553E-2</v>
      </c>
      <c r="AA29" s="114">
        <f t="shared" si="7"/>
        <v>8.5197519117018825E-2</v>
      </c>
      <c r="AB29" s="114">
        <f>Overview!C30</f>
        <v>2.9614167606309725E-2</v>
      </c>
      <c r="AC29" s="114">
        <f>Overview!H30</f>
        <v>2.1814254859611231E-2</v>
      </c>
      <c r="AD29" s="114">
        <f t="shared" si="8"/>
        <v>0.26338450063464253</v>
      </c>
      <c r="AE29" s="114">
        <f>Overview!C27</f>
        <v>2.9373302394186319E-2</v>
      </c>
      <c r="AF29" s="114">
        <f>Overview!D27</f>
        <v>2.3409961685823755E-2</v>
      </c>
      <c r="AG29" s="114">
        <f t="shared" si="9"/>
        <v>0.20301907590556967</v>
      </c>
      <c r="AH29" s="114"/>
      <c r="AI29" s="114"/>
      <c r="AJ29" s="114"/>
      <c r="AK29" s="114">
        <f>Overview!E33</f>
        <v>3.0674194176674149E-2</v>
      </c>
      <c r="AL29" s="114">
        <f>Overview!G33</f>
        <v>2.2928504088358195E-2</v>
      </c>
      <c r="AM29" s="114">
        <f t="shared" si="11"/>
        <v>0.25251486783004323</v>
      </c>
      <c r="AN29" s="114">
        <f>Overview!E43</f>
        <v>3.2640867088167859E-2</v>
      </c>
      <c r="AO29" s="114">
        <f>Overview!H43</f>
        <v>3.3023342529235181E-2</v>
      </c>
      <c r="AP29" s="114">
        <f t="shared" si="12"/>
        <v>1.1717686299025035E-2</v>
      </c>
      <c r="AQ29" s="114">
        <f>Overview!E31</f>
        <v>2.2908286044854953E-2</v>
      </c>
      <c r="AR29" s="114">
        <f>Overview!D31</f>
        <v>2.4297520661157024E-2</v>
      </c>
      <c r="AS29" s="114">
        <f t="shared" si="13"/>
        <v>6.0643324148385351E-2</v>
      </c>
      <c r="AT29" s="114"/>
      <c r="AU29" s="114"/>
      <c r="AV29" s="114"/>
      <c r="AW29" s="114"/>
      <c r="AX29" s="114"/>
      <c r="AY29" s="114"/>
      <c r="AZ29" s="114"/>
      <c r="BA29" s="114"/>
      <c r="BB29" s="114"/>
      <c r="BC29" s="114">
        <f>Overview!G34</f>
        <v>1.8964041321593437E-2</v>
      </c>
      <c r="BD29" s="114">
        <f>Overview!H34</f>
        <v>3.7400000000000003E-2</v>
      </c>
      <c r="BE29" s="114">
        <f t="shared" si="17"/>
        <v>0.97215347539948838</v>
      </c>
      <c r="BF29" s="114">
        <f>Overview!G30</f>
        <v>2.7091113995536553E-2</v>
      </c>
      <c r="BG29" s="114">
        <f>Overview!D30</f>
        <v>2.6602739726027398E-2</v>
      </c>
      <c r="BH29" s="114">
        <f t="shared" si="18"/>
        <v>1.802710178657169E-2</v>
      </c>
      <c r="BI29" s="114">
        <f>Overview!H30</f>
        <v>2.1814254859611231E-2</v>
      </c>
      <c r="BJ29" s="114">
        <f>Overview!D30</f>
        <v>2.6602739726027398E-2</v>
      </c>
      <c r="BK29" s="114">
        <f t="shared" si="19"/>
        <v>0.21951173199511737</v>
      </c>
    </row>
    <row r="30" spans="1:63" ht="15" customHeight="1" x14ac:dyDescent="0.2">
      <c r="A30" s="114">
        <v>2.0865347769781356E-2</v>
      </c>
      <c r="B30" s="114">
        <v>2.7980430864303487E-2</v>
      </c>
      <c r="C30" s="114">
        <f t="shared" si="0"/>
        <v>0.34099997627773487</v>
      </c>
      <c r="D30" s="114">
        <f>Overview!B32</f>
        <v>1.822785285520246E-2</v>
      </c>
      <c r="E30" s="114">
        <f>Overview!E32</f>
        <v>2.0555472726885477E-2</v>
      </c>
      <c r="F30" s="114">
        <f t="shared" si="1"/>
        <v>0.1276957791009754</v>
      </c>
      <c r="G30" s="114"/>
      <c r="H30" s="114"/>
      <c r="I30" s="114"/>
      <c r="J30" s="114">
        <f>Overview!B31</f>
        <v>1.9124641592174061E-2</v>
      </c>
      <c r="K30" s="114">
        <f>Overview!G31</f>
        <v>2.435066770491438E-2</v>
      </c>
      <c r="L30" s="114">
        <f t="shared" si="3"/>
        <v>0.27326138832734231</v>
      </c>
      <c r="M30" s="114">
        <f>Overview!B31</f>
        <v>1.9124641592174061E-2</v>
      </c>
      <c r="N30" s="114">
        <f>Overview!H31</f>
        <v>2.1451372125524074E-2</v>
      </c>
      <c r="O30" s="114">
        <f t="shared" si="4"/>
        <v>0.12166139282328445</v>
      </c>
      <c r="P30" s="114">
        <f>Overview!B28</f>
        <v>2.0865347769781356E-2</v>
      </c>
      <c r="Q30" s="114">
        <f>Overview!D28</f>
        <v>2.3704918032786886E-2</v>
      </c>
      <c r="R30" s="114">
        <f t="shared" si="5"/>
        <v>0.1360902437062656</v>
      </c>
      <c r="S30" s="114">
        <f>Overview!C32</f>
        <v>2.5762319581407563E-2</v>
      </c>
      <c r="T30" s="114">
        <f>Overview!E32</f>
        <v>2.0555472726885477E-2</v>
      </c>
      <c r="U30" s="114">
        <f t="shared" si="20"/>
        <v>0.20211094882464781</v>
      </c>
      <c r="V30" s="114"/>
      <c r="W30" s="114"/>
      <c r="X30" s="114"/>
      <c r="Y30" s="114">
        <f>Overview!C31</f>
        <v>2.7141855698876925E-2</v>
      </c>
      <c r="Z30" s="114">
        <f>Overview!G31</f>
        <v>2.435066770491438E-2</v>
      </c>
      <c r="AA30" s="114">
        <f t="shared" si="7"/>
        <v>0.10283703608659442</v>
      </c>
      <c r="AB30" s="114">
        <f>Overview!C31</f>
        <v>2.7141855698876925E-2</v>
      </c>
      <c r="AC30" s="114">
        <f>Overview!H31</f>
        <v>2.1451372125524074E-2</v>
      </c>
      <c r="AD30" s="114">
        <f t="shared" si="8"/>
        <v>0.20965713017140208</v>
      </c>
      <c r="AE30" s="114">
        <f>Overview!C28</f>
        <v>2.7980430864303487E-2</v>
      </c>
      <c r="AF30" s="114">
        <f>Overview!D28</f>
        <v>2.3704918032786886E-2</v>
      </c>
      <c r="AG30" s="114">
        <f t="shared" si="9"/>
        <v>0.15280368098159486</v>
      </c>
      <c r="AH30" s="114"/>
      <c r="AI30" s="114"/>
      <c r="AJ30" s="114"/>
      <c r="AK30" s="114">
        <f>Overview!E37</f>
        <v>2.859005422868351E-2</v>
      </c>
      <c r="AL30" s="114">
        <f>Overview!G37</f>
        <v>1.8626311532869602E-2</v>
      </c>
      <c r="AM30" s="114">
        <f t="shared" si="11"/>
        <v>0.348503805418375</v>
      </c>
      <c r="AN30" s="114">
        <f>Overview!E44</f>
        <v>3.166066256975348E-2</v>
      </c>
      <c r="AO30" s="114">
        <f>Overview!H44</f>
        <v>3.1662780679049679E-2</v>
      </c>
      <c r="AP30" s="114">
        <f t="shared" si="12"/>
        <v>6.6900346495683748E-5</v>
      </c>
      <c r="AQ30" s="114">
        <f>Overview!E32</f>
        <v>2.0555472726885477E-2</v>
      </c>
      <c r="AR30" s="114">
        <f>Overview!D32</f>
        <v>2.296551724137931E-2</v>
      </c>
      <c r="AS30" s="114">
        <f t="shared" si="13"/>
        <v>0.11724588125582835</v>
      </c>
      <c r="AT30" s="114"/>
      <c r="AU30" s="114"/>
      <c r="AV30" s="114"/>
      <c r="AW30" s="114"/>
      <c r="AX30" s="114"/>
      <c r="AY30" s="114"/>
      <c r="AZ30" s="114"/>
      <c r="BA30" s="114"/>
      <c r="BB30" s="114"/>
      <c r="BC30" s="114">
        <f>Overview!G35</f>
        <v>1.8943503525986907E-2</v>
      </c>
      <c r="BD30" s="114">
        <f>Overview!H35</f>
        <v>3.6000000000000004E-2</v>
      </c>
      <c r="BE30" s="114">
        <f t="shared" si="17"/>
        <v>0.90038764216000522</v>
      </c>
      <c r="BF30" s="114">
        <f>Overview!G31</f>
        <v>2.435066770491438E-2</v>
      </c>
      <c r="BG30" s="114">
        <f>Overview!D31</f>
        <v>2.4297520661157024E-2</v>
      </c>
      <c r="BH30" s="114">
        <f t="shared" si="18"/>
        <v>2.1825702851930142E-3</v>
      </c>
      <c r="BI30" s="114">
        <f>Overview!H31</f>
        <v>2.1451372125524074E-2</v>
      </c>
      <c r="BJ30" s="114">
        <f>Overview!D31</f>
        <v>2.4297520661157024E-2</v>
      </c>
      <c r="BK30" s="114">
        <f t="shared" si="19"/>
        <v>0.13267909012899179</v>
      </c>
    </row>
    <row r="31" spans="1:63" x14ac:dyDescent="0.2">
      <c r="A31" s="114">
        <v>2.0947588654360551E-2</v>
      </c>
      <c r="B31" s="114">
        <v>2.4164068982530103E-2</v>
      </c>
      <c r="C31" s="114">
        <f t="shared" si="0"/>
        <v>0.15354895407018571</v>
      </c>
      <c r="D31" s="114">
        <f>Overview!B33</f>
        <v>1.937711609657311E-2</v>
      </c>
      <c r="E31" s="114">
        <f>Overview!E33</f>
        <v>3.0674194176674149E-2</v>
      </c>
      <c r="F31" s="114">
        <f t="shared" si="1"/>
        <v>0.58301132241752707</v>
      </c>
      <c r="G31" s="114"/>
      <c r="H31" s="114"/>
      <c r="I31" s="114"/>
      <c r="J31" s="114">
        <f>Overview!B32</f>
        <v>1.822785285520246E-2</v>
      </c>
      <c r="K31" s="114">
        <f>Overview!G32</f>
        <v>2.3010585738148896E-2</v>
      </c>
      <c r="L31" s="114">
        <f t="shared" si="3"/>
        <v>0.26238597167418892</v>
      </c>
      <c r="M31" s="114">
        <f>Overview!B32</f>
        <v>1.822785285520246E-2</v>
      </c>
      <c r="N31" s="114">
        <f>Overview!H32</f>
        <v>2.4673599331252519E-2</v>
      </c>
      <c r="O31" s="114">
        <f t="shared" si="4"/>
        <v>0.35362072139014233</v>
      </c>
      <c r="P31" s="114">
        <f>Overview!B29</f>
        <v>2.0947588654360551E-2</v>
      </c>
      <c r="Q31" s="114">
        <f>Overview!D29</f>
        <v>2.0295081967213115E-2</v>
      </c>
      <c r="R31" s="114">
        <f t="shared" si="5"/>
        <v>3.1149489228279641E-2</v>
      </c>
      <c r="S31" s="114">
        <f>Overview!C33</f>
        <v>3.3889803443408938E-2</v>
      </c>
      <c r="T31" s="114">
        <f>Overview!E33</f>
        <v>3.0674194176674149E-2</v>
      </c>
      <c r="U31" s="114">
        <f t="shared" si="20"/>
        <v>9.4884270193670198E-2</v>
      </c>
      <c r="V31" s="114"/>
      <c r="W31" s="114"/>
      <c r="X31" s="114"/>
      <c r="Y31" s="114">
        <f>Overview!C32</f>
        <v>2.5762319581407563E-2</v>
      </c>
      <c r="Z31" s="114">
        <f>Overview!G32</f>
        <v>2.3010585738148896E-2</v>
      </c>
      <c r="AA31" s="114">
        <f t="shared" si="7"/>
        <v>0.10681234795505638</v>
      </c>
      <c r="AB31" s="114">
        <f>Overview!C32</f>
        <v>2.5762319581407563E-2</v>
      </c>
      <c r="AC31" s="114">
        <f>Overview!H32</f>
        <v>2.4673599331252519E-2</v>
      </c>
      <c r="AD31" s="114">
        <f t="shared" si="8"/>
        <v>4.2260179511970794E-2</v>
      </c>
      <c r="AE31" s="114">
        <f>Overview!C29</f>
        <v>2.4164068982530103E-2</v>
      </c>
      <c r="AF31" s="114">
        <f>Overview!D29</f>
        <v>2.0295081967213115E-2</v>
      </c>
      <c r="AG31" s="114">
        <f t="shared" si="9"/>
        <v>0.16011322505800449</v>
      </c>
      <c r="AH31" s="114"/>
      <c r="AI31" s="114"/>
      <c r="AJ31" s="114"/>
      <c r="AK31" s="114">
        <f>Overview!E43</f>
        <v>3.2640867088167859E-2</v>
      </c>
      <c r="AL31" s="114">
        <f>Overview!G43</f>
        <v>2.0893849574731151E-2</v>
      </c>
      <c r="AM31" s="114">
        <f t="shared" si="11"/>
        <v>0.35988680943144857</v>
      </c>
      <c r="AN31" s="114">
        <f>Overview!E45</f>
        <v>3.2252082176568581E-2</v>
      </c>
      <c r="AO31" s="114">
        <f>Overview!H45</f>
        <v>2.8615069399156777E-2</v>
      </c>
      <c r="AP31" s="114">
        <f t="shared" si="12"/>
        <v>0.11276830926761451</v>
      </c>
      <c r="AQ31" s="114">
        <f>Overview!E33</f>
        <v>3.0674194176674149E-2</v>
      </c>
      <c r="AR31" s="114">
        <f>Overview!D33</f>
        <v>2.3636363636363636E-2</v>
      </c>
      <c r="AS31" s="114">
        <f t="shared" si="13"/>
        <v>0.22943815572708193</v>
      </c>
      <c r="AT31" s="114"/>
      <c r="AU31" s="114"/>
      <c r="AV31" s="114"/>
      <c r="AW31" s="114"/>
      <c r="AX31" s="114"/>
      <c r="AY31" s="114"/>
      <c r="AZ31" s="114"/>
      <c r="BA31" s="114"/>
      <c r="BB31" s="114"/>
      <c r="BC31" s="114">
        <f>Overview!G36</f>
        <v>1.8797915196435474E-2</v>
      </c>
      <c r="BD31" s="114">
        <f>Overview!H36</f>
        <v>3.5230057223718962E-2</v>
      </c>
      <c r="BE31" s="114">
        <f t="shared" si="17"/>
        <v>0.87414704532763332</v>
      </c>
      <c r="BF31" s="114">
        <f>Overview!G32</f>
        <v>2.3010585738148896E-2</v>
      </c>
      <c r="BG31" s="114">
        <f>Overview!D32</f>
        <v>2.296551724137931E-2</v>
      </c>
      <c r="BH31" s="114">
        <f t="shared" si="18"/>
        <v>1.9585984156356225E-3</v>
      </c>
      <c r="BI31" s="114">
        <f>Overview!H32</f>
        <v>2.4673599331252519E-2</v>
      </c>
      <c r="BJ31" s="114">
        <f>Overview!D32</f>
        <v>2.296551724137931E-2</v>
      </c>
      <c r="BK31" s="114">
        <f t="shared" si="19"/>
        <v>6.922711465569141E-2</v>
      </c>
    </row>
    <row r="32" spans="1:63" x14ac:dyDescent="0.2">
      <c r="A32" s="114">
        <v>2.1158501129156581E-2</v>
      </c>
      <c r="B32" s="114">
        <v>2.9614167606309725E-2</v>
      </c>
      <c r="C32" s="114">
        <f t="shared" si="0"/>
        <v>0.39963447436742905</v>
      </c>
      <c r="D32" s="114">
        <f>Overview!B37</f>
        <v>1.9816118935837245E-2</v>
      </c>
      <c r="E32" s="114">
        <f>Overview!E37</f>
        <v>2.859005422868351E-2</v>
      </c>
      <c r="F32" s="114">
        <f t="shared" si="1"/>
        <v>0.44276759345538108</v>
      </c>
      <c r="G32" s="114"/>
      <c r="H32" s="114"/>
      <c r="I32" s="114"/>
      <c r="J32" s="114">
        <f>Overview!B33</f>
        <v>1.937711609657311E-2</v>
      </c>
      <c r="K32" s="114">
        <f>Overview!G33</f>
        <v>2.2928504088358195E-2</v>
      </c>
      <c r="L32" s="114">
        <f t="shared" si="3"/>
        <v>0.18327742756380325</v>
      </c>
      <c r="M32" s="114">
        <f>Overview!B34</f>
        <v>2.1346886912325287E-2</v>
      </c>
      <c r="N32" s="114">
        <f>Overview!H34</f>
        <v>3.7400000000000003E-2</v>
      </c>
      <c r="O32" s="114">
        <f t="shared" si="4"/>
        <v>0.75201190476190483</v>
      </c>
      <c r="P32" s="114">
        <f>Overview!B30</f>
        <v>2.1158501129156581E-2</v>
      </c>
      <c r="Q32" s="114">
        <f>Overview!D30</f>
        <v>2.6602739726027398E-2</v>
      </c>
      <c r="R32" s="114">
        <f t="shared" si="5"/>
        <v>0.25730738503818751</v>
      </c>
      <c r="S32" s="114">
        <f>Overview!C37</f>
        <v>3.7942771431868014E-2</v>
      </c>
      <c r="T32" s="114">
        <f>Overview!E37</f>
        <v>2.859005422868351E-2</v>
      </c>
      <c r="U32" s="114">
        <f t="shared" si="20"/>
        <v>0.24649536262733793</v>
      </c>
      <c r="V32" s="114"/>
      <c r="W32" s="114"/>
      <c r="X32" s="114"/>
      <c r="Y32" s="114">
        <f>Overview!C33</f>
        <v>3.3889803443408938E-2</v>
      </c>
      <c r="Z32" s="114">
        <f>Overview!G33</f>
        <v>2.2928504088358195E-2</v>
      </c>
      <c r="AA32" s="114">
        <f t="shared" si="7"/>
        <v>0.32343944907660871</v>
      </c>
      <c r="AB32" s="114">
        <f>Overview!C34</f>
        <v>4.6732090284592728E-2</v>
      </c>
      <c r="AC32" s="114">
        <f>Overview!H34</f>
        <v>3.7400000000000003E-2</v>
      </c>
      <c r="AD32" s="114">
        <f t="shared" si="8"/>
        <v>0.19969340613187714</v>
      </c>
      <c r="AE32" s="114">
        <f>Overview!C30</f>
        <v>2.9614167606309725E-2</v>
      </c>
      <c r="AF32" s="114">
        <f>Overview!D30</f>
        <v>2.6602739726027398E-2</v>
      </c>
      <c r="AG32" s="114">
        <f t="shared" si="9"/>
        <v>0.10168875655450463</v>
      </c>
      <c r="AH32" s="114"/>
      <c r="AI32" s="114"/>
      <c r="AJ32" s="114"/>
      <c r="AK32" s="114">
        <f>Overview!E44</f>
        <v>3.166066256975348E-2</v>
      </c>
      <c r="AL32" s="114">
        <f>Overview!G44</f>
        <v>2.0982137857828265E-2</v>
      </c>
      <c r="AM32" s="114">
        <f t="shared" si="11"/>
        <v>0.3372805192689422</v>
      </c>
      <c r="AN32" s="114">
        <f>Overview!E46</f>
        <v>2.7900396151669497E-2</v>
      </c>
      <c r="AO32" s="114">
        <f>Overview!H46</f>
        <v>2.6515103919099139E-2</v>
      </c>
      <c r="AP32" s="114">
        <f t="shared" si="12"/>
        <v>4.9651346347907167E-2</v>
      </c>
      <c r="AQ32" s="114">
        <f>Overview!E37</f>
        <v>2.859005422868351E-2</v>
      </c>
      <c r="AR32" s="114">
        <f>Overview!D37</f>
        <v>2.2555555555555554E-2</v>
      </c>
      <c r="AS32" s="114">
        <f t="shared" si="13"/>
        <v>0.21106985754065941</v>
      </c>
      <c r="AT32" s="114"/>
      <c r="AU32" s="114"/>
      <c r="AV32" s="114"/>
      <c r="AW32" s="114"/>
      <c r="AX32" s="114"/>
      <c r="AY32" s="114"/>
      <c r="AZ32" s="114"/>
      <c r="BA32" s="114"/>
      <c r="BB32" s="114"/>
      <c r="BC32" s="114">
        <f>Overview!G37</f>
        <v>1.8626311532869602E-2</v>
      </c>
      <c r="BD32" s="114">
        <f>Overview!H37</f>
        <v>3.3170583683490948E-2</v>
      </c>
      <c r="BE32" s="114">
        <f t="shared" si="17"/>
        <v>0.78084553267324364</v>
      </c>
      <c r="BF32" s="114">
        <f>Overview!G33</f>
        <v>2.2928504088358195E-2</v>
      </c>
      <c r="BG32" s="114">
        <f>Overview!D33</f>
        <v>2.3636363636363636E-2</v>
      </c>
      <c r="BH32" s="114">
        <f t="shared" si="18"/>
        <v>3.0872469711831423E-2</v>
      </c>
      <c r="BI32" s="114">
        <f>Overview!H34</f>
        <v>3.7400000000000003E-2</v>
      </c>
      <c r="BJ32" s="114">
        <f>Overview!D34</f>
        <v>1.1399999999999999E-2</v>
      </c>
      <c r="BK32" s="114">
        <f t="shared" si="19"/>
        <v>0.69518716577540107</v>
      </c>
    </row>
    <row r="33" spans="1:63" x14ac:dyDescent="0.2">
      <c r="A33" s="114">
        <v>1.9124641592174061E-2</v>
      </c>
      <c r="B33" s="114">
        <v>2.7141855698876925E-2</v>
      </c>
      <c r="C33" s="114">
        <f t="shared" si="0"/>
        <v>0.41920859369116564</v>
      </c>
      <c r="D33" s="114">
        <f>Overview!B43</f>
        <v>2.2850469069351172E-2</v>
      </c>
      <c r="E33" s="114">
        <f>Overview!E43</f>
        <v>3.2640867088167859E-2</v>
      </c>
      <c r="F33" s="114">
        <f t="shared" si="1"/>
        <v>0.42845501285347048</v>
      </c>
      <c r="G33" s="114"/>
      <c r="H33" s="114"/>
      <c r="I33" s="114"/>
      <c r="J33" s="114">
        <f>Overview!B34</f>
        <v>2.1346886912325287E-2</v>
      </c>
      <c r="K33" s="114">
        <f>Overview!G34</f>
        <v>1.8964041321593437E-2</v>
      </c>
      <c r="L33" s="114">
        <f t="shared" si="3"/>
        <v>0.11162496904202179</v>
      </c>
      <c r="M33" s="114">
        <f>Overview!B35</f>
        <v>2.4224299065420559E-2</v>
      </c>
      <c r="N33" s="114">
        <f>Overview!H35</f>
        <v>3.6000000000000004E-2</v>
      </c>
      <c r="O33" s="114">
        <f t="shared" si="4"/>
        <v>0.48611111111111138</v>
      </c>
      <c r="P33" s="114">
        <f>Overview!B31</f>
        <v>1.9124641592174061E-2</v>
      </c>
      <c r="Q33" s="114">
        <f>Overview!D31</f>
        <v>2.4297520661157024E-2</v>
      </c>
      <c r="R33" s="114">
        <f t="shared" si="5"/>
        <v>0.2704824058558955</v>
      </c>
      <c r="S33" s="114">
        <f>Overview!C43</f>
        <v>4.4396581671645924E-2</v>
      </c>
      <c r="T33" s="114">
        <f>Overview!E43</f>
        <v>3.2640867088167859E-2</v>
      </c>
      <c r="U33" s="114">
        <f t="shared" ref="U33:U40" si="21">ABS(S33-T33)/S33</f>
        <v>0.26478873239436596</v>
      </c>
      <c r="V33" s="114"/>
      <c r="W33" s="114"/>
      <c r="X33" s="114"/>
      <c r="Y33" s="114">
        <f>Overview!C34</f>
        <v>4.6732090284592728E-2</v>
      </c>
      <c r="Z33" s="114">
        <f>Overview!G34</f>
        <v>1.8964041321593437E-2</v>
      </c>
      <c r="AA33" s="114">
        <f t="shared" si="7"/>
        <v>0.59419659582730544</v>
      </c>
      <c r="AB33" s="114">
        <f>Overview!C35</f>
        <v>4.4882186616399616E-2</v>
      </c>
      <c r="AC33" s="114">
        <f>Overview!H35</f>
        <v>3.6000000000000004E-2</v>
      </c>
      <c r="AD33" s="114">
        <f t="shared" si="8"/>
        <v>0.19790004199915981</v>
      </c>
      <c r="AE33" s="114">
        <f>Overview!C31</f>
        <v>2.7141855698876925E-2</v>
      </c>
      <c r="AF33" s="114">
        <f>Overview!D31</f>
        <v>2.4297520661157024E-2</v>
      </c>
      <c r="AG33" s="114">
        <f t="shared" si="9"/>
        <v>0.10479515731260751</v>
      </c>
      <c r="AH33" s="114"/>
      <c r="AI33" s="114"/>
      <c r="AJ33" s="114"/>
      <c r="AK33" s="114">
        <f>Overview!E45</f>
        <v>3.2252082176568581E-2</v>
      </c>
      <c r="AL33" s="114">
        <f>Overview!G45</f>
        <v>1.6655375787836733E-2</v>
      </c>
      <c r="AM33" s="114">
        <f t="shared" si="11"/>
        <v>0.48358758058923063</v>
      </c>
      <c r="AN33" s="114">
        <f>Overview!E47</f>
        <v>2.5626981004218858E-2</v>
      </c>
      <c r="AO33" s="114">
        <f>Overview!H47</f>
        <v>2.3257575757575755E-2</v>
      </c>
      <c r="AP33" s="114">
        <f t="shared" si="12"/>
        <v>9.245744733853116E-2</v>
      </c>
      <c r="AQ33" s="114">
        <f>Overview!E43</f>
        <v>3.2640867088167859E-2</v>
      </c>
      <c r="AR33" s="114">
        <f>Overview!D43</f>
        <v>2.662162162162162E-2</v>
      </c>
      <c r="AS33" s="114">
        <f t="shared" si="13"/>
        <v>0.18440825883354622</v>
      </c>
      <c r="AT33" s="114"/>
      <c r="AU33" s="114"/>
      <c r="AV33" s="114"/>
      <c r="AW33" s="114"/>
      <c r="AX33" s="114"/>
      <c r="AY33" s="114"/>
      <c r="AZ33" s="114"/>
      <c r="BA33" s="114"/>
      <c r="BB33" s="114"/>
      <c r="BC33" s="114">
        <f>Overview!G38</f>
        <v>1.7362786693673686E-2</v>
      </c>
      <c r="BD33" s="114">
        <f>Overview!H38</f>
        <v>2.6600000000000002E-2</v>
      </c>
      <c r="BE33" s="114">
        <f t="shared" si="17"/>
        <v>0.53201214006113384</v>
      </c>
      <c r="BF33" s="114">
        <f>Overview!G34</f>
        <v>1.8964041321593437E-2</v>
      </c>
      <c r="BG33" s="114">
        <f>Overview!D34</f>
        <v>1.1399999999999999E-2</v>
      </c>
      <c r="BH33" s="114">
        <f t="shared" si="18"/>
        <v>0.39886230963758923</v>
      </c>
      <c r="BI33" s="114">
        <f>Overview!H35</f>
        <v>3.6000000000000004E-2</v>
      </c>
      <c r="BJ33" s="114">
        <f>Overview!D35</f>
        <v>1.24E-2</v>
      </c>
      <c r="BK33" s="114">
        <f t="shared" si="19"/>
        <v>0.65555555555555556</v>
      </c>
    </row>
    <row r="34" spans="1:63" x14ac:dyDescent="0.2">
      <c r="A34" s="114">
        <v>1.822785285520246E-2</v>
      </c>
      <c r="B34" s="114">
        <v>2.5762319581407563E-2</v>
      </c>
      <c r="C34" s="114">
        <f t="shared" si="0"/>
        <v>0.41334910842527844</v>
      </c>
      <c r="D34" s="114">
        <f>Overview!B44</f>
        <v>2.2657754616517502E-2</v>
      </c>
      <c r="E34" s="114">
        <f>Overview!E44</f>
        <v>3.166066256975348E-2</v>
      </c>
      <c r="F34" s="114">
        <f t="shared" si="1"/>
        <v>0.39734334251606984</v>
      </c>
      <c r="G34" s="114"/>
      <c r="H34" s="114"/>
      <c r="I34" s="114"/>
      <c r="J34" s="114">
        <f>Overview!B35</f>
        <v>2.4224299065420559E-2</v>
      </c>
      <c r="K34" s="114">
        <f>Overview!G35</f>
        <v>1.8943503525986907E-2</v>
      </c>
      <c r="L34" s="114">
        <f t="shared" si="3"/>
        <v>0.21799580351828735</v>
      </c>
      <c r="M34" s="114">
        <f>Overview!B36</f>
        <v>2.0345707870697873E-2</v>
      </c>
      <c r="N34" s="114">
        <f>Overview!H36</f>
        <v>3.5230057223718962E-2</v>
      </c>
      <c r="O34" s="114">
        <f t="shared" si="4"/>
        <v>0.73157195845015077</v>
      </c>
      <c r="P34" s="114">
        <f>Overview!B32</f>
        <v>1.822785285520246E-2</v>
      </c>
      <c r="Q34" s="114">
        <f>Overview!D32</f>
        <v>2.296551724137931E-2</v>
      </c>
      <c r="R34" s="114">
        <f t="shared" si="5"/>
        <v>0.25991346451014719</v>
      </c>
      <c r="S34" s="114">
        <f>Overview!C44</f>
        <v>4.0969131878222771E-2</v>
      </c>
      <c r="T34" s="114">
        <f>Overview!E44</f>
        <v>3.166066256975348E-2</v>
      </c>
      <c r="U34" s="114">
        <f t="shared" si="21"/>
        <v>0.22720689655172382</v>
      </c>
      <c r="V34" s="114"/>
      <c r="W34" s="114"/>
      <c r="X34" s="114"/>
      <c r="Y34" s="114">
        <f>Overview!C35</f>
        <v>4.4882186616399616E-2</v>
      </c>
      <c r="Z34" s="114">
        <f>Overview!G35</f>
        <v>1.8943503525986907E-2</v>
      </c>
      <c r="AA34" s="114">
        <f t="shared" si="7"/>
        <v>0.57792823937269822</v>
      </c>
      <c r="AB34" s="114">
        <f>Overview!C36</f>
        <v>3.4518447252955498E-2</v>
      </c>
      <c r="AC34" s="114">
        <f>Overview!H36</f>
        <v>3.5230057223718962E-2</v>
      </c>
      <c r="AD34" s="114">
        <f t="shared" si="8"/>
        <v>2.0615352873456266E-2</v>
      </c>
      <c r="AE34" s="114">
        <f>Overview!C32</f>
        <v>2.5762319581407563E-2</v>
      </c>
      <c r="AF34" s="114">
        <f>Overview!D32</f>
        <v>2.296551724137931E-2</v>
      </c>
      <c r="AG34" s="114">
        <f t="shared" si="9"/>
        <v>0.1085617438752169</v>
      </c>
      <c r="AH34" s="114"/>
      <c r="AI34" s="114"/>
      <c r="AJ34" s="114"/>
      <c r="AK34" s="114">
        <f>Overview!E46</f>
        <v>2.7900396151669497E-2</v>
      </c>
      <c r="AL34" s="114">
        <f>Overview!G46</f>
        <v>1.3082963201166111E-2</v>
      </c>
      <c r="AM34" s="114">
        <f t="shared" si="11"/>
        <v>0.5310832459135798</v>
      </c>
      <c r="AN34" s="114">
        <f>Overview!E48</f>
        <v>5.822594661700807E-2</v>
      </c>
      <c r="AO34" s="114">
        <f>Overview!H48</f>
        <v>3.0912526997840167E-2</v>
      </c>
      <c r="AP34" s="114">
        <f t="shared" si="12"/>
        <v>0.46909361214557782</v>
      </c>
      <c r="AQ34" s="114">
        <f>Overview!E44</f>
        <v>3.166066256975348E-2</v>
      </c>
      <c r="AR34" s="114">
        <f>Overview!D44</f>
        <v>2.3461538461538461E-2</v>
      </c>
      <c r="AS34" s="114">
        <f t="shared" si="13"/>
        <v>0.25896880995939497</v>
      </c>
      <c r="AT34" s="114"/>
      <c r="AU34" s="114"/>
      <c r="AV34" s="114"/>
      <c r="AW34" s="114"/>
      <c r="AX34" s="114"/>
      <c r="AY34" s="114"/>
      <c r="AZ34" s="114"/>
      <c r="BA34" s="114"/>
      <c r="BB34" s="114"/>
      <c r="BC34" s="114">
        <f>Overview!G43</f>
        <v>2.0893849574731151E-2</v>
      </c>
      <c r="BD34" s="114">
        <f>Overview!H43</f>
        <v>3.3023342529235181E-2</v>
      </c>
      <c r="BE34" s="114">
        <f t="shared" si="17"/>
        <v>0.58052935200478029</v>
      </c>
      <c r="BF34" s="114">
        <f>Overview!G35</f>
        <v>1.8943503525986907E-2</v>
      </c>
      <c r="BG34" s="114">
        <f>Overview!D35</f>
        <v>1.24E-2</v>
      </c>
      <c r="BH34" s="114">
        <f t="shared" si="18"/>
        <v>0.34542203436710939</v>
      </c>
      <c r="BI34" s="114">
        <f>Overview!H36</f>
        <v>3.5230057223718962E-2</v>
      </c>
      <c r="BJ34" s="114">
        <f>Overview!D36</f>
        <v>1.9358974358974358E-2</v>
      </c>
      <c r="BK34" s="114">
        <f t="shared" si="19"/>
        <v>0.4504983561042657</v>
      </c>
    </row>
    <row r="35" spans="1:63" x14ac:dyDescent="0.2">
      <c r="A35" s="114">
        <v>1.937711609657311E-2</v>
      </c>
      <c r="B35" s="114">
        <v>3.3889803443408938E-2</v>
      </c>
      <c r="C35" s="114">
        <f t="shared" si="0"/>
        <v>0.74896012773554221</v>
      </c>
      <c r="D35" s="114">
        <f>Overview!B45</f>
        <v>2.3912191297530382E-2</v>
      </c>
      <c r="E35" s="114">
        <f>Overview!E45</f>
        <v>3.2252082176568581E-2</v>
      </c>
      <c r="F35" s="114">
        <f t="shared" si="1"/>
        <v>0.34877150217092534</v>
      </c>
      <c r="G35" s="114"/>
      <c r="H35" s="114"/>
      <c r="I35" s="114"/>
      <c r="J35" s="114">
        <f>Overview!B36</f>
        <v>2.0345707870697873E-2</v>
      </c>
      <c r="K35" s="114">
        <f>Overview!G36</f>
        <v>1.8797915196435474E-2</v>
      </c>
      <c r="L35" s="114">
        <f t="shared" si="3"/>
        <v>7.6074653391222033E-2</v>
      </c>
      <c r="M35" s="114">
        <f>Overview!B37</f>
        <v>1.9816118935837245E-2</v>
      </c>
      <c r="N35" s="114">
        <f>Overview!H37</f>
        <v>3.3170583683490948E-2</v>
      </c>
      <c r="O35" s="114">
        <f t="shared" si="4"/>
        <v>0.67391928716688776</v>
      </c>
      <c r="P35" s="114">
        <f>Overview!B33</f>
        <v>1.937711609657311E-2</v>
      </c>
      <c r="Q35" s="114">
        <f>Overview!D33</f>
        <v>2.3636363636363636E-2</v>
      </c>
      <c r="R35" s="114">
        <f t="shared" si="5"/>
        <v>0.21980812410696057</v>
      </c>
      <c r="S35" s="114">
        <f>Overview!C45</f>
        <v>3.8811771238200996E-2</v>
      </c>
      <c r="T35" s="114">
        <f>Overview!E45</f>
        <v>3.2252082176568581E-2</v>
      </c>
      <c r="U35" s="114">
        <f t="shared" si="21"/>
        <v>0.16901287553648039</v>
      </c>
      <c r="V35" s="114"/>
      <c r="W35" s="114"/>
      <c r="X35" s="114"/>
      <c r="Y35" s="114">
        <f>Overview!C36</f>
        <v>3.4518447252955498E-2</v>
      </c>
      <c r="Z35" s="114">
        <f>Overview!G36</f>
        <v>1.8797915196435474E-2</v>
      </c>
      <c r="AA35" s="114">
        <f t="shared" si="7"/>
        <v>0.45542407922691303</v>
      </c>
      <c r="AB35" s="114">
        <f>Overview!C37</f>
        <v>3.7942771431868014E-2</v>
      </c>
      <c r="AC35" s="114">
        <f>Overview!H37</f>
        <v>3.3170583683490948E-2</v>
      </c>
      <c r="AD35" s="114">
        <f t="shared" si="8"/>
        <v>0.12577330459231875</v>
      </c>
      <c r="AE35" s="114">
        <f>Overview!C33</f>
        <v>3.3889803443408938E-2</v>
      </c>
      <c r="AF35" s="114">
        <f>Overview!D33</f>
        <v>2.3636363636363636E-2</v>
      </c>
      <c r="AG35" s="114">
        <f t="shared" si="9"/>
        <v>0.30255235396000629</v>
      </c>
      <c r="AH35" s="114"/>
      <c r="AI35" s="114"/>
      <c r="AJ35" s="114"/>
      <c r="AK35" s="114">
        <f>Overview!E47</f>
        <v>2.5626981004218858E-2</v>
      </c>
      <c r="AL35" s="114">
        <f>Overview!G47</f>
        <v>1.8428636458143025E-2</v>
      </c>
      <c r="AM35" s="114">
        <f t="shared" si="11"/>
        <v>0.28088929183233874</v>
      </c>
      <c r="AN35" s="114">
        <f>Overview!E49</f>
        <v>3.6604889141557705E-2</v>
      </c>
      <c r="AO35" s="114">
        <f>Overview!H49</f>
        <v>3.1229503662361938E-2</v>
      </c>
      <c r="AP35" s="114">
        <f t="shared" si="12"/>
        <v>0.14684883919216862</v>
      </c>
      <c r="AQ35" s="114">
        <f>Overview!E45</f>
        <v>3.2252082176568581E-2</v>
      </c>
      <c r="AR35" s="114">
        <f>Overview!D45</f>
        <v>2.2099999999999998E-2</v>
      </c>
      <c r="AS35" s="114">
        <f t="shared" si="13"/>
        <v>0.31477292290741338</v>
      </c>
      <c r="AT35" s="114"/>
      <c r="AU35" s="114"/>
      <c r="AV35" s="114"/>
      <c r="AW35" s="114"/>
      <c r="AX35" s="114"/>
      <c r="AY35" s="114"/>
      <c r="AZ35" s="114"/>
      <c r="BA35" s="114"/>
      <c r="BB35" s="114"/>
      <c r="BC35" s="114">
        <f>Overview!G44</f>
        <v>2.0982137857828265E-2</v>
      </c>
      <c r="BD35" s="114">
        <f>Overview!H44</f>
        <v>3.1662780679049679E-2</v>
      </c>
      <c r="BE35" s="114">
        <f t="shared" si="17"/>
        <v>0.50903501319035294</v>
      </c>
      <c r="BF35" s="114">
        <f>Overview!G36</f>
        <v>1.8797915196435474E-2</v>
      </c>
      <c r="BG35" s="114">
        <f>Overview!D36</f>
        <v>1.9358974358974358E-2</v>
      </c>
      <c r="BH35" s="114">
        <f t="shared" si="18"/>
        <v>2.9846882309867762E-2</v>
      </c>
      <c r="BI35" s="114">
        <f>Overview!H37</f>
        <v>3.3170583683490948E-2</v>
      </c>
      <c r="BJ35" s="114">
        <f>Overview!D37</f>
        <v>2.2555555555555554E-2</v>
      </c>
      <c r="BK35" s="114">
        <f t="shared" si="19"/>
        <v>0.32001330544022083</v>
      </c>
    </row>
    <row r="36" spans="1:63" x14ac:dyDescent="0.2">
      <c r="A36" s="114">
        <v>2.1346886912325287E-2</v>
      </c>
      <c r="B36" s="114">
        <v>4.6732090284592728E-2</v>
      </c>
      <c r="C36" s="114">
        <f t="shared" si="0"/>
        <v>1.1891758960699093</v>
      </c>
      <c r="D36" s="114">
        <f>Overview!B46</f>
        <v>1.9107564347532878E-2</v>
      </c>
      <c r="E36" s="114">
        <f>Overview!E46</f>
        <v>2.7900396151669497E-2</v>
      </c>
      <c r="F36" s="114">
        <f t="shared" si="1"/>
        <v>0.46017543859649113</v>
      </c>
      <c r="G36" s="114"/>
      <c r="H36" s="114"/>
      <c r="I36" s="114"/>
      <c r="J36" s="114">
        <f>Overview!B37</f>
        <v>1.9816118935837245E-2</v>
      </c>
      <c r="K36" s="114">
        <f>Overview!G37</f>
        <v>1.8626311532869602E-2</v>
      </c>
      <c r="L36" s="114">
        <f t="shared" si="3"/>
        <v>6.0042403198130215E-2</v>
      </c>
      <c r="M36" s="114">
        <f>Overview!B38</f>
        <v>1.743908265647396E-2</v>
      </c>
      <c r="N36" s="114">
        <f>Overview!H38</f>
        <v>2.6600000000000002E-2</v>
      </c>
      <c r="O36" s="114">
        <f t="shared" si="4"/>
        <v>0.52530958904109604</v>
      </c>
      <c r="P36" s="114">
        <f>Overview!B34</f>
        <v>2.1346886912325287E-2</v>
      </c>
      <c r="Q36" s="114">
        <f>Overview!D34</f>
        <v>1.1399999999999999E-2</v>
      </c>
      <c r="R36" s="114">
        <f t="shared" si="5"/>
        <v>0.46596428571428583</v>
      </c>
      <c r="S36" s="114">
        <f>Overview!C46</f>
        <v>3.4227939575987125E-2</v>
      </c>
      <c r="T36" s="114">
        <f>Overview!E46</f>
        <v>2.7900396151669497E-2</v>
      </c>
      <c r="U36" s="114">
        <f t="shared" si="21"/>
        <v>0.18486486486486509</v>
      </c>
      <c r="V36" s="114"/>
      <c r="W36" s="114"/>
      <c r="X36" s="114"/>
      <c r="Y36" s="114">
        <f>Overview!C37</f>
        <v>3.7942771431868014E-2</v>
      </c>
      <c r="Z36" s="114">
        <f>Overview!G37</f>
        <v>1.8626311532869602E-2</v>
      </c>
      <c r="AA36" s="114">
        <f t="shared" si="7"/>
        <v>0.5090945961521034</v>
      </c>
      <c r="AB36" s="114">
        <f>Overview!C38</f>
        <v>2.8071557155715562E-2</v>
      </c>
      <c r="AC36" s="114">
        <f>Overview!H38</f>
        <v>2.6600000000000002E-2</v>
      </c>
      <c r="AD36" s="114">
        <f t="shared" si="8"/>
        <v>5.2421643286572762E-2</v>
      </c>
      <c r="AE36" s="114">
        <f>Overview!C34</f>
        <v>4.6732090284592728E-2</v>
      </c>
      <c r="AF36" s="114">
        <f>Overview!D34</f>
        <v>1.1399999999999999E-2</v>
      </c>
      <c r="AG36" s="114">
        <f t="shared" si="9"/>
        <v>0.7560562788744225</v>
      </c>
      <c r="AH36" s="114"/>
      <c r="AI36" s="114"/>
      <c r="AJ36" s="114"/>
      <c r="AK36" s="114">
        <f>Overview!E49</f>
        <v>3.6604889141557705E-2</v>
      </c>
      <c r="AL36" s="114">
        <f>Overview!G49</f>
        <v>1.9206750491913904E-2</v>
      </c>
      <c r="AM36" s="114">
        <f t="shared" si="11"/>
        <v>0.47529548805248562</v>
      </c>
      <c r="AN36" s="114"/>
      <c r="AO36" s="114"/>
      <c r="AP36" s="114"/>
      <c r="AQ36" s="114">
        <f>Overview!E46</f>
        <v>2.7900396151669497E-2</v>
      </c>
      <c r="AR36" s="114">
        <f>Overview!D46</f>
        <v>1.6451612903225808E-2</v>
      </c>
      <c r="AS36" s="114">
        <f t="shared" si="13"/>
        <v>0.41034482758620688</v>
      </c>
      <c r="AT36" s="114"/>
      <c r="AU36" s="114"/>
      <c r="AV36" s="114"/>
      <c r="AW36" s="114"/>
      <c r="AX36" s="114"/>
      <c r="AY36" s="114"/>
      <c r="AZ36" s="114"/>
      <c r="BA36" s="114"/>
      <c r="BB36" s="114"/>
      <c r="BC36" s="114">
        <f>Overview!G45</f>
        <v>1.6655375787836733E-2</v>
      </c>
      <c r="BD36" s="114">
        <f>Overview!H45</f>
        <v>2.8615069399156777E-2</v>
      </c>
      <c r="BE36" s="114">
        <f t="shared" si="17"/>
        <v>0.71806807385601568</v>
      </c>
      <c r="BF36" s="114">
        <f>Overview!G37</f>
        <v>1.8626311532869602E-2</v>
      </c>
      <c r="BG36" s="114">
        <f>Overview!D37</f>
        <v>2.2555555555555554E-2</v>
      </c>
      <c r="BH36" s="114">
        <f t="shared" si="18"/>
        <v>0.21095126728402819</v>
      </c>
      <c r="BI36" s="114">
        <f>Overview!H38</f>
        <v>2.6600000000000002E-2</v>
      </c>
      <c r="BJ36" s="114">
        <f>Overview!D38</f>
        <v>1.8173076923076924E-2</v>
      </c>
      <c r="BK36" s="114">
        <f t="shared" si="19"/>
        <v>0.3168016194331984</v>
      </c>
    </row>
    <row r="37" spans="1:63" x14ac:dyDescent="0.2">
      <c r="A37" s="114">
        <v>2.4224299065420559E-2</v>
      </c>
      <c r="B37" s="114">
        <v>4.4882186616399616E-2</v>
      </c>
      <c r="C37" s="114">
        <f t="shared" si="0"/>
        <v>0.85277545059982995</v>
      </c>
      <c r="D37" s="114">
        <f>Overview!B47</f>
        <v>1.8508486818345972E-2</v>
      </c>
      <c r="E37" s="114">
        <f>Overview!E47</f>
        <v>2.5626981004218858E-2</v>
      </c>
      <c r="F37" s="114">
        <f t="shared" si="1"/>
        <v>0.38460703220842973</v>
      </c>
      <c r="G37" s="114"/>
      <c r="H37" s="114"/>
      <c r="I37" s="114"/>
      <c r="J37" s="114">
        <f>Overview!B38</f>
        <v>1.743908265647396E-2</v>
      </c>
      <c r="K37" s="114">
        <f>Overview!G38</f>
        <v>1.7362786693673686E-2</v>
      </c>
      <c r="L37" s="114">
        <f t="shared" si="3"/>
        <v>4.3749986339992773E-3</v>
      </c>
      <c r="M37" s="114">
        <f>Overview!B41</f>
        <v>1.7078213511287424E-2</v>
      </c>
      <c r="N37" s="114">
        <f>Overview!H41</f>
        <v>2.231707317073171E-2</v>
      </c>
      <c r="O37" s="114">
        <f t="shared" si="4"/>
        <v>0.30675688976377952</v>
      </c>
      <c r="P37" s="114">
        <f>Overview!B35</f>
        <v>2.4224299065420559E-2</v>
      </c>
      <c r="Q37" s="114">
        <f>Overview!D35</f>
        <v>1.24E-2</v>
      </c>
      <c r="R37" s="114">
        <f t="shared" si="5"/>
        <v>0.48811728395061726</v>
      </c>
      <c r="S37" s="114">
        <f>Overview!C47</f>
        <v>2.6367849257874824E-2</v>
      </c>
      <c r="T37" s="114">
        <f>Overview!E47</f>
        <v>2.5626981004218858E-2</v>
      </c>
      <c r="U37" s="114">
        <f t="shared" si="21"/>
        <v>2.8097409326424464E-2</v>
      </c>
      <c r="V37" s="114"/>
      <c r="W37" s="114"/>
      <c r="X37" s="114"/>
      <c r="Y37" s="114">
        <f>Overview!C38</f>
        <v>2.8071557155715562E-2</v>
      </c>
      <c r="Z37" s="114">
        <f>Overview!G38</f>
        <v>1.7362786693673686E-2</v>
      </c>
      <c r="AA37" s="114">
        <f t="shared" si="7"/>
        <v>0.38148116980612518</v>
      </c>
      <c r="AB37" s="114">
        <f>Overview!C41</f>
        <v>2.9719057935565032E-2</v>
      </c>
      <c r="AC37" s="114">
        <f>Overview!H41</f>
        <v>2.231707317073171E-2</v>
      </c>
      <c r="AD37" s="114">
        <f t="shared" si="8"/>
        <v>0.2490652557319224</v>
      </c>
      <c r="AE37" s="114">
        <f>Overview!C35</f>
        <v>4.4882186616399616E-2</v>
      </c>
      <c r="AF37" s="114">
        <f>Overview!D35</f>
        <v>1.24E-2</v>
      </c>
      <c r="AG37" s="114">
        <f t="shared" si="9"/>
        <v>0.72372112557748836</v>
      </c>
      <c r="AH37" s="114"/>
      <c r="AI37" s="114"/>
      <c r="AJ37" s="114"/>
      <c r="AK37" s="114">
        <f>Overview!E50</f>
        <v>3.3925471559651602E-2</v>
      </c>
      <c r="AL37" s="114">
        <f>Overview!G50</f>
        <v>2.3379662989747387E-2</v>
      </c>
      <c r="AM37" s="114">
        <f t="shared" si="11"/>
        <v>0.31085223241072363</v>
      </c>
      <c r="AN37" s="114"/>
      <c r="AO37" s="124">
        <f>RSQ(AN5:AN35,AO5:AO35)</f>
        <v>0.35258605055753744</v>
      </c>
      <c r="AP37" s="124">
        <f>AVERAGE(AP5:AP35)</f>
        <v>0.12926567762411587</v>
      </c>
      <c r="AQ37" s="114">
        <f>Overview!E47</f>
        <v>2.5626981004218858E-2</v>
      </c>
      <c r="AR37" s="114">
        <f>Overview!D47</f>
        <v>2.0192307692307693E-2</v>
      </c>
      <c r="AS37" s="114">
        <f t="shared" si="13"/>
        <v>0.2120684176968203</v>
      </c>
      <c r="AT37" s="114"/>
      <c r="AU37" s="114"/>
      <c r="AV37" s="114"/>
      <c r="AW37" s="114"/>
      <c r="AX37" s="114"/>
      <c r="AY37" s="114"/>
      <c r="AZ37" s="114"/>
      <c r="BA37" s="114"/>
      <c r="BB37" s="114"/>
      <c r="BC37" s="114">
        <f>Overview!G46</f>
        <v>1.3082963201166111E-2</v>
      </c>
      <c r="BD37" s="114">
        <f>Overview!H46</f>
        <v>2.6515103919099139E-2</v>
      </c>
      <c r="BE37" s="114">
        <f t="shared" si="17"/>
        <v>1.026689482451177</v>
      </c>
      <c r="BF37" s="114">
        <f>Overview!G38</f>
        <v>1.7362786693673686E-2</v>
      </c>
      <c r="BG37" s="114">
        <f>Overview!D38</f>
        <v>1.8173076923076924E-2</v>
      </c>
      <c r="BH37" s="114">
        <f t="shared" si="18"/>
        <v>4.6668213098446661E-2</v>
      </c>
      <c r="BI37" s="114">
        <f>Overview!H41</f>
        <v>2.231707317073171E-2</v>
      </c>
      <c r="BJ37" s="114">
        <f>Overview!D41</f>
        <v>1.3414634146341465E-2</v>
      </c>
      <c r="BK37" s="114">
        <f t="shared" si="19"/>
        <v>0.39890710382513661</v>
      </c>
    </row>
    <row r="38" spans="1:63" x14ac:dyDescent="0.2">
      <c r="A38" s="114">
        <v>2.0345707870697873E-2</v>
      </c>
      <c r="B38" s="114">
        <v>3.4518447252955498E-2</v>
      </c>
      <c r="C38" s="114">
        <f t="shared" si="0"/>
        <v>0.69659603255531699</v>
      </c>
      <c r="D38" s="114">
        <f>Overview!B48</f>
        <v>2.2059439095856007E-2</v>
      </c>
      <c r="E38" s="114">
        <f>Overview!E48</f>
        <v>5.822594661700807E-2</v>
      </c>
      <c r="F38" s="114">
        <f t="shared" si="1"/>
        <v>1.6395025895262294</v>
      </c>
      <c r="G38" s="114"/>
      <c r="H38" s="114"/>
      <c r="I38" s="114"/>
      <c r="J38" s="114">
        <f>Overview!B43</f>
        <v>2.2850469069351172E-2</v>
      </c>
      <c r="K38" s="114">
        <f>Overview!G43</f>
        <v>2.0893849574731151E-2</v>
      </c>
      <c r="L38" s="114">
        <f t="shared" si="3"/>
        <v>8.5627104138723875E-2</v>
      </c>
      <c r="M38" s="114">
        <f>Overview!B43</f>
        <v>2.2850469069351172E-2</v>
      </c>
      <c r="N38" s="114">
        <f>Overview!H43</f>
        <v>3.3023342529235181E-2</v>
      </c>
      <c r="O38" s="114">
        <f t="shared" si="4"/>
        <v>0.44519320058635725</v>
      </c>
      <c r="P38" s="114">
        <f>Overview!B36</f>
        <v>2.0345707870697873E-2</v>
      </c>
      <c r="Q38" s="114">
        <f>Overview!D36</f>
        <v>1.9358974358974358E-2</v>
      </c>
      <c r="R38" s="114">
        <f t="shared" si="5"/>
        <v>4.8498362307886053E-2</v>
      </c>
      <c r="S38" s="114">
        <f>Overview!C48</f>
        <v>6.2073246430788369E-2</v>
      </c>
      <c r="T38" s="114">
        <f>Overview!E48</f>
        <v>5.822594661700807E-2</v>
      </c>
      <c r="U38" s="114">
        <f t="shared" si="21"/>
        <v>6.1980000000000569E-2</v>
      </c>
      <c r="V38" s="114"/>
      <c r="W38" s="114"/>
      <c r="X38" s="114"/>
      <c r="Y38" s="114">
        <f>Overview!C43</f>
        <v>4.4396581671645924E-2</v>
      </c>
      <c r="Z38" s="114">
        <f>Overview!G43</f>
        <v>2.0893849574731151E-2</v>
      </c>
      <c r="AA38" s="114">
        <f t="shared" si="7"/>
        <v>0.52938156975100847</v>
      </c>
      <c r="AB38" s="114">
        <f>Overview!C43</f>
        <v>4.4396581671645924E-2</v>
      </c>
      <c r="AC38" s="114">
        <f>Overview!H43</f>
        <v>3.3023342529235181E-2</v>
      </c>
      <c r="AD38" s="114">
        <f t="shared" si="8"/>
        <v>0.25617375739705461</v>
      </c>
      <c r="AE38" s="114">
        <f>Overview!C36</f>
        <v>3.4518447252955498E-2</v>
      </c>
      <c r="AF38" s="114">
        <f>Overview!D36</f>
        <v>1.9358974358974358E-2</v>
      </c>
      <c r="AG38" s="114">
        <f t="shared" si="9"/>
        <v>0.43917018581081085</v>
      </c>
      <c r="AH38" s="114"/>
      <c r="AI38" s="114"/>
      <c r="AJ38" s="114"/>
      <c r="AK38" s="114"/>
      <c r="AL38" s="114"/>
      <c r="AM38" s="114"/>
      <c r="AN38" s="114"/>
      <c r="AO38" s="114" t="s">
        <v>236</v>
      </c>
      <c r="AP38" s="114" t="s">
        <v>229</v>
      </c>
      <c r="AQ38" s="114">
        <f>Overview!E48</f>
        <v>5.822594661700807E-2</v>
      </c>
      <c r="AR38" s="114">
        <f>Overview!D48</f>
        <v>1.4333333333333333E-2</v>
      </c>
      <c r="AS38" s="114">
        <f t="shared" si="13"/>
        <v>0.75383254088398965</v>
      </c>
      <c r="AT38" s="114"/>
      <c r="AU38" s="114"/>
      <c r="AV38" s="114"/>
      <c r="AW38" s="114"/>
      <c r="AX38" s="114"/>
      <c r="AY38" s="114"/>
      <c r="AZ38" s="114"/>
      <c r="BA38" s="114"/>
      <c r="BB38" s="114"/>
      <c r="BC38" s="114">
        <f>Overview!G47</f>
        <v>1.8428636458143025E-2</v>
      </c>
      <c r="BD38" s="114">
        <f>Overview!H47</f>
        <v>2.3257575757575755E-2</v>
      </c>
      <c r="BE38" s="114">
        <f t="shared" si="17"/>
        <v>0.26203454120985581</v>
      </c>
      <c r="BF38" s="114">
        <f>Overview!G43</f>
        <v>2.0893849574731151E-2</v>
      </c>
      <c r="BG38" s="114">
        <f>Overview!D43</f>
        <v>2.662162162162162E-2</v>
      </c>
      <c r="BH38" s="114">
        <f t="shared" si="18"/>
        <v>0.27413675141117078</v>
      </c>
      <c r="BI38" s="114">
        <f>Overview!H43</f>
        <v>3.3023342529235181E-2</v>
      </c>
      <c r="BJ38" s="114">
        <f>Overview!D43</f>
        <v>2.662162162162162E-2</v>
      </c>
      <c r="BK38" s="114">
        <f t="shared" si="19"/>
        <v>0.19385441985305368</v>
      </c>
    </row>
    <row r="39" spans="1:63" x14ac:dyDescent="0.2">
      <c r="A39" s="114">
        <v>1.9816118935837245E-2</v>
      </c>
      <c r="B39" s="114">
        <v>3.7942771431868014E-2</v>
      </c>
      <c r="C39" s="114">
        <f t="shared" si="0"/>
        <v>0.91474281895073339</v>
      </c>
      <c r="D39" s="114">
        <f>Overview!B49</f>
        <v>2.8077753779697626E-2</v>
      </c>
      <c r="E39" s="114">
        <f>Overview!E49</f>
        <v>3.6604889141557705E-2</v>
      </c>
      <c r="F39" s="114">
        <f t="shared" si="1"/>
        <v>0.30369720558009355</v>
      </c>
      <c r="G39" s="114"/>
      <c r="H39" s="114"/>
      <c r="I39" s="114"/>
      <c r="J39" s="114">
        <f>Overview!B44</f>
        <v>2.2657754616517502E-2</v>
      </c>
      <c r="K39" s="114">
        <f>Overview!G44</f>
        <v>2.0982137857828265E-2</v>
      </c>
      <c r="L39" s="114">
        <f t="shared" si="3"/>
        <v>7.3953345644749507E-2</v>
      </c>
      <c r="M39" s="114">
        <f>Overview!B44</f>
        <v>2.2657754616517502E-2</v>
      </c>
      <c r="N39" s="114">
        <f>Overview!H44</f>
        <v>3.1662780679049679E-2</v>
      </c>
      <c r="O39" s="114">
        <f t="shared" si="4"/>
        <v>0.39743682526985763</v>
      </c>
      <c r="P39" s="114">
        <f>Overview!B37</f>
        <v>1.9816118935837245E-2</v>
      </c>
      <c r="Q39" s="114">
        <f>Overview!D37</f>
        <v>2.2555555555555554E-2</v>
      </c>
      <c r="R39" s="114">
        <f t="shared" si="5"/>
        <v>0.13824284304047382</v>
      </c>
      <c r="S39" s="114">
        <f>Overview!C49</f>
        <v>3.9795338260375221E-2</v>
      </c>
      <c r="T39" s="114">
        <f>Overview!E49</f>
        <v>3.6604889141557705E-2</v>
      </c>
      <c r="U39" s="114">
        <f t="shared" si="21"/>
        <v>8.0171428571428713E-2</v>
      </c>
      <c r="V39" s="114"/>
      <c r="W39" s="114"/>
      <c r="X39" s="114"/>
      <c r="Y39" s="114">
        <f>Overview!C44</f>
        <v>4.0969131878222771E-2</v>
      </c>
      <c r="Z39" s="114">
        <f>Overview!G44</f>
        <v>2.0982137857828265E-2</v>
      </c>
      <c r="AA39" s="114">
        <f t="shared" si="7"/>
        <v>0.48785495577021576</v>
      </c>
      <c r="AB39" s="114">
        <f>Overview!C44</f>
        <v>4.0969131878222771E-2</v>
      </c>
      <c r="AC39" s="114">
        <f>Overview!H44</f>
        <v>3.1662780679049679E-2</v>
      </c>
      <c r="AD39" s="114">
        <f t="shared" si="8"/>
        <v>0.22715519642533366</v>
      </c>
      <c r="AE39" s="114">
        <f>Overview!C37</f>
        <v>3.7942771431868014E-2</v>
      </c>
      <c r="AF39" s="114">
        <f>Overview!D37</f>
        <v>2.2555555555555554E-2</v>
      </c>
      <c r="AG39" s="114">
        <f t="shared" si="9"/>
        <v>0.40553747909381194</v>
      </c>
      <c r="AH39" s="114"/>
      <c r="AI39" s="114"/>
      <c r="AJ39" s="114"/>
      <c r="AK39" s="114"/>
      <c r="AL39" s="124">
        <f>RSQ(AK5:AK37,AL5:AL37)</f>
        <v>2.5981488017478567E-3</v>
      </c>
      <c r="AM39" s="124">
        <f>AVERAGE(AM5:AM37)</f>
        <v>0.21277523699759593</v>
      </c>
      <c r="AN39" s="114"/>
      <c r="AO39" s="114"/>
      <c r="AP39" s="114"/>
      <c r="AQ39" s="114">
        <f>Overview!E49</f>
        <v>3.6604889141557705E-2</v>
      </c>
      <c r="AR39" s="114">
        <f>Overview!D49</f>
        <v>2.2200000000000001E-2</v>
      </c>
      <c r="AS39" s="114">
        <f t="shared" si="13"/>
        <v>0.3935236379449587</v>
      </c>
      <c r="AT39" s="114"/>
      <c r="AU39" s="114"/>
      <c r="AV39" s="114"/>
      <c r="AW39" s="114"/>
      <c r="AX39" s="114"/>
      <c r="AY39" s="114"/>
      <c r="AZ39" s="114"/>
      <c r="BA39" s="114"/>
      <c r="BB39" s="114"/>
      <c r="BC39" s="114">
        <f>Overview!G49</f>
        <v>1.9206750491913904E-2</v>
      </c>
      <c r="BD39" s="114">
        <f>Overview!H49</f>
        <v>3.1229503662361938E-2</v>
      </c>
      <c r="BE39" s="114">
        <f t="shared" si="17"/>
        <v>0.62596497911032101</v>
      </c>
      <c r="BF39" s="114">
        <f>Overview!G44</f>
        <v>2.0982137857828265E-2</v>
      </c>
      <c r="BG39" s="114">
        <f>Overview!D44</f>
        <v>2.3461538461538461E-2</v>
      </c>
      <c r="BH39" s="114">
        <f t="shared" si="18"/>
        <v>0.11816720586387491</v>
      </c>
      <c r="BI39" s="114">
        <f>Overview!H44</f>
        <v>3.1662780679049679E-2</v>
      </c>
      <c r="BJ39" s="114">
        <f>Overview!D44</f>
        <v>2.3461538461538461E-2</v>
      </c>
      <c r="BK39" s="114">
        <f t="shared" si="19"/>
        <v>0.2590183818863937</v>
      </c>
    </row>
    <row r="40" spans="1:63" x14ac:dyDescent="0.2">
      <c r="A40" s="114">
        <v>1.743908265647396E-2</v>
      </c>
      <c r="B40" s="114">
        <v>2.8071557155715562E-2</v>
      </c>
      <c r="C40" s="114">
        <f t="shared" si="0"/>
        <v>0.60969230484692261</v>
      </c>
      <c r="D40" s="114">
        <f>Overview!B50</f>
        <v>2.2077597957342241E-2</v>
      </c>
      <c r="E40" s="114">
        <f>Overview!E50</f>
        <v>3.3925471559651602E-2</v>
      </c>
      <c r="F40" s="114">
        <f t="shared" si="1"/>
        <v>0.53664685919190636</v>
      </c>
      <c r="G40" s="114"/>
      <c r="H40" s="114"/>
      <c r="I40" s="114"/>
      <c r="J40" s="114">
        <f>Overview!B45</f>
        <v>2.3912191297530382E-2</v>
      </c>
      <c r="K40" s="114">
        <f>Overview!G45</f>
        <v>1.6655375787836733E-2</v>
      </c>
      <c r="L40" s="114">
        <f t="shared" si="3"/>
        <v>0.3034776453316147</v>
      </c>
      <c r="M40" s="114">
        <f>Overview!B45</f>
        <v>2.3912191297530382E-2</v>
      </c>
      <c r="N40" s="114">
        <f>Overview!H45</f>
        <v>2.8615069399156777E-2</v>
      </c>
      <c r="O40" s="114">
        <f t="shared" si="4"/>
        <v>0.19667282028276942</v>
      </c>
      <c r="P40" s="114">
        <f>Overview!B38</f>
        <v>1.743908265647396E-2</v>
      </c>
      <c r="Q40" s="114">
        <f>Overview!D38</f>
        <v>1.8173076923076924E-2</v>
      </c>
      <c r="R40" s="114">
        <f t="shared" si="5"/>
        <v>4.2089041095890491E-2</v>
      </c>
      <c r="S40" s="114">
        <f>Overview!C50</f>
        <v>3.9020390811229357E-2</v>
      </c>
      <c r="T40" s="114">
        <f>Overview!E50</f>
        <v>3.3925471559651602E-2</v>
      </c>
      <c r="U40" s="114">
        <f t="shared" si="21"/>
        <v>0.1305706874189361</v>
      </c>
      <c r="V40" s="114"/>
      <c r="W40" s="114"/>
      <c r="X40" s="114"/>
      <c r="Y40" s="114">
        <f>Overview!C45</f>
        <v>3.8811771238200996E-2</v>
      </c>
      <c r="Z40" s="114">
        <f>Overview!G45</f>
        <v>1.6655375787836733E-2</v>
      </c>
      <c r="AA40" s="114">
        <f t="shared" si="7"/>
        <v>0.57086792855659574</v>
      </c>
      <c r="AB40" s="114">
        <f>Overview!C45</f>
        <v>3.8811771238200996E-2</v>
      </c>
      <c r="AC40" s="114">
        <f>Overview!H45</f>
        <v>2.8615069399156777E-2</v>
      </c>
      <c r="AD40" s="114">
        <f t="shared" si="8"/>
        <v>0.26272188858538825</v>
      </c>
      <c r="AE40" s="114">
        <f>Overview!C38</f>
        <v>2.8071557155715562E-2</v>
      </c>
      <c r="AF40" s="114">
        <f>Overview!D38</f>
        <v>1.8173076923076924E-2</v>
      </c>
      <c r="AG40" s="114">
        <f t="shared" si="9"/>
        <v>0.35261600123323544</v>
      </c>
      <c r="AH40" s="114"/>
      <c r="AI40" s="114"/>
      <c r="AJ40" s="114"/>
      <c r="AK40" s="114"/>
      <c r="AL40" s="114" t="s">
        <v>236</v>
      </c>
      <c r="AM40" s="114" t="s">
        <v>229</v>
      </c>
      <c r="AN40" s="114"/>
      <c r="AO40" s="114"/>
      <c r="AP40" s="114"/>
      <c r="AQ40" s="114">
        <f>Overview!E50</f>
        <v>3.3925471559651602E-2</v>
      </c>
      <c r="AR40" s="114">
        <f>Overview!D50</f>
        <v>2.4020618556701033E-2</v>
      </c>
      <c r="AS40" s="114">
        <f t="shared" si="13"/>
        <v>0.29195918428236833</v>
      </c>
      <c r="AT40" s="114"/>
      <c r="AU40" s="114"/>
      <c r="AV40" s="114"/>
      <c r="AW40" s="114"/>
      <c r="AX40" s="114"/>
      <c r="AY40" s="114"/>
      <c r="AZ40" s="114"/>
      <c r="BA40" s="114"/>
      <c r="BB40" s="114"/>
      <c r="BC40" s="114">
        <f>Overview!G52</f>
        <v>1.9923066893285987E-2</v>
      </c>
      <c r="BD40" s="114">
        <f>Overview!H52</f>
        <v>2.8673469387755102E-2</v>
      </c>
      <c r="BE40" s="114">
        <f t="shared" si="17"/>
        <v>0.43920961272373055</v>
      </c>
      <c r="BF40" s="114">
        <f>Overview!G45</f>
        <v>1.6655375787836733E-2</v>
      </c>
      <c r="BG40" s="114">
        <f>Overview!D45</f>
        <v>2.2099999999999998E-2</v>
      </c>
      <c r="BH40" s="114">
        <f t="shared" si="18"/>
        <v>0.3268989112896164</v>
      </c>
      <c r="BI40" s="114">
        <f>Overview!H45</f>
        <v>2.8615069399156777E-2</v>
      </c>
      <c r="BJ40" s="114">
        <f>Overview!D45</f>
        <v>2.2099999999999998E-2</v>
      </c>
      <c r="BK40" s="114">
        <f t="shared" si="19"/>
        <v>0.22767966445500787</v>
      </c>
    </row>
    <row r="41" spans="1:63" x14ac:dyDescent="0.2">
      <c r="A41" s="114">
        <v>2.6976272046694581E-2</v>
      </c>
      <c r="B41" s="114">
        <v>4.6377911388710544E-2</v>
      </c>
      <c r="C41" s="114">
        <f t="shared" si="0"/>
        <v>0.71921128717981098</v>
      </c>
      <c r="D41" s="114"/>
      <c r="E41" s="114"/>
      <c r="F41" s="114"/>
      <c r="G41" s="114"/>
      <c r="H41" s="114"/>
      <c r="I41" s="114"/>
      <c r="J41" s="114">
        <f>Overview!B46</f>
        <v>1.9107564347532878E-2</v>
      </c>
      <c r="K41" s="114">
        <f>Overview!G46</f>
        <v>1.3082963201166111E-2</v>
      </c>
      <c r="L41" s="114">
        <f t="shared" si="3"/>
        <v>0.31529927293661836</v>
      </c>
      <c r="M41" s="114">
        <f>Overview!B46</f>
        <v>1.9107564347532878E-2</v>
      </c>
      <c r="N41" s="114">
        <f>Overview!H46</f>
        <v>2.6515103919099139E-2</v>
      </c>
      <c r="O41" s="114">
        <f t="shared" si="4"/>
        <v>0.3876757621660295</v>
      </c>
      <c r="P41" s="114">
        <f>Overview!B39</f>
        <v>2.6976272046694581E-2</v>
      </c>
      <c r="Q41" s="114">
        <f>Overview!D39</f>
        <v>7.8378378378378376E-3</v>
      </c>
      <c r="R41" s="114">
        <f t="shared" si="5"/>
        <v>0.7094543744120414</v>
      </c>
      <c r="S41" s="114"/>
      <c r="T41" s="114"/>
      <c r="U41" s="114"/>
      <c r="V41" s="114"/>
      <c r="W41" s="114"/>
      <c r="X41" s="114"/>
      <c r="Y41" s="114">
        <f>Overview!C46</f>
        <v>3.4227939575987125E-2</v>
      </c>
      <c r="Z41" s="114">
        <f>Overview!G46</f>
        <v>1.3082963201166111E-2</v>
      </c>
      <c r="AA41" s="114">
        <f t="shared" si="7"/>
        <v>0.617769478290637</v>
      </c>
      <c r="AB41" s="114">
        <f>Overview!C46</f>
        <v>3.4227939575987125E-2</v>
      </c>
      <c r="AC41" s="114">
        <f>Overview!H46</f>
        <v>2.6515103919099139E-2</v>
      </c>
      <c r="AD41" s="114">
        <f t="shared" si="8"/>
        <v>0.22533742177980778</v>
      </c>
      <c r="AE41" s="114">
        <f>Overview!C39</f>
        <v>4.6377911388710544E-2</v>
      </c>
      <c r="AF41" s="114">
        <f>Overview!D39</f>
        <v>7.8378378378378376E-3</v>
      </c>
      <c r="AG41" s="114">
        <f t="shared" si="9"/>
        <v>0.83100062932662055</v>
      </c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>
        <f>Overview!G46</f>
        <v>1.3082963201166111E-2</v>
      </c>
      <c r="BG41" s="114">
        <f>Overview!D46</f>
        <v>1.6451612903225808E-2</v>
      </c>
      <c r="BH41" s="114">
        <f t="shared" si="18"/>
        <v>0.25748369465408583</v>
      </c>
      <c r="BI41" s="114">
        <f>Overview!H46</f>
        <v>2.6515103919099139E-2</v>
      </c>
      <c r="BJ41" s="114">
        <f>Overview!D46</f>
        <v>1.6451612903225808E-2</v>
      </c>
      <c r="BK41" s="114">
        <f t="shared" si="19"/>
        <v>0.37953805674600738</v>
      </c>
    </row>
    <row r="42" spans="1:63" x14ac:dyDescent="0.2">
      <c r="A42" s="114">
        <v>1.8964467005076143E-2</v>
      </c>
      <c r="B42" s="114">
        <v>4.4195804195804191E-2</v>
      </c>
      <c r="C42" s="114">
        <f t="shared" si="0"/>
        <v>1.3304532726374265</v>
      </c>
      <c r="D42" s="114"/>
      <c r="E42" s="124">
        <f>RSQ(D5:D40,E5:E40)</f>
        <v>0.39468055174423317</v>
      </c>
      <c r="F42" s="124">
        <f>AVERAGE(F5:F40)</f>
        <v>0.32704048589447177</v>
      </c>
      <c r="G42" s="114"/>
      <c r="H42" s="114"/>
      <c r="I42" s="114"/>
      <c r="J42" s="114">
        <f>Overview!B47</f>
        <v>1.8508486818345972E-2</v>
      </c>
      <c r="K42" s="114">
        <f>Overview!G47</f>
        <v>1.8428636458143025E-2</v>
      </c>
      <c r="L42" s="114">
        <f t="shared" si="3"/>
        <v>4.3142565346723791E-3</v>
      </c>
      <c r="M42" s="114">
        <f>Overview!B47</f>
        <v>1.8508486818345972E-2</v>
      </c>
      <c r="N42" s="114">
        <f>Overview!H47</f>
        <v>2.3257575757575755E-2</v>
      </c>
      <c r="O42" s="114">
        <f t="shared" si="4"/>
        <v>0.25658980044345892</v>
      </c>
      <c r="P42" s="114">
        <f>Overview!B40</f>
        <v>1.8964467005076143E-2</v>
      </c>
      <c r="Q42" s="114">
        <f>Overview!D40</f>
        <v>3.4000000000000002E-3</v>
      </c>
      <c r="R42" s="114">
        <f t="shared" si="5"/>
        <v>0.82071734475374736</v>
      </c>
      <c r="S42" s="114"/>
      <c r="T42" s="124">
        <f>RSQ(S5:S40,T5:T40)</f>
        <v>0.85449603467422108</v>
      </c>
      <c r="U42" s="124">
        <f>AVERAGE(U5:U40)</f>
        <v>0.1560274990119804</v>
      </c>
      <c r="V42" s="114"/>
      <c r="W42" s="114"/>
      <c r="X42" s="114"/>
      <c r="Y42" s="114">
        <f>Overview!C47</f>
        <v>2.6367849257874824E-2</v>
      </c>
      <c r="Z42" s="114">
        <f>Overview!G47</f>
        <v>1.8428636458143025E-2</v>
      </c>
      <c r="AA42" s="114">
        <f t="shared" si="7"/>
        <v>0.30109443975074052</v>
      </c>
      <c r="AB42" s="114">
        <f>Overview!C47</f>
        <v>2.6367849257874824E-2</v>
      </c>
      <c r="AC42" s="114">
        <f>Overview!H47</f>
        <v>2.3257575757575755E-2</v>
      </c>
      <c r="AD42" s="114">
        <f t="shared" si="8"/>
        <v>0.11795704192180857</v>
      </c>
      <c r="AE42" s="114">
        <f>Overview!C40</f>
        <v>4.4195804195804191E-2</v>
      </c>
      <c r="AF42" s="114">
        <f>Overview!D40</f>
        <v>3.4000000000000002E-3</v>
      </c>
      <c r="AG42" s="114">
        <f t="shared" si="9"/>
        <v>0.92306962025316452</v>
      </c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24">
        <f>RSQ(AQ5:AQ40,AR5:AR40)</f>
        <v>1.3386944416902454E-3</v>
      </c>
      <c r="AS42" s="124">
        <f>AVERAGE(AS5:AS40)</f>
        <v>0.17057943811041143</v>
      </c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24">
        <f>RSQ(BC5:BC40,BD5:BD40)</f>
        <v>1.5764267593410368E-2</v>
      </c>
      <c r="BE42" s="124">
        <f>AVERAGE(BE5:BE40)</f>
        <v>0.31479863620314535</v>
      </c>
      <c r="BF42" s="114">
        <f>Overview!G47</f>
        <v>1.8428636458143025E-2</v>
      </c>
      <c r="BG42" s="114">
        <f>Overview!D47</f>
        <v>2.0192307692307693E-2</v>
      </c>
      <c r="BH42" s="114">
        <f t="shared" si="18"/>
        <v>9.5702752516199224E-2</v>
      </c>
      <c r="BI42" s="114">
        <f>Overview!H47</f>
        <v>2.3257575757575755E-2</v>
      </c>
      <c r="BJ42" s="114">
        <f>Overview!D47</f>
        <v>2.0192307692307693E-2</v>
      </c>
      <c r="BK42" s="114">
        <f t="shared" si="19"/>
        <v>0.13179654221999484</v>
      </c>
    </row>
    <row r="43" spans="1:63" x14ac:dyDescent="0.2">
      <c r="A43" s="114">
        <v>1.7078213511287424E-2</v>
      </c>
      <c r="B43" s="114">
        <v>2.9719057935565032E-2</v>
      </c>
      <c r="C43" s="114">
        <f t="shared" si="0"/>
        <v>0.74017369650068809</v>
      </c>
      <c r="D43" s="114"/>
      <c r="E43" s="114" t="s">
        <v>236</v>
      </c>
      <c r="F43" s="114" t="s">
        <v>229</v>
      </c>
      <c r="G43" s="114"/>
      <c r="H43" s="114"/>
      <c r="I43" s="114"/>
      <c r="J43" s="114">
        <f>Overview!B49</f>
        <v>2.8077753779697626E-2</v>
      </c>
      <c r="K43" s="114">
        <f>Overview!G49</f>
        <v>1.9206750491913904E-2</v>
      </c>
      <c r="L43" s="114">
        <f t="shared" si="3"/>
        <v>0.31594419401875873</v>
      </c>
      <c r="M43" s="114">
        <f>Overview!B48</f>
        <v>2.2059439095856007E-2</v>
      </c>
      <c r="N43" s="114">
        <f>Overview!H48</f>
        <v>3.0912526997840167E-2</v>
      </c>
      <c r="O43" s="114">
        <f t="shared" si="4"/>
        <v>0.40132878553776391</v>
      </c>
      <c r="P43" s="114">
        <f>Overview!B41</f>
        <v>1.7078213511287424E-2</v>
      </c>
      <c r="Q43" s="114">
        <f>Overview!D41</f>
        <v>1.3414634146341465E-2</v>
      </c>
      <c r="R43" s="114">
        <f t="shared" si="5"/>
        <v>0.21451771653543308</v>
      </c>
      <c r="S43" s="114"/>
      <c r="T43" s="114" t="s">
        <v>236</v>
      </c>
      <c r="U43" s="114" t="s">
        <v>229</v>
      </c>
      <c r="V43" s="114"/>
      <c r="W43" s="114"/>
      <c r="X43" s="114"/>
      <c r="Y43" s="114">
        <f>Overview!C49</f>
        <v>3.9795338260375221E-2</v>
      </c>
      <c r="Z43" s="114">
        <f>Overview!G49</f>
        <v>1.9206750491913904E-2</v>
      </c>
      <c r="AA43" s="114">
        <f t="shared" si="7"/>
        <v>0.51736179835319218</v>
      </c>
      <c r="AB43" s="114">
        <f>Overview!C48</f>
        <v>6.2073246430788369E-2</v>
      </c>
      <c r="AC43" s="114">
        <f>Overview!H48</f>
        <v>3.0912526997840167E-2</v>
      </c>
      <c r="AD43" s="114">
        <f t="shared" si="8"/>
        <v>0.50199919006479521</v>
      </c>
      <c r="AE43" s="114">
        <f>Overview!C41</f>
        <v>2.9719057935565032E-2</v>
      </c>
      <c r="AF43" s="114">
        <f>Overview!D41</f>
        <v>1.3414634146341465E-2</v>
      </c>
      <c r="AG43" s="114">
        <f t="shared" si="9"/>
        <v>0.5486184597295708</v>
      </c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 t="s">
        <v>236</v>
      </c>
      <c r="AS43" s="114" t="s">
        <v>229</v>
      </c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 t="s">
        <v>236</v>
      </c>
      <c r="BE43" s="114" t="s">
        <v>229</v>
      </c>
      <c r="BF43" s="114">
        <f>Overview!G49</f>
        <v>1.9206750491913904E-2</v>
      </c>
      <c r="BG43" s="114">
        <f>Overview!D49</f>
        <v>2.2200000000000001E-2</v>
      </c>
      <c r="BH43" s="114">
        <f t="shared" si="18"/>
        <v>0.15584361911434544</v>
      </c>
      <c r="BI43" s="114">
        <f>Overview!H48</f>
        <v>3.0912526997840167E-2</v>
      </c>
      <c r="BJ43" s="114">
        <f>Overview!D48</f>
        <v>1.4333333333333333E-2</v>
      </c>
      <c r="BK43" s="114">
        <f t="shared" si="19"/>
        <v>0.53632605531295474</v>
      </c>
    </row>
    <row r="44" spans="1:63" x14ac:dyDescent="0.2">
      <c r="A44" s="114">
        <v>5.1343260960175822E-2</v>
      </c>
      <c r="B44" s="114">
        <v>0.61896100943503474</v>
      </c>
      <c r="C44" s="114">
        <f t="shared" si="0"/>
        <v>11.055350553505535</v>
      </c>
      <c r="D44" s="114"/>
      <c r="E44" s="114"/>
      <c r="F44" s="114"/>
      <c r="G44" s="114"/>
      <c r="H44" s="114"/>
      <c r="I44" s="114"/>
      <c r="J44" s="114">
        <f>Overview!B50</f>
        <v>2.2077597957342241E-2</v>
      </c>
      <c r="K44" s="114">
        <f>Overview!G50</f>
        <v>2.3379662989747387E-2</v>
      </c>
      <c r="L44" s="114">
        <f t="shared" si="3"/>
        <v>5.8976752585175353E-2</v>
      </c>
      <c r="M44" s="114">
        <f>Overview!B49</f>
        <v>2.8077753779697626E-2</v>
      </c>
      <c r="N44" s="114">
        <f>Overview!H49</f>
        <v>3.1229503662361938E-2</v>
      </c>
      <c r="O44" s="114">
        <f t="shared" si="4"/>
        <v>0.1122507842825828</v>
      </c>
      <c r="P44" s="114">
        <f>Overview!B43</f>
        <v>2.2850469069351172E-2</v>
      </c>
      <c r="Q44" s="114">
        <f>Overview!D43</f>
        <v>2.662162162162162E-2</v>
      </c>
      <c r="R44" s="114">
        <f t="shared" si="5"/>
        <v>0.16503611111111111</v>
      </c>
      <c r="S44" s="114"/>
      <c r="T44" s="114"/>
      <c r="U44" s="114"/>
      <c r="V44" s="114"/>
      <c r="W44" s="114"/>
      <c r="X44" s="114"/>
      <c r="Y44" s="114">
        <f>Overview!C50</f>
        <v>3.9020390811229357E-2</v>
      </c>
      <c r="Z44" s="114">
        <f>Overview!G50</f>
        <v>2.3379662989747387E-2</v>
      </c>
      <c r="AA44" s="114">
        <f t="shared" si="7"/>
        <v>0.40083473015808069</v>
      </c>
      <c r="AB44" s="114">
        <f>Overview!C49</f>
        <v>3.9795338260375221E-2</v>
      </c>
      <c r="AC44" s="114">
        <f>Overview!H49</f>
        <v>3.1229503662361938E-2</v>
      </c>
      <c r="AD44" s="114">
        <f t="shared" si="8"/>
        <v>0.21524718654150515</v>
      </c>
      <c r="AE44" s="114">
        <f>Overview!C43</f>
        <v>4.4396581671645924E-2</v>
      </c>
      <c r="AF44" s="114">
        <f>Overview!D43</f>
        <v>2.662162162162162E-2</v>
      </c>
      <c r="AG44" s="114">
        <f t="shared" ref="AG44:AG53" si="22">ABS(AE44-AF44)/AE44</f>
        <v>0.40036776212832531</v>
      </c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>
        <f>Overview!G50</f>
        <v>2.3379662989747387E-2</v>
      </c>
      <c r="BG44" s="114">
        <f>Overview!D50</f>
        <v>2.4020618556701033E-2</v>
      </c>
      <c r="BH44" s="114">
        <f t="shared" si="18"/>
        <v>2.7415090082124886E-2</v>
      </c>
      <c r="BI44" s="114">
        <f>Overview!H49</f>
        <v>3.1229503662361938E-2</v>
      </c>
      <c r="BJ44" s="114">
        <f>Overview!D49</f>
        <v>2.2200000000000001E-2</v>
      </c>
      <c r="BK44" s="114">
        <f t="shared" si="19"/>
        <v>0.28913375505369854</v>
      </c>
    </row>
    <row r="45" spans="1:63" x14ac:dyDescent="0.2">
      <c r="A45" s="114">
        <v>2.2850469069351172E-2</v>
      </c>
      <c r="B45" s="114">
        <v>4.4396581671645924E-2</v>
      </c>
      <c r="C45" s="114">
        <f t="shared" si="0"/>
        <v>0.94291773778920251</v>
      </c>
      <c r="D45" s="114"/>
      <c r="E45" s="114"/>
      <c r="F45" s="114"/>
      <c r="G45" s="114"/>
      <c r="H45" s="114"/>
      <c r="I45" s="114"/>
      <c r="J45" s="114">
        <f>Overview!B52</f>
        <v>1.7717478052673583E-2</v>
      </c>
      <c r="K45" s="114">
        <f>Overview!G52</f>
        <v>1.9923066893285987E-2</v>
      </c>
      <c r="L45" s="114">
        <f t="shared" si="3"/>
        <v>0.12448661339132172</v>
      </c>
      <c r="M45" s="114">
        <f>Overview!B51</f>
        <v>2.6780615158684833E-2</v>
      </c>
      <c r="N45" s="114">
        <f>Overview!H51</f>
        <v>2.9805615550755941E-2</v>
      </c>
      <c r="O45" s="114">
        <f t="shared" si="4"/>
        <v>0.11295485089296442</v>
      </c>
      <c r="P45" s="114">
        <f>Overview!B44</f>
        <v>2.2657754616517502E-2</v>
      </c>
      <c r="Q45" s="114">
        <f>Overview!D44</f>
        <v>2.3461538461538461E-2</v>
      </c>
      <c r="R45" s="114">
        <f t="shared" si="5"/>
        <v>3.5475E-2</v>
      </c>
      <c r="S45" s="114"/>
      <c r="T45" s="114"/>
      <c r="U45" s="114"/>
      <c r="V45" s="114"/>
      <c r="W45" s="114"/>
      <c r="X45" s="114"/>
      <c r="Y45" s="114">
        <f>Overview!C52</f>
        <v>4.0692041522491333E-2</v>
      </c>
      <c r="Z45" s="114">
        <f>Overview!G52</f>
        <v>1.9923066893285987E-2</v>
      </c>
      <c r="AA45" s="114">
        <f t="shared" si="7"/>
        <v>0.51039401937417916</v>
      </c>
      <c r="AB45" s="114">
        <f>Overview!C51</f>
        <v>1.313676835498466E-2</v>
      </c>
      <c r="AC45" s="114">
        <f>Overview!H51</f>
        <v>2.9805615550755941E-2</v>
      </c>
      <c r="AD45" s="114">
        <f t="shared" si="8"/>
        <v>1.2688696904247685</v>
      </c>
      <c r="AE45" s="114">
        <f>Overview!C44</f>
        <v>4.0969131878222771E-2</v>
      </c>
      <c r="AF45" s="114">
        <f>Overview!D44</f>
        <v>2.3461538461538461E-2</v>
      </c>
      <c r="AG45" s="114">
        <f t="shared" si="22"/>
        <v>0.4273362068965515</v>
      </c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>
        <f>Overview!G52</f>
        <v>1.9923066893285987E-2</v>
      </c>
      <c r="BG45" s="114">
        <f>Overview!D52</f>
        <v>1.9E-2</v>
      </c>
      <c r="BH45" s="114">
        <f t="shared" si="18"/>
        <v>4.6331566230752241E-2</v>
      </c>
      <c r="BI45" s="114">
        <f>Overview!H51</f>
        <v>2.9805615550755941E-2</v>
      </c>
      <c r="BJ45" s="114">
        <f>Overview!D51</f>
        <v>1.4705882352941176E-3</v>
      </c>
      <c r="BK45" s="114">
        <f t="shared" si="19"/>
        <v>0.95066069906223349</v>
      </c>
    </row>
    <row r="46" spans="1:63" x14ac:dyDescent="0.2">
      <c r="A46" s="114">
        <v>2.2657754616517502E-2</v>
      </c>
      <c r="B46" s="114">
        <v>4.0969131878222771E-2</v>
      </c>
      <c r="C46" s="114">
        <f t="shared" si="0"/>
        <v>0.80817263544536211</v>
      </c>
      <c r="D46" s="114"/>
      <c r="E46" s="114"/>
      <c r="F46" s="114"/>
      <c r="G46" s="114"/>
      <c r="H46" s="114"/>
      <c r="I46" s="114"/>
      <c r="J46" s="114"/>
      <c r="K46" s="114"/>
      <c r="L46" s="114"/>
      <c r="M46" s="114">
        <f>Overview!B52</f>
        <v>1.7717478052673583E-2</v>
      </c>
      <c r="N46" s="114">
        <f>Overview!H52</f>
        <v>2.8673469387755102E-2</v>
      </c>
      <c r="O46" s="114">
        <f t="shared" si="4"/>
        <v>0.61837194337194346</v>
      </c>
      <c r="P46" s="114">
        <f>Overview!B45</f>
        <v>2.3912191297530382E-2</v>
      </c>
      <c r="Q46" s="114">
        <f>Overview!D45</f>
        <v>2.2099999999999998E-2</v>
      </c>
      <c r="R46" s="114">
        <f t="shared" si="5"/>
        <v>7.5785245901639472E-2</v>
      </c>
      <c r="S46" s="114"/>
      <c r="T46" s="114"/>
      <c r="U46" s="114"/>
      <c r="V46" s="114"/>
      <c r="W46" s="114"/>
      <c r="X46" s="114"/>
      <c r="Y46" s="114"/>
      <c r="Z46" s="114"/>
      <c r="AA46" s="114"/>
      <c r="AB46" s="114">
        <f>Overview!C52</f>
        <v>4.0692041522491333E-2</v>
      </c>
      <c r="AC46" s="114">
        <f>Overview!H52</f>
        <v>2.8673469387755102E-2</v>
      </c>
      <c r="AD46" s="114">
        <f t="shared" si="8"/>
        <v>0.29535436623629013</v>
      </c>
      <c r="AE46" s="114">
        <f>Overview!C45</f>
        <v>3.8811771238200996E-2</v>
      </c>
      <c r="AF46" s="114">
        <f>Overview!D45</f>
        <v>2.2099999999999998E-2</v>
      </c>
      <c r="AG46" s="114">
        <f t="shared" si="22"/>
        <v>0.43058512160228896</v>
      </c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>
        <f>Overview!H52</f>
        <v>2.8673469387755102E-2</v>
      </c>
      <c r="BJ46" s="114">
        <f>Overview!D52</f>
        <v>1.9E-2</v>
      </c>
      <c r="BK46" s="114">
        <f t="shared" si="19"/>
        <v>0.33736654804270466</v>
      </c>
    </row>
    <row r="47" spans="1:63" x14ac:dyDescent="0.2">
      <c r="A47" s="114">
        <v>2.3912191297530382E-2</v>
      </c>
      <c r="B47" s="114">
        <v>3.8811771238200996E-2</v>
      </c>
      <c r="C47" s="114">
        <f t="shared" si="0"/>
        <v>0.6230955480106678</v>
      </c>
      <c r="D47" s="114"/>
      <c r="E47" s="114"/>
      <c r="F47" s="114"/>
      <c r="G47" s="114"/>
      <c r="H47" s="114"/>
      <c r="I47" s="114"/>
      <c r="J47" s="114"/>
      <c r="K47" s="124">
        <f>RSQ(J5:J45,K5:K45)</f>
        <v>6.4477643859618142E-2</v>
      </c>
      <c r="L47" s="124">
        <f>AVERAGE(L5:L45)</f>
        <v>0.18352580992061573</v>
      </c>
      <c r="M47" s="114"/>
      <c r="N47" s="114"/>
      <c r="O47" s="114"/>
      <c r="P47" s="114">
        <f>Overview!B46</f>
        <v>1.9107564347532878E-2</v>
      </c>
      <c r="Q47" s="114">
        <f>Overview!D46</f>
        <v>1.6451612903225808E-2</v>
      </c>
      <c r="R47" s="114">
        <f t="shared" si="5"/>
        <v>0.13900000000000001</v>
      </c>
      <c r="S47" s="114"/>
      <c r="T47" s="114"/>
      <c r="U47" s="114"/>
      <c r="V47" s="114"/>
      <c r="W47" s="114"/>
      <c r="X47" s="114"/>
      <c r="Y47" s="114"/>
      <c r="Z47" s="124">
        <f>RSQ(Y5:Y45,Z5:Z45)</f>
        <v>7.0606248581140006E-3</v>
      </c>
      <c r="AA47" s="124">
        <f>AVERAGE(AA5:AA45)</f>
        <v>0.29516054166450578</v>
      </c>
      <c r="AB47" s="114"/>
      <c r="AC47" s="114"/>
      <c r="AD47" s="114"/>
      <c r="AE47" s="114">
        <f>Overview!C46</f>
        <v>3.4227939575987125E-2</v>
      </c>
      <c r="AF47" s="114">
        <f>Overview!D46</f>
        <v>1.6451612903225808E-2</v>
      </c>
      <c r="AG47" s="114">
        <f t="shared" si="22"/>
        <v>0.51935135135135146</v>
      </c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24">
        <f>RSQ(BF5:BF45,BG5:BG45)</f>
        <v>0.44782069230292804</v>
      </c>
      <c r="BH47" s="124">
        <f>AVERAGE(BH5:BH45)</f>
        <v>0.14738779645164904</v>
      </c>
      <c r="BI47" s="114"/>
      <c r="BJ47" s="114"/>
      <c r="BK47" s="114"/>
    </row>
    <row r="48" spans="1:63" x14ac:dyDescent="0.2">
      <c r="A48" s="114">
        <v>1.9107564347532878E-2</v>
      </c>
      <c r="B48" s="114">
        <v>3.4227939575987125E-2</v>
      </c>
      <c r="C48" s="114">
        <f t="shared" si="0"/>
        <v>0.79132928475033781</v>
      </c>
      <c r="D48" s="114"/>
      <c r="E48" s="114"/>
      <c r="F48" s="114"/>
      <c r="G48" s="114"/>
      <c r="H48" s="114"/>
      <c r="I48" s="114"/>
      <c r="J48" s="114"/>
      <c r="K48" s="114" t="s">
        <v>236</v>
      </c>
      <c r="L48" s="114" t="s">
        <v>229</v>
      </c>
      <c r="M48" s="114"/>
      <c r="N48" s="124">
        <f>RSQ(M5:M46,N5:N46)</f>
        <v>0.51384860966671198</v>
      </c>
      <c r="O48" s="124">
        <f>AVERAGE(O5:O46)</f>
        <v>0.29702566918511114</v>
      </c>
      <c r="P48" s="114">
        <f>Overview!B47</f>
        <v>1.8508486818345972E-2</v>
      </c>
      <c r="Q48" s="114">
        <f>Overview!D47</f>
        <v>2.0192307692307693E-2</v>
      </c>
      <c r="R48" s="114">
        <f t="shared" si="5"/>
        <v>9.0975609756097697E-2</v>
      </c>
      <c r="S48" s="114"/>
      <c r="T48" s="114"/>
      <c r="U48" s="114"/>
      <c r="V48" s="114"/>
      <c r="W48" s="114"/>
      <c r="X48" s="114"/>
      <c r="Y48" s="114"/>
      <c r="Z48" s="114" t="s">
        <v>236</v>
      </c>
      <c r="AA48" s="114" t="s">
        <v>229</v>
      </c>
      <c r="AB48" s="114"/>
      <c r="AC48" s="124">
        <f>RSQ(AB5:AB46,AC5:AC46)</f>
        <v>0.66660347679103571</v>
      </c>
      <c r="AD48" s="124">
        <f>AVERAGE(AD5:AD46)</f>
        <v>0.21051209850050634</v>
      </c>
      <c r="AE48" s="114">
        <f>Overview!C47</f>
        <v>2.6367849257874824E-2</v>
      </c>
      <c r="AF48" s="114">
        <f>Overview!D47</f>
        <v>2.0192307692307693E-2</v>
      </c>
      <c r="AG48" s="114">
        <f t="shared" si="22"/>
        <v>0.23420725388601007</v>
      </c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 t="s">
        <v>236</v>
      </c>
      <c r="BH48" s="114" t="s">
        <v>229</v>
      </c>
      <c r="BI48" s="114"/>
      <c r="BJ48" s="124">
        <f>RSQ(BI5:BI46,BJ5:BJ46)</f>
        <v>5.8958088630726871E-4</v>
      </c>
      <c r="BK48" s="124">
        <f>AVERAGE(BK5:BK46)</f>
        <v>0.23012778721880359</v>
      </c>
    </row>
    <row r="49" spans="1:63" x14ac:dyDescent="0.2">
      <c r="A49" s="114">
        <v>1.8508486818345972E-2</v>
      </c>
      <c r="B49" s="114">
        <v>2.6367849257874824E-2</v>
      </c>
      <c r="C49" s="114">
        <f t="shared" si="0"/>
        <v>0.42463560185473942</v>
      </c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 t="s">
        <v>236</v>
      </c>
      <c r="O49" s="114" t="s">
        <v>229</v>
      </c>
      <c r="P49" s="114">
        <f>Overview!B48</f>
        <v>2.2059439095856007E-2</v>
      </c>
      <c r="Q49" s="114">
        <f>Overview!D48</f>
        <v>1.4333333333333333E-2</v>
      </c>
      <c r="R49" s="114">
        <f t="shared" si="5"/>
        <v>0.35024035420619865</v>
      </c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 t="s">
        <v>236</v>
      </c>
      <c r="AD49" s="114" t="s">
        <v>229</v>
      </c>
      <c r="AE49" s="114">
        <f>Overview!C48</f>
        <v>6.2073246430788369E-2</v>
      </c>
      <c r="AF49" s="114">
        <f>Overview!D48</f>
        <v>1.4333333333333333E-2</v>
      </c>
      <c r="AG49" s="114">
        <f t="shared" si="22"/>
        <v>0.76909000000000016</v>
      </c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  <c r="BI49" s="114"/>
      <c r="BJ49" s="114" t="s">
        <v>236</v>
      </c>
      <c r="BK49" s="114" t="s">
        <v>229</v>
      </c>
    </row>
    <row r="50" spans="1:63" x14ac:dyDescent="0.2">
      <c r="A50" s="114">
        <v>2.2059439095856007E-2</v>
      </c>
      <c r="B50" s="114">
        <v>6.2073246430788369E-2</v>
      </c>
      <c r="C50" s="114">
        <f t="shared" si="0"/>
        <v>1.8139086474981669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>
        <f>Overview!B49</f>
        <v>2.8077753779697626E-2</v>
      </c>
      <c r="Q50" s="114">
        <f>Overview!D49</f>
        <v>2.2200000000000001E-2</v>
      </c>
      <c r="R50" s="114">
        <f t="shared" si="5"/>
        <v>0.20933846153846156</v>
      </c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>
        <f>Overview!C49</f>
        <v>3.9795338260375221E-2</v>
      </c>
      <c r="AF50" s="114">
        <f>Overview!D49</f>
        <v>2.2200000000000001E-2</v>
      </c>
      <c r="AG50" s="114">
        <f t="shared" si="22"/>
        <v>0.44214571428571436</v>
      </c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4"/>
      <c r="BK50" s="114"/>
    </row>
    <row r="51" spans="1:63" x14ac:dyDescent="0.2">
      <c r="A51" s="114">
        <v>2.8077753779697626E-2</v>
      </c>
      <c r="B51" s="114">
        <v>3.9795338260375221E-2</v>
      </c>
      <c r="C51" s="114">
        <f t="shared" si="0"/>
        <v>0.41732627804259431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>
        <f>Overview!B50</f>
        <v>2.2077597957342241E-2</v>
      </c>
      <c r="Q51" s="114">
        <f>Overview!D50</f>
        <v>2.4020618556701033E-2</v>
      </c>
      <c r="R51" s="114">
        <f t="shared" si="5"/>
        <v>8.8008695652174007E-2</v>
      </c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>
        <f>Overview!C50</f>
        <v>3.9020390811229357E-2</v>
      </c>
      <c r="AF51" s="114">
        <f>Overview!D50</f>
        <v>2.4020618556701033E-2</v>
      </c>
      <c r="AG51" s="114">
        <f t="shared" si="22"/>
        <v>0.38440856031128379</v>
      </c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</row>
    <row r="52" spans="1:63" x14ac:dyDescent="0.2">
      <c r="A52" s="114">
        <v>2.2077597957342241E-2</v>
      </c>
      <c r="B52" s="114">
        <v>3.9020390811229357E-2</v>
      </c>
      <c r="C52" s="114">
        <f t="shared" si="0"/>
        <v>0.76742011910097907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>
        <f>Overview!B51</f>
        <v>2.6780615158684833E-2</v>
      </c>
      <c r="Q52" s="114">
        <f>Overview!D51</f>
        <v>1.4705882352941176E-3</v>
      </c>
      <c r="R52" s="114">
        <f t="shared" si="5"/>
        <v>0.94508758568164519</v>
      </c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>
        <f>Overview!C51</f>
        <v>1.313676835498466E-2</v>
      </c>
      <c r="AF52" s="114">
        <f>Overview!D51</f>
        <v>1.4705882352941176E-3</v>
      </c>
      <c r="AG52" s="114">
        <f t="shared" si="22"/>
        <v>0.88805555555555549</v>
      </c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</row>
    <row r="53" spans="1:63" x14ac:dyDescent="0.2">
      <c r="A53" s="114">
        <v>2.6780615158684833E-2</v>
      </c>
      <c r="B53" s="114">
        <v>1.313676835498466E-2</v>
      </c>
      <c r="C53" s="114">
        <f t="shared" si="0"/>
        <v>0.50946726663504349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>
        <f>Overview!B52</f>
        <v>1.7717478052673583E-2</v>
      </c>
      <c r="Q53" s="114">
        <f>Overview!D52</f>
        <v>1.9E-2</v>
      </c>
      <c r="R53" s="114">
        <f t="shared" si="5"/>
        <v>7.2387387387387411E-2</v>
      </c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>
        <f>Overview!C52</f>
        <v>4.0692041522491333E-2</v>
      </c>
      <c r="AF53" s="114">
        <f>Overview!D52</f>
        <v>1.9E-2</v>
      </c>
      <c r="AG53" s="114">
        <f t="shared" si="22"/>
        <v>0.53307823129251686</v>
      </c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</row>
    <row r="54" spans="1:63" x14ac:dyDescent="0.2">
      <c r="A54" s="114">
        <v>1.7717478052673583E-2</v>
      </c>
      <c r="B54" s="114">
        <v>4.0692041522491333E-2</v>
      </c>
      <c r="C54" s="114">
        <f t="shared" si="0"/>
        <v>1.2967174787243982</v>
      </c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  <c r="BI54" s="114"/>
      <c r="BJ54" s="114"/>
      <c r="BK54" s="114"/>
    </row>
    <row r="55" spans="1:63" x14ac:dyDescent="0.2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24">
        <f>RSQ(P5:P53,Q5:Q53)</f>
        <v>3.5890341221742044E-3</v>
      </c>
      <c r="R55" s="124">
        <f>AVERAGE(R5:R53)</f>
        <v>0.24238557258841725</v>
      </c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24">
        <f>RSQ(AE5:AE53,AF5:AF53)</f>
        <v>4.2729780731921201E-3</v>
      </c>
      <c r="AG55" s="124">
        <f>AVERAGE(AG5:AG53)</f>
        <v>0.3336683998739729</v>
      </c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</row>
    <row r="56" spans="1:63" x14ac:dyDescent="0.2">
      <c r="A56" s="114"/>
      <c r="B56" s="124">
        <f>RSQ(A5:A54,B5:B54)</f>
        <v>0.64803684380917925</v>
      </c>
      <c r="C56" s="124">
        <f>AVERAGE(C5:C54)</f>
        <v>0.83572315985713541</v>
      </c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 t="s">
        <v>236</v>
      </c>
      <c r="R56" s="114" t="s">
        <v>229</v>
      </c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 t="s">
        <v>236</v>
      </c>
      <c r="AG56" s="114" t="s">
        <v>229</v>
      </c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</row>
    <row r="57" spans="1:63" x14ac:dyDescent="0.2">
      <c r="A57" s="114"/>
      <c r="B57" s="114" t="s">
        <v>236</v>
      </c>
      <c r="C57" s="114" t="s">
        <v>229</v>
      </c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</row>
    <row r="58" spans="1:63" x14ac:dyDescent="0.2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  <c r="BI58" s="114"/>
      <c r="BJ58" s="114"/>
      <c r="BK58" s="114"/>
    </row>
    <row r="59" spans="1:63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  <c r="BI59" s="114"/>
      <c r="BJ59" s="114"/>
      <c r="BK59" s="114"/>
    </row>
    <row r="60" spans="1:63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</row>
    <row r="61" spans="1:63" x14ac:dyDescent="0.2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4"/>
    </row>
    <row r="62" spans="1:63" x14ac:dyDescent="0.2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</row>
    <row r="63" spans="1:63" x14ac:dyDescent="0.2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4"/>
      <c r="BK63" s="114"/>
    </row>
    <row r="64" spans="1:63" x14ac:dyDescent="0.2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  <c r="BJ64" s="114"/>
      <c r="BK64" s="114"/>
    </row>
    <row r="65" spans="1:63" x14ac:dyDescent="0.2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</row>
    <row r="66" spans="1:63" x14ac:dyDescent="0.2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</row>
    <row r="67" spans="1:63" x14ac:dyDescent="0.2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</row>
    <row r="68" spans="1:63" x14ac:dyDescent="0.2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  <c r="BI68" s="114"/>
      <c r="BJ68" s="114"/>
      <c r="BK68" s="114"/>
    </row>
    <row r="69" spans="1:63" x14ac:dyDescent="0.2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  <c r="BI69" s="114"/>
      <c r="BJ69" s="114"/>
      <c r="BK69" s="114"/>
    </row>
    <row r="70" spans="1:63" x14ac:dyDescent="0.2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</row>
    <row r="71" spans="1:63" x14ac:dyDescent="0.2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</row>
    <row r="72" spans="1:63" x14ac:dyDescent="0.2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</row>
    <row r="73" spans="1:63" x14ac:dyDescent="0.2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</row>
    <row r="74" spans="1:63" x14ac:dyDescent="0.2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</row>
    <row r="75" spans="1:63" x14ac:dyDescent="0.2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</row>
    <row r="76" spans="1:63" x14ac:dyDescent="0.2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  <c r="BI76" s="114"/>
      <c r="BJ76" s="114"/>
      <c r="BK76" s="114"/>
    </row>
    <row r="77" spans="1:63" x14ac:dyDescent="0.2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</row>
    <row r="78" spans="1:63" x14ac:dyDescent="0.2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</row>
    <row r="79" spans="1:63" x14ac:dyDescent="0.2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  <c r="BI79" s="114"/>
      <c r="BJ79" s="114"/>
      <c r="BK79" s="114"/>
    </row>
    <row r="80" spans="1:63" x14ac:dyDescent="0.2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  <c r="BI80" s="114"/>
      <c r="BJ80" s="114"/>
      <c r="BK80" s="114"/>
    </row>
    <row r="81" spans="1:63" x14ac:dyDescent="0.2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4"/>
      <c r="AI81" s="114"/>
      <c r="AJ81" s="114"/>
      <c r="AK81" s="114"/>
      <c r="AL81" s="11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  <c r="BH81" s="114"/>
      <c r="BI81" s="114"/>
      <c r="BJ81" s="114"/>
      <c r="BK81" s="114"/>
    </row>
    <row r="82" spans="1:63" x14ac:dyDescent="0.2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  <c r="BI82" s="114"/>
      <c r="BJ82" s="114"/>
      <c r="BK82" s="114"/>
    </row>
    <row r="83" spans="1:63" x14ac:dyDescent="0.2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  <c r="BI83" s="114"/>
      <c r="BJ83" s="114"/>
      <c r="BK83" s="114"/>
    </row>
    <row r="84" spans="1:63" x14ac:dyDescent="0.2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4"/>
      <c r="BK84" s="114"/>
    </row>
    <row r="85" spans="1:63" x14ac:dyDescent="0.2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  <c r="BI85" s="114"/>
      <c r="BJ85" s="114"/>
      <c r="BK85" s="114"/>
    </row>
    <row r="86" spans="1:63" x14ac:dyDescent="0.2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  <c r="BI86" s="114"/>
      <c r="BJ86" s="114"/>
      <c r="BK86" s="114"/>
    </row>
    <row r="87" spans="1:63" x14ac:dyDescent="0.2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</row>
    <row r="88" spans="1:63" x14ac:dyDescent="0.2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  <c r="BI88" s="114"/>
      <c r="BJ88" s="114"/>
      <c r="BK88" s="114"/>
    </row>
  </sheetData>
  <mergeCells count="42">
    <mergeCell ref="A3:A4"/>
    <mergeCell ref="B3:B4"/>
    <mergeCell ref="Z3:Z4"/>
    <mergeCell ref="AB3:AB4"/>
    <mergeCell ref="AC3:AC4"/>
    <mergeCell ref="AE3:AE4"/>
    <mergeCell ref="AF3:AF4"/>
    <mergeCell ref="N3:N4"/>
    <mergeCell ref="K3:K4"/>
    <mergeCell ref="D3:D4"/>
    <mergeCell ref="G3:G4"/>
    <mergeCell ref="J3:J4"/>
    <mergeCell ref="M3:M4"/>
    <mergeCell ref="H3:H4"/>
    <mergeCell ref="E3:E4"/>
    <mergeCell ref="AT3:AT4"/>
    <mergeCell ref="P3:P4"/>
    <mergeCell ref="Q3:Q4"/>
    <mergeCell ref="AH3:AH4"/>
    <mergeCell ref="AK3:AK4"/>
    <mergeCell ref="AN3:AN4"/>
    <mergeCell ref="AQ3:AQ4"/>
    <mergeCell ref="AI3:AI4"/>
    <mergeCell ref="AL3:AL4"/>
    <mergeCell ref="AO3:AO4"/>
    <mergeCell ref="AR3:AR4"/>
    <mergeCell ref="S3:S4"/>
    <mergeCell ref="T3:T4"/>
    <mergeCell ref="V3:V4"/>
    <mergeCell ref="W3:W4"/>
    <mergeCell ref="Y3:Y4"/>
    <mergeCell ref="AW3:AW4"/>
    <mergeCell ref="AZ3:AZ4"/>
    <mergeCell ref="AU3:AU4"/>
    <mergeCell ref="AX3:AX4"/>
    <mergeCell ref="BA3:BA4"/>
    <mergeCell ref="BI3:BI4"/>
    <mergeCell ref="BJ3:BJ4"/>
    <mergeCell ref="BC3:BC4"/>
    <mergeCell ref="BF3:BF4"/>
    <mergeCell ref="BD3:BD4"/>
    <mergeCell ref="BG3:BG4"/>
  </mergeCells>
  <phoneticPr fontId="1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Overview</vt:lpstr>
      <vt:lpstr>SAR</vt:lpstr>
      <vt:lpstr>Extended Payload Diagram</vt:lpstr>
      <vt:lpstr>Bathtub Curve</vt:lpstr>
      <vt:lpstr>EEA Master Emission Calculator</vt:lpstr>
      <vt:lpstr>BADA </vt:lpstr>
      <vt:lpstr>Handbook Method</vt:lpstr>
      <vt:lpstr>Literature review</vt:lpstr>
      <vt:lpstr>Deviation</vt:lpstr>
      <vt:lpstr>Matrix</vt:lpstr>
      <vt:lpstr>Fuel Consumption Analysis</vt:lpstr>
      <vt:lpstr>Fuel Consumption CO2 MV A330neo</vt:lpstr>
      <vt:lpstr>Hurtecant</vt:lpstr>
      <vt:lpstr>TOP 50 Most Used Aircraft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Marius Kühn</cp:lastModifiedBy>
  <dcterms:created xsi:type="dcterms:W3CDTF">2023-02-23T07:06:31Z</dcterms:created>
  <dcterms:modified xsi:type="dcterms:W3CDTF">2023-05-19T08:11:27Z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2023-04-12T10:36:36Z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9bcf3237-2dc4-4c78-980d-e29606d7a2e8</vt:lpwstr>
  </property>
  <property fmtid="{D5CDD505-2E9C-101B-9397-08002B2CF9AE}" pid="8" name="MSIP_Label_defa4170-0d19-0005-0004-bc88714345d2_ContentBits">
    <vt:lpwstr>0</vt:lpwstr>
  </property>
</Properties>
</file>