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isF\Desktop\"/>
    </mc:Choice>
  </mc:AlternateContent>
  <xr:revisionPtr revIDLastSave="0" documentId="13_ncr:1_{B8250273-1CE3-46D5-A491-B1A1415C34F8}" xr6:coauthVersionLast="47" xr6:coauthVersionMax="47" xr10:uidLastSave="{00000000-0000-0000-0000-000000000000}"/>
  <bookViews>
    <workbookView xWindow="-46188" yWindow="-108" windowWidth="46296" windowHeight="13176" xr2:uid="{E481EB90-6660-40DB-9C92-59197AE5AEEE}"/>
  </bookViews>
  <sheets>
    <sheet name="calc_mixed (A320)" sheetId="4" r:id="rId1"/>
    <sheet name="calc_mixed (A340)" sheetId="8" r:id="rId2"/>
    <sheet name="CLmax_Estimation" sheetId="6" r:id="rId3"/>
    <sheet name="Raymer" sheetId="9" r:id="rId4"/>
    <sheet name="convert" sheetId="5" r:id="rId5"/>
    <sheet name="Plots" sheetId="7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9" i="8" l="1"/>
  <c r="G3" i="8" l="1"/>
  <c r="Q21" i="8" l="1"/>
  <c r="AH21" i="8" l="1"/>
  <c r="AN21" i="8" s="1"/>
  <c r="AH13" i="8"/>
  <c r="AN13" i="8" s="1"/>
  <c r="AH15" i="8"/>
  <c r="AH27" i="8"/>
  <c r="AN27" i="8" s="1"/>
  <c r="G19" i="8"/>
  <c r="AA13" i="8"/>
  <c r="AT13" i="8" s="1"/>
  <c r="AA21" i="8"/>
  <c r="AT21" i="8" s="1"/>
  <c r="I12" i="9"/>
  <c r="H12" i="9"/>
  <c r="G12" i="9"/>
  <c r="F12" i="9"/>
  <c r="E12" i="9"/>
  <c r="D12" i="9"/>
  <c r="I11" i="9"/>
  <c r="H11" i="9"/>
  <c r="G11" i="9"/>
  <c r="F11" i="9"/>
  <c r="E11" i="9"/>
  <c r="D11" i="9"/>
  <c r="I10" i="9"/>
  <c r="H10" i="9"/>
  <c r="G10" i="9"/>
  <c r="F10" i="9"/>
  <c r="E10" i="9"/>
  <c r="D10" i="9"/>
  <c r="I9" i="9"/>
  <c r="H9" i="9"/>
  <c r="G9" i="9"/>
  <c r="F9" i="9"/>
  <c r="E9" i="9"/>
  <c r="D9" i="9"/>
  <c r="I8" i="9"/>
  <c r="H8" i="9"/>
  <c r="G8" i="9"/>
  <c r="F8" i="9"/>
  <c r="E8" i="9"/>
  <c r="D8" i="9"/>
  <c r="I7" i="9"/>
  <c r="H7" i="9"/>
  <c r="G7" i="9"/>
  <c r="F7" i="9"/>
  <c r="E7" i="9"/>
  <c r="D7" i="9"/>
  <c r="I6" i="9"/>
  <c r="H6" i="9"/>
  <c r="G6" i="9"/>
  <c r="F6" i="9"/>
  <c r="E6" i="9"/>
  <c r="D6" i="9"/>
  <c r="K15" i="8"/>
  <c r="AH19" i="8" l="1"/>
  <c r="AN19" i="8" s="1"/>
  <c r="AN15" i="8"/>
  <c r="AF29" i="4"/>
  <c r="AL29" i="4" s="1"/>
  <c r="AF21" i="4"/>
  <c r="AF15" i="4"/>
  <c r="AF13" i="4"/>
  <c r="K21" i="4"/>
  <c r="AA21" i="4" s="1"/>
  <c r="K15" i="4"/>
  <c r="AA15" i="4" s="1"/>
  <c r="Q15" i="4"/>
  <c r="Q13" i="4"/>
  <c r="Q47" i="4"/>
  <c r="Q43" i="4"/>
  <c r="Q29" i="4"/>
  <c r="Q27" i="4"/>
  <c r="Q25" i="4"/>
  <c r="Q21" i="4"/>
  <c r="Q17" i="4"/>
  <c r="V29" i="4"/>
  <c r="V27" i="4"/>
  <c r="V25" i="4"/>
  <c r="V21" i="4"/>
  <c r="V17" i="4"/>
  <c r="V15" i="4"/>
  <c r="V13" i="4"/>
  <c r="Q27" i="8"/>
  <c r="Q25" i="8"/>
  <c r="Q17" i="8"/>
  <c r="Q15" i="8"/>
  <c r="Q13" i="8"/>
  <c r="V27" i="8"/>
  <c r="V25" i="8"/>
  <c r="V21" i="8"/>
  <c r="K21" i="8" s="1"/>
  <c r="V15" i="8"/>
  <c r="AA15" i="8" s="1"/>
  <c r="AT15" i="8" s="1"/>
  <c r="AT46" i="8" s="1"/>
  <c r="V13" i="8"/>
  <c r="G55" i="8"/>
  <c r="AH55" i="8" s="1"/>
  <c r="AN55" i="8" s="1"/>
  <c r="G50" i="8"/>
  <c r="AH50" i="8" s="1"/>
  <c r="AN50" i="8" s="1"/>
  <c r="G46" i="8"/>
  <c r="G40" i="8"/>
  <c r="G42" i="8" s="1"/>
  <c r="Q42" i="8" s="1"/>
  <c r="AT27" i="8"/>
  <c r="AA27" i="8"/>
  <c r="AA77" i="8" s="1"/>
  <c r="AA23" i="8"/>
  <c r="G48" i="8"/>
  <c r="V17" i="8"/>
  <c r="K13" i="8"/>
  <c r="V46" i="8" l="1"/>
  <c r="AH46" i="8"/>
  <c r="AN46" i="8" s="1"/>
  <c r="AL15" i="4"/>
  <c r="AL21" i="4"/>
  <c r="V55" i="8"/>
  <c r="AA55" i="8" s="1"/>
  <c r="AT55" i="8"/>
  <c r="AA73" i="8"/>
  <c r="AA71" i="8"/>
  <c r="Q55" i="8"/>
  <c r="Q46" i="8"/>
  <c r="Q19" i="8"/>
  <c r="Q50" i="8" s="1"/>
  <c r="V19" i="8"/>
  <c r="AA19" i="8" s="1"/>
  <c r="G57" i="8"/>
  <c r="K46" i="8"/>
  <c r="V42" i="8"/>
  <c r="AA42" i="8"/>
  <c r="AH42" i="8" s="1"/>
  <c r="AH84" i="8" l="1"/>
  <c r="AH89" i="8" s="1"/>
  <c r="AN42" i="8"/>
  <c r="AN84" i="8" s="1"/>
  <c r="AN89" i="8" s="1"/>
  <c r="AT42" i="8"/>
  <c r="AT19" i="8"/>
  <c r="AT50" i="8" s="1"/>
  <c r="V50" i="8"/>
  <c r="Q84" i="8" s="1"/>
  <c r="E6" i="8" s="1"/>
  <c r="K19" i="8"/>
  <c r="K48" i="8" s="1"/>
  <c r="AH88" i="8" l="1"/>
  <c r="E3" i="8"/>
  <c r="AT84" i="8"/>
  <c r="AT88" i="8" s="1"/>
  <c r="AT89" i="8" s="1"/>
  <c r="V84" i="8"/>
  <c r="V89" i="8" s="1"/>
  <c r="E4" i="8" s="1"/>
  <c r="Q88" i="8" l="1"/>
  <c r="AN88" i="8"/>
  <c r="I3" i="8"/>
  <c r="V88" i="8"/>
  <c r="BB15" i="4"/>
  <c r="C21" i="7" l="1"/>
  <c r="D21" i="7"/>
  <c r="E21" i="7"/>
  <c r="C22" i="7"/>
  <c r="D22" i="7"/>
  <c r="E22" i="7"/>
  <c r="C23" i="7"/>
  <c r="D23" i="7"/>
  <c r="E23" i="7"/>
  <c r="C24" i="7"/>
  <c r="D24" i="7"/>
  <c r="E24" i="7"/>
  <c r="C25" i="7"/>
  <c r="D25" i="7"/>
  <c r="E25" i="7"/>
  <c r="C26" i="7"/>
  <c r="D26" i="7"/>
  <c r="E26" i="7"/>
  <c r="C27" i="7"/>
  <c r="D27" i="7"/>
  <c r="E27" i="7"/>
  <c r="E20" i="7"/>
  <c r="D20" i="7"/>
  <c r="C20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E6" i="7"/>
  <c r="D6" i="7"/>
  <c r="C7" i="7"/>
  <c r="C8" i="7"/>
  <c r="C9" i="7"/>
  <c r="C10" i="7"/>
  <c r="C11" i="7"/>
  <c r="C12" i="7"/>
  <c r="C13" i="7"/>
  <c r="C6" i="7"/>
  <c r="G56" i="4" l="1"/>
  <c r="Q56" i="4" s="1"/>
  <c r="E30" i="6"/>
  <c r="E32" i="6" s="1"/>
  <c r="E9" i="5"/>
  <c r="E18" i="5"/>
  <c r="I9" i="5"/>
  <c r="E21" i="5"/>
  <c r="I21" i="5" s="1"/>
  <c r="K13" i="4"/>
  <c r="G19" i="4"/>
  <c r="G51" i="4"/>
  <c r="BB21" i="4"/>
  <c r="L7" i="5"/>
  <c r="K7" i="5"/>
  <c r="I4" i="5"/>
  <c r="I5" i="5"/>
  <c r="I6" i="5"/>
  <c r="I7" i="5"/>
  <c r="I8" i="5"/>
  <c r="I13" i="5"/>
  <c r="I14" i="5"/>
  <c r="I15" i="5"/>
  <c r="I16" i="5"/>
  <c r="I17" i="5"/>
  <c r="E14" i="5"/>
  <c r="E15" i="5"/>
  <c r="E16" i="5"/>
  <c r="E13" i="5"/>
  <c r="E8" i="5"/>
  <c r="E17" i="5" s="1"/>
  <c r="BB29" i="4"/>
  <c r="AA23" i="4"/>
  <c r="AA29" i="4"/>
  <c r="G47" i="4"/>
  <c r="G41" i="4"/>
  <c r="G43" i="4" s="1"/>
  <c r="V47" i="4" l="1"/>
  <c r="AF47" i="4"/>
  <c r="AA13" i="4"/>
  <c r="BB13" i="4" s="1"/>
  <c r="BB47" i="4" s="1"/>
  <c r="AL13" i="4"/>
  <c r="AL47" i="4" s="1"/>
  <c r="AA43" i="4"/>
  <c r="BB43" i="4" s="1"/>
  <c r="AF43" i="4"/>
  <c r="AL43" i="4" s="1"/>
  <c r="AA74" i="4"/>
  <c r="AA72" i="4"/>
  <c r="Q19" i="4"/>
  <c r="Q51" i="4" s="1"/>
  <c r="AF19" i="4"/>
  <c r="AA78" i="4"/>
  <c r="G49" i="4"/>
  <c r="V19" i="4"/>
  <c r="V51" i="4" s="1"/>
  <c r="G61" i="8"/>
  <c r="K61" i="8" s="1"/>
  <c r="AA56" i="4"/>
  <c r="AF56" i="4" s="1"/>
  <c r="V56" i="4"/>
  <c r="G58" i="4"/>
  <c r="K47" i="4"/>
  <c r="BB56" i="4"/>
  <c r="V43" i="4"/>
  <c r="G62" i="4"/>
  <c r="Q85" i="4" l="1"/>
  <c r="Q90" i="4" s="1"/>
  <c r="E6" i="4" s="1"/>
  <c r="V85" i="4"/>
  <c r="V90" i="4" s="1"/>
  <c r="E4" i="4" s="1"/>
  <c r="K19" i="4"/>
  <c r="AL56" i="4"/>
  <c r="G63" i="8"/>
  <c r="G65" i="8" s="1"/>
  <c r="K65" i="8" s="1"/>
  <c r="AF51" i="4"/>
  <c r="AL51" i="4" s="1"/>
  <c r="G64" i="4"/>
  <c r="G66" i="4" s="1"/>
  <c r="K66" i="4" s="1"/>
  <c r="K62" i="4"/>
  <c r="V89" i="4" l="1"/>
  <c r="Q89" i="4"/>
  <c r="AL85" i="4"/>
  <c r="AL89" i="4" s="1"/>
  <c r="AL90" i="4" s="1"/>
  <c r="AF85" i="4"/>
  <c r="AF90" i="4" s="1"/>
  <c r="E3" i="4" s="1"/>
  <c r="AA19" i="4"/>
  <c r="BB19" i="4" s="1"/>
  <c r="BB51" i="4" s="1"/>
  <c r="BB85" i="4" s="1"/>
  <c r="BB89" i="4" s="1"/>
  <c r="BB90" i="4" s="1"/>
  <c r="AL19" i="4"/>
  <c r="K49" i="4"/>
  <c r="AA63" i="8"/>
  <c r="AA65" i="8" s="1"/>
  <c r="K63" i="8"/>
  <c r="AA64" i="4"/>
  <c r="AA76" i="4" s="1"/>
  <c r="K64" i="4"/>
  <c r="AF89" i="4" l="1"/>
  <c r="AA85" i="4"/>
  <c r="AA89" i="4" s="1"/>
  <c r="AL77" i="4"/>
  <c r="AA75" i="8"/>
  <c r="AA84" i="8" s="1"/>
  <c r="AA88" i="8" s="1"/>
  <c r="AA89" i="8" s="1"/>
  <c r="E5" i="8" l="1"/>
  <c r="AA90" i="4" l="1"/>
  <c r="E5" i="4" s="1"/>
</calcChain>
</file>

<file path=xl/sharedStrings.xml><?xml version="1.0" encoding="utf-8"?>
<sst xmlns="http://schemas.openxmlformats.org/spreadsheetml/2006/main" count="704" uniqueCount="154">
  <si>
    <t>Flap Type</t>
  </si>
  <si>
    <t>Fowler Flap &amp; Slat</t>
  </si>
  <si>
    <t>[-]</t>
  </si>
  <si>
    <t>Flügelfläche</t>
  </si>
  <si>
    <r>
      <t>S</t>
    </r>
    <r>
      <rPr>
        <vertAlign val="subscript"/>
        <sz val="11"/>
        <color theme="1"/>
        <rFont val="Calibri"/>
        <family val="2"/>
        <scheme val="minor"/>
      </rPr>
      <t>w</t>
    </r>
  </si>
  <si>
    <r>
      <t>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</si>
  <si>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Take-Off Weight</t>
  </si>
  <si>
    <t>m</t>
  </si>
  <si>
    <t>[kg]</t>
  </si>
  <si>
    <t>Net Thrust (1 engine)</t>
  </si>
  <si>
    <t>[N]</t>
  </si>
  <si>
    <t>Pfeilung (25%)</t>
  </si>
  <si>
    <t>𝜑25</t>
  </si>
  <si>
    <t>[°]</t>
  </si>
  <si>
    <t>Altitude</t>
  </si>
  <si>
    <t>H</t>
  </si>
  <si>
    <t>Engine Number</t>
  </si>
  <si>
    <t>N</t>
  </si>
  <si>
    <t>Factor (recommended 2.41)</t>
  </si>
  <si>
    <r>
      <t>k</t>
    </r>
    <r>
      <rPr>
        <vertAlign val="subscript"/>
        <sz val="11"/>
        <color theme="1"/>
        <rFont val="Calibri"/>
        <family val="2"/>
        <scheme val="minor"/>
      </rPr>
      <t>TO</t>
    </r>
  </si>
  <si>
    <r>
      <t>Results  (</t>
    </r>
    <r>
      <rPr>
        <sz val="12"/>
        <color theme="4"/>
        <rFont val="Calibri"/>
        <family val="2"/>
        <scheme val="minor"/>
      </rPr>
      <t>Output</t>
    </r>
    <r>
      <rPr>
        <b/>
        <sz val="16"/>
        <color theme="4"/>
        <rFont val="Calibri"/>
        <family val="2"/>
        <scheme val="minor"/>
      </rPr>
      <t>)</t>
    </r>
  </si>
  <si>
    <t>Density</t>
  </si>
  <si>
    <t>𝜌 (H)</t>
  </si>
  <si>
    <t>𝜌</t>
  </si>
  <si>
    <r>
      <t>[kg /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</si>
  <si>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Ratio</t>
  </si>
  <si>
    <t>𝜎</t>
  </si>
  <si>
    <t>Thrust / Weight  &amp; Wing Loaging</t>
  </si>
  <si>
    <t>Wing Loading</t>
  </si>
  <si>
    <r>
      <t>[kg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</si>
  <si>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Thrust / Weight</t>
  </si>
  <si>
    <t>Lift Coefficient</t>
  </si>
  <si>
    <t>Max, Landing</t>
  </si>
  <si>
    <r>
      <t>C</t>
    </r>
    <r>
      <rPr>
        <vertAlign val="subscript"/>
        <sz val="11"/>
        <rFont val="Calibri"/>
        <family val="2"/>
        <scheme val="minor"/>
      </rPr>
      <t>L,max,L</t>
    </r>
  </si>
  <si>
    <t>Max,Take-Off</t>
  </si>
  <si>
    <r>
      <t>C</t>
    </r>
    <r>
      <rPr>
        <vertAlign val="subscript"/>
        <sz val="11"/>
        <rFont val="Calibri"/>
        <family val="2"/>
        <scheme val="minor"/>
      </rPr>
      <t>L,max,TO</t>
    </r>
  </si>
  <si>
    <t>Lift-Off</t>
  </si>
  <si>
    <r>
      <t>C</t>
    </r>
    <r>
      <rPr>
        <vertAlign val="subscript"/>
        <sz val="11"/>
        <rFont val="Calibri"/>
        <family val="2"/>
        <scheme val="minor"/>
      </rPr>
      <t>L,LOF</t>
    </r>
  </si>
  <si>
    <t>V-Speeds</t>
  </si>
  <si>
    <t>Stall Speed</t>
  </si>
  <si>
    <r>
      <t>v</t>
    </r>
    <r>
      <rPr>
        <vertAlign val="subscript"/>
        <sz val="11"/>
        <rFont val="Calibri"/>
        <family val="2"/>
        <scheme val="minor"/>
      </rPr>
      <t>S</t>
    </r>
  </si>
  <si>
    <t>[m / s]</t>
  </si>
  <si>
    <t>Safety Speed</t>
  </si>
  <si>
    <r>
      <t>v</t>
    </r>
    <r>
      <rPr>
        <vertAlign val="subscript"/>
        <sz val="11"/>
        <rFont val="Calibri"/>
        <family val="2"/>
        <scheme val="minor"/>
      </rPr>
      <t>2</t>
    </r>
  </si>
  <si>
    <t>index</t>
  </si>
  <si>
    <t xml:space="preserve">Rotation Speed </t>
  </si>
  <si>
    <r>
      <t>v</t>
    </r>
    <r>
      <rPr>
        <vertAlign val="subscript"/>
        <sz val="11"/>
        <rFont val="Calibri"/>
        <family val="2"/>
        <scheme val="minor"/>
      </rPr>
      <t>R</t>
    </r>
  </si>
  <si>
    <t>Take-Off Disztance</t>
  </si>
  <si>
    <r>
      <t>S</t>
    </r>
    <r>
      <rPr>
        <vertAlign val="subscript"/>
        <sz val="11"/>
        <rFont val="Calibri"/>
        <family val="2"/>
        <scheme val="minor"/>
      </rPr>
      <t>TOFL</t>
    </r>
  </si>
  <si>
    <t>Index</t>
  </si>
  <si>
    <t>[- ]</t>
  </si>
  <si>
    <r>
      <t>T</t>
    </r>
    <r>
      <rPr>
        <vertAlign val="subscript"/>
        <sz val="11"/>
        <rFont val="Calibri"/>
        <family val="2"/>
        <scheme val="minor"/>
      </rPr>
      <t>.7 v</t>
    </r>
    <r>
      <rPr>
        <vertAlign val="subscript"/>
        <sz val="8"/>
        <rFont val="Calibri"/>
        <family val="2"/>
        <scheme val="minor"/>
      </rPr>
      <t>LO</t>
    </r>
  </si>
  <si>
    <r>
      <t>Thrust @ 0.7 v</t>
    </r>
    <r>
      <rPr>
        <vertAlign val="subscript"/>
        <sz val="11"/>
        <color theme="4"/>
        <rFont val="Calibri"/>
        <family val="2"/>
        <scheme val="minor"/>
      </rPr>
      <t>LOF</t>
    </r>
  </si>
  <si>
    <t>K1</t>
  </si>
  <si>
    <t>K2</t>
  </si>
  <si>
    <t>Bypass Ratio</t>
  </si>
  <si>
    <t>𝜆</t>
  </si>
  <si>
    <t>[lbs]</t>
  </si>
  <si>
    <r>
      <t>[ft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</si>
  <si>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[lbf]</t>
  </si>
  <si>
    <t>Flaps Posiotion</t>
  </si>
  <si>
    <t>[ft]</t>
  </si>
  <si>
    <t>x</t>
  </si>
  <si>
    <t>2 eng</t>
  </si>
  <si>
    <t>[lbf ]</t>
  </si>
  <si>
    <t>sign</t>
  </si>
  <si>
    <t>unit</t>
  </si>
  <si>
    <t>Loftin</t>
  </si>
  <si>
    <t>Kroo</t>
  </si>
  <si>
    <t>Roskam</t>
  </si>
  <si>
    <t>specifics</t>
  </si>
  <si>
    <t>Aircraft Parameter (Input)</t>
  </si>
  <si>
    <r>
      <t>T</t>
    </r>
    <r>
      <rPr>
        <vertAlign val="subscript"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/ N</t>
    </r>
  </si>
  <si>
    <r>
      <t>W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S</t>
    </r>
    <r>
      <rPr>
        <vertAlign val="subscript"/>
        <sz val="11"/>
        <rFont val="Calibri"/>
        <family val="2"/>
        <scheme val="minor"/>
      </rPr>
      <t>W</t>
    </r>
  </si>
  <si>
    <r>
      <t>T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W</t>
    </r>
    <r>
      <rPr>
        <vertAlign val="subscript"/>
        <sz val="11"/>
        <rFont val="Calibri"/>
        <family val="2"/>
        <scheme val="minor"/>
      </rPr>
      <t>TO</t>
    </r>
  </si>
  <si>
    <r>
      <t>[lbs/ft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</si>
  <si>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TOP</t>
    </r>
    <r>
      <rPr>
        <vertAlign val="subscript"/>
        <sz val="11"/>
        <color theme="1"/>
        <rFont val="Calibri"/>
        <family val="2"/>
        <scheme val="minor"/>
      </rPr>
      <t>25</t>
    </r>
  </si>
  <si>
    <r>
      <t>m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S</t>
    </r>
    <r>
      <rPr>
        <vertAlign val="subscript"/>
        <sz val="11"/>
        <rFont val="Calibri"/>
        <family val="2"/>
        <scheme val="minor"/>
      </rPr>
      <t>W</t>
    </r>
  </si>
  <si>
    <t>Take-Off Weight Force</t>
  </si>
  <si>
    <r>
      <t>W</t>
    </r>
    <r>
      <rPr>
        <vertAlign val="subscript"/>
        <sz val="11"/>
        <color theme="1"/>
        <rFont val="Calibri"/>
        <family val="2"/>
        <scheme val="minor"/>
      </rPr>
      <t>TO</t>
    </r>
  </si>
  <si>
    <r>
      <t>m</t>
    </r>
    <r>
      <rPr>
        <vertAlign val="subscript"/>
        <sz val="11"/>
        <color theme="1"/>
        <rFont val="Calibri"/>
        <family val="2"/>
        <scheme val="minor"/>
      </rPr>
      <t>TO</t>
    </r>
  </si>
  <si>
    <t>kg</t>
  </si>
  <si>
    <t>lbs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</si>
  <si>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</si>
  <si>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ð</t>
  </si>
  <si>
    <t>lbf</t>
  </si>
  <si>
    <t>ft</t>
  </si>
  <si>
    <r>
      <rPr>
        <sz val="11"/>
        <color theme="1"/>
        <rFont val="Calibri"/>
        <family val="2"/>
      </rPr>
      <t>ft</t>
    </r>
    <r>
      <rPr>
        <vertAlign val="superscript"/>
        <sz val="11"/>
        <color theme="1"/>
        <rFont val="Calibri"/>
        <family val="2"/>
      </rPr>
      <t>2</t>
    </r>
  </si>
  <si>
    <r>
      <t>kg / 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</si>
  <si>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lbs / ft</t>
    </r>
    <r>
      <rPr>
        <vertAlign val="superscript"/>
        <sz val="11"/>
        <color theme="1"/>
        <rFont val="Calibri"/>
        <family val="2"/>
        <scheme val="minor"/>
      </rPr>
      <t>2</t>
    </r>
  </si>
  <si>
    <t>metrisch</t>
  </si>
  <si>
    <t>imperial</t>
  </si>
  <si>
    <t>factor</t>
  </si>
  <si>
    <t>g</t>
  </si>
  <si>
    <t>Weight Force</t>
  </si>
  <si>
    <r>
      <t>[ft /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</si>
  <si>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[m /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</si>
  <si>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[N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</si>
  <si>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[lbf / f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</si>
  <si>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metric</t>
  </si>
  <si>
    <r>
      <t>[lbs /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</si>
  <si>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 ft ]</t>
  </si>
  <si>
    <t>[ m ]</t>
  </si>
  <si>
    <r>
      <t>[ lbs /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]</t>
    </r>
  </si>
  <si>
    <r>
      <t>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/lbs 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</si>
  <si>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 kg</t>
    </r>
  </si>
  <si>
    <r>
      <t>[m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 kg]</t>
    </r>
  </si>
  <si>
    <t>Kunduu</t>
  </si>
  <si>
    <r>
      <t>kg / 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</si>
  <si>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lbs / ft</t>
    </r>
    <r>
      <rPr>
        <vertAlign val="superscript"/>
        <sz val="11"/>
        <color theme="1"/>
        <rFont val="Calibri"/>
        <family val="2"/>
        <scheme val="minor"/>
      </rPr>
      <t>3</t>
    </r>
  </si>
  <si>
    <t>https://de.scribd.com/document/329784986/Aircraft-Design-pdf</t>
  </si>
  <si>
    <t>https://www.academia.edu/35646472/Aircraft_design_Ajoy_Kumar_Kundu</t>
  </si>
  <si>
    <t>Aircraft Design:Synthesis andAnalysis</t>
  </si>
  <si>
    <t>Stanford</t>
  </si>
  <si>
    <t>Ilan Kroo</t>
  </si>
  <si>
    <t>January 2001</t>
  </si>
  <si>
    <t>Aircraft design; Ajoy Kumar Kundu</t>
  </si>
  <si>
    <t>Published in the United States of America by Cambridge University Press, New Yor</t>
  </si>
  <si>
    <t>https://www.cambridge.org/de/academic/subjects/engineering/aerospace-engineering/aircraft-design?format=HB&amp;isbn=9780521885164</t>
  </si>
  <si>
    <t xml:space="preserve"> </t>
  </si>
  <si>
    <t>page</t>
  </si>
  <si>
    <r>
      <t>CLmax</t>
    </r>
    <r>
      <rPr>
        <vertAlign val="subscript"/>
        <sz val="11"/>
        <color theme="1"/>
        <rFont val="Calibri"/>
        <family val="2"/>
        <scheme val="minor"/>
      </rPr>
      <t>TO</t>
    </r>
  </si>
  <si>
    <t>CLmax in Take-Off-Conficuration</t>
  </si>
  <si>
    <r>
      <t>v</t>
    </r>
    <r>
      <rPr>
        <vertAlign val="subscript"/>
        <sz val="11"/>
        <rFont val="Calibri"/>
        <family val="2"/>
        <scheme val="minor"/>
      </rPr>
      <t>avg</t>
    </r>
  </si>
  <si>
    <t>TOFL</t>
  </si>
  <si>
    <t>3 eng</t>
  </si>
  <si>
    <t>4 eng</t>
  </si>
  <si>
    <r>
      <t>T</t>
    </r>
    <r>
      <rPr>
        <vertAlign val="subscript"/>
        <sz val="11"/>
        <rFont val="Calibri"/>
        <family val="2"/>
        <scheme val="minor"/>
      </rPr>
      <t>SLS</t>
    </r>
  </si>
  <si>
    <r>
      <t>[kg/m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</si>
  <si>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r>
      <t>[ N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]</t>
    </r>
  </si>
  <si>
    <r>
      <t>[slugs/ 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</si>
  <si>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Aspect Ratio °</t>
  </si>
  <si>
    <t>No Flap</t>
  </si>
  <si>
    <t>Plain Flap</t>
  </si>
  <si>
    <t>Slotted Flap</t>
  </si>
  <si>
    <t>Fowler Flap</t>
  </si>
  <si>
    <t>Double Slotted Flap</t>
  </si>
  <si>
    <t>Double Slotted Flap &amp; Slat</t>
  </si>
  <si>
    <t>Triple Slotted Flap &amp; Slat</t>
  </si>
  <si>
    <t>Analytical Loftin (k=2.34)</t>
  </si>
  <si>
    <t>Analytical Kroo</t>
  </si>
  <si>
    <t>Analytical Kunduu</t>
  </si>
  <si>
    <t>results</t>
  </si>
  <si>
    <r>
      <rPr>
        <b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[m]</t>
    </r>
  </si>
  <si>
    <t>Analytical Kunduu (0.75)</t>
  </si>
  <si>
    <t>Kunduu (0.75)</t>
  </si>
  <si>
    <t>2&amp;4 eng</t>
  </si>
  <si>
    <t>Loftin (y = m x+ b)</t>
  </si>
  <si>
    <r>
      <rPr>
        <b/>
        <sz val="16"/>
        <color theme="4"/>
        <rFont val="Calibri"/>
        <family val="2"/>
        <scheme val="minor"/>
      </rPr>
      <t>Loftin</t>
    </r>
    <r>
      <rPr>
        <b/>
        <sz val="14"/>
        <color theme="4"/>
        <rFont val="Calibri"/>
        <family val="2"/>
        <scheme val="minor"/>
      </rPr>
      <t xml:space="preserve"> (</t>
    </r>
    <r>
      <rPr>
        <b/>
        <sz val="16"/>
        <color theme="4"/>
        <rFont val="Calibri"/>
        <family val="2"/>
        <scheme val="minor"/>
      </rPr>
      <t>s</t>
    </r>
    <r>
      <rPr>
        <b/>
        <sz val="10"/>
        <color theme="4"/>
        <rFont val="Calibri"/>
        <family val="2"/>
        <scheme val="minor"/>
      </rPr>
      <t>TOFL</t>
    </r>
    <r>
      <rPr>
        <b/>
        <sz val="14"/>
        <color theme="4"/>
        <rFont val="Calibri"/>
        <family val="2"/>
        <scheme val="minor"/>
      </rPr>
      <t>=</t>
    </r>
    <r>
      <rPr>
        <b/>
        <sz val="16"/>
        <color theme="4"/>
        <rFont val="Calibri"/>
        <family val="2"/>
        <scheme val="minor"/>
      </rPr>
      <t>k</t>
    </r>
    <r>
      <rPr>
        <b/>
        <sz val="10"/>
        <color theme="4"/>
        <rFont val="Calibri"/>
        <family val="2"/>
        <scheme val="minor"/>
      </rPr>
      <t>TO</t>
    </r>
    <r>
      <rPr>
        <b/>
        <sz val="14"/>
        <color theme="4"/>
        <rFont val="Calibri"/>
        <family val="2"/>
        <scheme val="minor"/>
      </rPr>
      <t xml:space="preserve"> </t>
    </r>
    <r>
      <rPr>
        <b/>
        <sz val="14"/>
        <color theme="4"/>
        <rFont val="Calibri"/>
        <family val="2"/>
      </rPr>
      <t>∙</t>
    </r>
    <r>
      <rPr>
        <b/>
        <sz val="16"/>
        <color theme="4"/>
        <rFont val="Calibri"/>
        <family val="2"/>
        <scheme val="minor"/>
      </rPr>
      <t>x</t>
    </r>
    <r>
      <rPr>
        <b/>
        <sz val="14"/>
        <color theme="4"/>
        <rFont val="Calibri"/>
        <family val="2"/>
        <scheme val="minor"/>
      </rPr>
      <t>)</t>
    </r>
  </si>
  <si>
    <t>Factor (Kunduu)</t>
  </si>
  <si>
    <t>&lt;&lt;</t>
  </si>
  <si>
    <t>enter</t>
  </si>
  <si>
    <t>Loftin  (modified)</t>
  </si>
  <si>
    <t>Kunduu (0.57)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</si>
</sst>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#,##0.0000"/>
  </numFmts>
  <fonts count="2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bscript"/>
      <sz val="8"/>
      <name val="Calibri"/>
      <family val="2"/>
      <scheme val="minor"/>
    </font>
    <font>
      <vertAlign val="subscript"/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4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double">
        <color theme="0"/>
      </left>
      <right/>
      <top/>
      <bottom/>
      <diagonal/>
    </border>
    <border>
      <left style="double">
        <color theme="1"/>
      </left>
      <right/>
      <top style="double">
        <color theme="1"/>
      </top>
      <bottom style="thin">
        <color theme="0"/>
      </bottom>
      <diagonal/>
    </border>
    <border>
      <left/>
      <right/>
      <top style="double">
        <color theme="1"/>
      </top>
      <bottom style="thin">
        <color theme="0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 style="thin">
        <color theme="0"/>
      </top>
      <bottom style="double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1">
    <xf numFmtId="0" fontId="0" fillId="0" borderId="0" xfId="0"/>
    <xf numFmtId="0" fontId="3" fillId="2" borderId="2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 textRotation="180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2" xfId="0" applyFill="1" applyBorder="1"/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11" fontId="4" fillId="2" borderId="0" xfId="0" applyNumberFormat="1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6" fontId="0" fillId="2" borderId="0" xfId="0" applyNumberForma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164" fontId="0" fillId="2" borderId="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166" fontId="0" fillId="2" borderId="7" xfId="0" applyNumberForma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0" fillId="0" borderId="7" xfId="0" applyBorder="1"/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0" fillId="0" borderId="0" xfId="0" applyBorder="1"/>
    <xf numFmtId="0" fontId="3" fillId="2" borderId="0" xfId="0" applyFont="1" applyFill="1" applyBorder="1" applyAlignment="1"/>
    <xf numFmtId="0" fontId="2" fillId="2" borderId="0" xfId="0" applyFont="1" applyFill="1" applyBorder="1"/>
    <xf numFmtId="0" fontId="0" fillId="2" borderId="0" xfId="0" applyFill="1" applyBorder="1"/>
    <xf numFmtId="0" fontId="2" fillId="2" borderId="7" xfId="0" applyFont="1" applyFill="1" applyBorder="1" applyAlignment="1">
      <alignment horizontal="left"/>
    </xf>
    <xf numFmtId="0" fontId="10" fillId="2" borderId="1" xfId="0" applyFont="1" applyFill="1" applyBorder="1" applyAlignment="1"/>
    <xf numFmtId="0" fontId="3" fillId="2" borderId="0" xfId="0" applyFont="1" applyFill="1" applyAlignment="1"/>
    <xf numFmtId="0" fontId="4" fillId="2" borderId="8" xfId="0" applyFont="1" applyFill="1" applyBorder="1" applyAlignment="1">
      <alignment horizontal="left"/>
    </xf>
    <xf numFmtId="0" fontId="10" fillId="2" borderId="9" xfId="0" applyFont="1" applyFill="1" applyBorder="1" applyAlignment="1"/>
    <xf numFmtId="0" fontId="3" fillId="2" borderId="7" xfId="0" applyFont="1" applyFill="1" applyBorder="1" applyAlignment="1"/>
    <xf numFmtId="0" fontId="0" fillId="2" borderId="8" xfId="0" applyFill="1" applyBorder="1" applyAlignment="1">
      <alignment horizontal="center"/>
    </xf>
    <xf numFmtId="0" fontId="2" fillId="2" borderId="1" xfId="0" applyFont="1" applyFill="1" applyBorder="1" applyAlignment="1"/>
    <xf numFmtId="0" fontId="2" fillId="2" borderId="9" xfId="0" applyFont="1" applyFill="1" applyBorder="1" applyAlignment="1"/>
    <xf numFmtId="0" fontId="0" fillId="0" borderId="0" xfId="0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 textRotation="180"/>
    </xf>
    <xf numFmtId="0" fontId="0" fillId="0" borderId="0" xfId="0" applyFill="1"/>
    <xf numFmtId="0" fontId="2" fillId="0" borderId="0" xfId="0" applyFont="1" applyFill="1" applyBorder="1" applyAlignment="1"/>
    <xf numFmtId="1" fontId="10" fillId="2" borderId="0" xfId="0" applyNumberFormat="1" applyFont="1" applyFill="1" applyBorder="1" applyAlignment="1"/>
    <xf numFmtId="1" fontId="10" fillId="2" borderId="1" xfId="0" applyNumberFormat="1" applyFont="1" applyFill="1" applyBorder="1" applyAlignment="1"/>
    <xf numFmtId="166" fontId="0" fillId="2" borderId="0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center"/>
    </xf>
    <xf numFmtId="0" fontId="17" fillId="2" borderId="0" xfId="0" applyFont="1" applyFill="1" applyAlignment="1">
      <alignment horizontal="left"/>
    </xf>
    <xf numFmtId="0" fontId="3" fillId="2" borderId="0" xfId="0" applyFont="1" applyFill="1"/>
    <xf numFmtId="0" fontId="17" fillId="2" borderId="0" xfId="0" applyFont="1" applyFill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8" fillId="0" borderId="12" xfId="0" applyFont="1" applyBorder="1" applyAlignment="1">
      <alignment horizontal="left"/>
    </xf>
    <xf numFmtId="167" fontId="0" fillId="0" borderId="7" xfId="0" applyNumberFormat="1" applyBorder="1" applyAlignment="1">
      <alignment horizontal="left"/>
    </xf>
    <xf numFmtId="165" fontId="0" fillId="0" borderId="7" xfId="0" applyNumberFormat="1" applyBorder="1" applyAlignment="1">
      <alignment horizontal="left"/>
    </xf>
    <xf numFmtId="164" fontId="0" fillId="0" borderId="7" xfId="0" applyNumberFormat="1" applyBorder="1" applyAlignment="1">
      <alignment horizontal="left"/>
    </xf>
    <xf numFmtId="0" fontId="3" fillId="0" borderId="12" xfId="0" applyFont="1" applyBorder="1"/>
    <xf numFmtId="0" fontId="14" fillId="0" borderId="13" xfId="0" applyFont="1" applyBorder="1" applyAlignment="1">
      <alignment horizontal="left"/>
    </xf>
    <xf numFmtId="0" fontId="0" fillId="2" borderId="14" xfId="0" applyFill="1" applyBorder="1" applyAlignment="1">
      <alignment horizontal="center"/>
    </xf>
    <xf numFmtId="0" fontId="0" fillId="0" borderId="14" xfId="0" applyBorder="1"/>
    <xf numFmtId="0" fontId="3" fillId="0" borderId="0" xfId="0" applyFont="1" applyBorder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14" xfId="0" applyNumberFormat="1" applyBorder="1"/>
    <xf numFmtId="0" fontId="0" fillId="0" borderId="14" xfId="0" applyBorder="1" applyAlignment="1">
      <alignment horizontal="left"/>
    </xf>
    <xf numFmtId="2" fontId="0" fillId="0" borderId="14" xfId="0" applyNumberFormat="1" applyBorder="1" applyAlignment="1">
      <alignment horizontal="left"/>
    </xf>
    <xf numFmtId="0" fontId="0" fillId="2" borderId="14" xfId="0" applyFill="1" applyBorder="1" applyAlignment="1">
      <alignment horizontal="left"/>
    </xf>
    <xf numFmtId="2" fontId="0" fillId="2" borderId="14" xfId="0" applyNumberFormat="1" applyFill="1" applyBorder="1" applyAlignment="1">
      <alignment horizontal="left"/>
    </xf>
    <xf numFmtId="166" fontId="0" fillId="0" borderId="14" xfId="0" applyNumberFormat="1" applyBorder="1" applyAlignment="1">
      <alignment horizontal="left"/>
    </xf>
    <xf numFmtId="1" fontId="0" fillId="0" borderId="14" xfId="0" applyNumberFormat="1" applyBorder="1" applyAlignment="1">
      <alignment horizontal="left"/>
    </xf>
    <xf numFmtId="0" fontId="17" fillId="2" borderId="0" xfId="0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left"/>
    </xf>
    <xf numFmtId="0" fontId="1" fillId="0" borderId="7" xfId="1" applyBorder="1"/>
    <xf numFmtId="0" fontId="21" fillId="0" borderId="7" xfId="0" applyFont="1" applyBorder="1"/>
    <xf numFmtId="0" fontId="21" fillId="0" borderId="0" xfId="0" applyFont="1" applyBorder="1"/>
    <xf numFmtId="0" fontId="21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1" fontId="0" fillId="2" borderId="0" xfId="0" applyNumberFormat="1" applyFill="1"/>
    <xf numFmtId="0" fontId="0" fillId="0" borderId="0" xfId="0" applyBorder="1" applyAlignment="1">
      <alignment horizontal="left"/>
    </xf>
    <xf numFmtId="0" fontId="14" fillId="0" borderId="16" xfId="0" applyFont="1" applyBorder="1" applyAlignment="1">
      <alignment horizontal="left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/>
    <xf numFmtId="0" fontId="0" fillId="0" borderId="7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4" fillId="0" borderId="22" xfId="0" applyFont="1" applyBorder="1"/>
    <xf numFmtId="0" fontId="0" fillId="0" borderId="23" xfId="0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0" fillId="3" borderId="0" xfId="0" applyFill="1" applyBorder="1" applyAlignment="1">
      <alignment horizontal="center"/>
    </xf>
    <xf numFmtId="166" fontId="0" fillId="0" borderId="0" xfId="0" applyNumberFormat="1"/>
    <xf numFmtId="0" fontId="2" fillId="2" borderId="0" xfId="0" applyFont="1" applyFill="1" applyBorder="1" applyAlignment="1"/>
    <xf numFmtId="0" fontId="1" fillId="0" borderId="0" xfId="1" applyBorder="1"/>
    <xf numFmtId="0" fontId="2" fillId="3" borderId="0" xfId="0" applyFont="1" applyFill="1" applyBorder="1" applyAlignment="1"/>
    <xf numFmtId="0" fontId="3" fillId="3" borderId="7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2" fillId="3" borderId="9" xfId="0" applyFont="1" applyFill="1" applyBorder="1" applyAlignment="1"/>
    <xf numFmtId="0" fontId="3" fillId="3" borderId="7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0" fillId="3" borderId="7" xfId="0" applyNumberFormat="1" applyFill="1" applyBorder="1" applyAlignment="1">
      <alignment horizontal="center"/>
    </xf>
    <xf numFmtId="0" fontId="10" fillId="3" borderId="9" xfId="0" applyFont="1" applyFill="1" applyBorder="1" applyAlignment="1"/>
    <xf numFmtId="2" fontId="0" fillId="3" borderId="7" xfId="0" applyNumberFormat="1" applyFill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166" fontId="0" fillId="3" borderId="7" xfId="0" applyNumberFormat="1" applyFill="1" applyBorder="1" applyAlignment="1">
      <alignment horizontal="center"/>
    </xf>
    <xf numFmtId="0" fontId="0" fillId="3" borderId="7" xfId="0" applyFill="1" applyBorder="1"/>
    <xf numFmtId="0" fontId="0" fillId="3" borderId="0" xfId="0" applyFill="1" applyBorder="1"/>
    <xf numFmtId="0" fontId="1" fillId="3" borderId="0" xfId="1" applyFill="1" applyBorder="1"/>
    <xf numFmtId="0" fontId="21" fillId="3" borderId="0" xfId="0" applyFont="1" applyFill="1" applyBorder="1"/>
    <xf numFmtId="0" fontId="6" fillId="3" borderId="0" xfId="0" applyFont="1" applyFill="1" applyBorder="1" applyAlignment="1">
      <alignment horizontal="left" textRotation="180"/>
    </xf>
    <xf numFmtId="0" fontId="10" fillId="2" borderId="28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6" fontId="15" fillId="2" borderId="5" xfId="0" applyNumberFormat="1" applyFont="1" applyFill="1" applyBorder="1" applyAlignment="1">
      <alignment horizontal="center"/>
    </xf>
    <xf numFmtId="166" fontId="15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166" fontId="0" fillId="2" borderId="5" xfId="0" applyNumberFormat="1" applyFill="1" applyBorder="1" applyAlignment="1">
      <alignment horizontal="center"/>
    </xf>
    <xf numFmtId="166" fontId="0" fillId="2" borderId="6" xfId="0" applyNumberForma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" fontId="15" fillId="2" borderId="5" xfId="0" applyNumberFormat="1" applyFont="1" applyFill="1" applyBorder="1" applyAlignment="1">
      <alignment horizontal="center"/>
    </xf>
    <xf numFmtId="1" fontId="15" fillId="2" borderId="6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" fontId="15" fillId="2" borderId="26" xfId="0" applyNumberFormat="1" applyFont="1" applyFill="1" applyBorder="1" applyAlignment="1">
      <alignment horizontal="center"/>
    </xf>
    <xf numFmtId="1" fontId="15" fillId="2" borderId="27" xfId="0" applyNumberFormat="1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1" fontId="0" fillId="2" borderId="5" xfId="0" applyNumberFormat="1" applyFill="1" applyBorder="1" applyAlignment="1">
      <alignment horizontal="center"/>
    </xf>
    <xf numFmtId="11" fontId="0" fillId="2" borderId="6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2" borderId="0" xfId="0" applyFont="1" applyFill="1" applyAlignment="1"/>
    <xf numFmtId="1" fontId="0" fillId="0" borderId="0" xfId="0" applyNumberFormat="1" applyBorder="1" applyAlignment="1">
      <alignment horizontal="left"/>
    </xf>
    <xf numFmtId="1" fontId="0" fillId="0" borderId="24" xfId="0" applyNumberFormat="1" applyBorder="1" applyAlignment="1">
      <alignment horizontal="left"/>
    </xf>
    <xf numFmtId="0" fontId="0" fillId="4" borderId="32" xfId="0" applyFill="1" applyBorder="1"/>
    <xf numFmtId="0" fontId="0" fillId="4" borderId="33" xfId="0" applyFill="1" applyBorder="1"/>
    <xf numFmtId="0" fontId="0" fillId="0" borderId="31" xfId="0" applyBorder="1"/>
    <xf numFmtId="0" fontId="0" fillId="4" borderId="0" xfId="0" applyFill="1" applyBorder="1"/>
    <xf numFmtId="0" fontId="0" fillId="4" borderId="24" xfId="0" applyFill="1" applyBorder="1"/>
    <xf numFmtId="0" fontId="0" fillId="0" borderId="34" xfId="0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14" fillId="0" borderId="0" xfId="0" applyFont="1"/>
    <xf numFmtId="2" fontId="0" fillId="3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left"/>
    </xf>
    <xf numFmtId="1" fontId="3" fillId="2" borderId="0" xfId="0" applyNumberFormat="1" applyFont="1" applyFill="1" applyAlignment="1">
      <alignment horizontal="left"/>
    </xf>
    <xf numFmtId="0" fontId="0" fillId="0" borderId="30" xfId="0" applyBorder="1"/>
    <xf numFmtId="0" fontId="0" fillId="0" borderId="30" xfId="0" applyBorder="1" applyAlignment="1">
      <alignment horizontal="center"/>
    </xf>
    <xf numFmtId="0" fontId="23" fillId="2" borderId="0" xfId="0" applyFont="1" applyFill="1" applyAlignment="1">
      <alignment horizontal="left"/>
    </xf>
  </cellXfs>
  <cellStyles count="2">
    <cellStyle name="Link" xfId="1" builtinId="8"/>
    <cellStyle name="Standard" xfId="0" builtinId="0"/>
  </cellStyles>
  <dxfs count="2">
    <dxf>
      <fill>
        <patternFill>
          <bgColor theme="0" tint="-4.9989318521683403E-2"/>
        </patternFill>
      </fill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59E-2"/>
                  <c:y val="4.16666666666666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FA-49F2-B72C-F18BA3A8402B}"/>
            </c:ext>
          </c:extLst>
        </c:ser>
        <c:ser>
          <c:idx val="1"/>
          <c:order val="1"/>
          <c:tx>
            <c:strRef>
              <c:f>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44E-2"/>
                  <c:y val="-9.259259259259343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FA-49F2-B72C-F18BA3A8402B}"/>
            </c:ext>
          </c:extLst>
        </c:ser>
        <c:ser>
          <c:idx val="2"/>
          <c:order val="2"/>
          <c:tx>
            <c:strRef>
              <c:f>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24E-2"/>
                  <c:y val="-5.32403762029746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1FA-49F2-B72C-F18BA3A8402B}"/>
            </c:ext>
          </c:extLst>
        </c:ser>
        <c:ser>
          <c:idx val="3"/>
          <c:order val="3"/>
          <c:tx>
            <c:strRef>
              <c:f>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4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1FA-49F2-B72C-F18BA3A8402B}"/>
            </c:ext>
          </c:extLst>
        </c:ser>
        <c:ser>
          <c:idx val="4"/>
          <c:order val="4"/>
          <c:tx>
            <c:strRef>
              <c:f>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6E-2"/>
                  <c:y val="-0.1712962962962963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1FA-49F2-B72C-F18BA3A8402B}"/>
            </c:ext>
          </c:extLst>
        </c:ser>
        <c:ser>
          <c:idx val="5"/>
          <c:order val="5"/>
          <c:tx>
            <c:strRef>
              <c:f>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15E-2"/>
                  <c:y val="-0.2222222222222222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1FA-49F2-B72C-F18BA3A8402B}"/>
            </c:ext>
          </c:extLst>
        </c:ser>
        <c:ser>
          <c:idx val="6"/>
          <c:order val="6"/>
          <c:tx>
            <c:strRef>
              <c:f>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1FA-49F2-B72C-F18BA3A8402B}"/>
            </c:ext>
          </c:extLst>
        </c:ser>
        <c:ser>
          <c:idx val="7"/>
          <c:order val="7"/>
          <c:tx>
            <c:strRef>
              <c:f>CLmax_Estimation!$E$9</c:f>
              <c:strCache>
                <c:ptCount val="1"/>
                <c:pt idx="0">
                  <c:v>𝜑25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2494002790086579E-2"/>
                  <c:y val="-0.25533876076412954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A-49F2-B72C-F18BA3A840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CLmax_Estimation!$F$9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CLmax_Estimation!$E$32</c:f>
              <c:numCache>
                <c:formatCode>0.000</c:formatCode>
                <c:ptCount val="1"/>
                <c:pt idx="0">
                  <c:v>1.9576248199991639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1FA-49F2-B72C-F18BA3A84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08847"/>
        <c:axId val="1487909263"/>
      </c:scatterChart>
      <c:valAx>
        <c:axId val="1487908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9263"/>
        <c:crosses val="autoZero"/>
        <c:crossBetween val="midCat"/>
      </c:valAx>
      <c:valAx>
        <c:axId val="14879092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8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[1]CLmax_Raymer!$B$6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59E-2"/>
                  <c:y val="4.16666666666666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86-470E-A10B-C9BE07A46C35}"/>
            </c:ext>
          </c:extLst>
        </c:ser>
        <c:ser>
          <c:idx val="1"/>
          <c:order val="1"/>
          <c:tx>
            <c:strRef>
              <c:f>[1]CLmax_Raymer!$B$7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44E-2"/>
                  <c:y val="-9.259259259259343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A86-470E-A10B-C9BE07A46C35}"/>
            </c:ext>
          </c:extLst>
        </c:ser>
        <c:ser>
          <c:idx val="2"/>
          <c:order val="2"/>
          <c:tx>
            <c:strRef>
              <c:f>[1]CLmax_Raymer!$B$8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24E-2"/>
                  <c:y val="-5.32403762029746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A86-470E-A10B-C9BE07A46C35}"/>
            </c:ext>
          </c:extLst>
        </c:ser>
        <c:ser>
          <c:idx val="3"/>
          <c:order val="3"/>
          <c:tx>
            <c:strRef>
              <c:f>[1]CLmax_Raymer!$B$9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4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A86-470E-A10B-C9BE07A46C35}"/>
            </c:ext>
          </c:extLst>
        </c:ser>
        <c:ser>
          <c:idx val="4"/>
          <c:order val="4"/>
          <c:tx>
            <c:strRef>
              <c:f>[1]CLmax_Raymer!$B$10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6E-2"/>
                  <c:y val="-0.1712962962962963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A86-470E-A10B-C9BE07A46C35}"/>
            </c:ext>
          </c:extLst>
        </c:ser>
        <c:ser>
          <c:idx val="5"/>
          <c:order val="5"/>
          <c:tx>
            <c:strRef>
              <c:f>[1]CLmax_Raymer!$B$11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15E-2"/>
                  <c:y val="-0.2222222222222222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A86-470E-A10B-C9BE07A46C35}"/>
            </c:ext>
          </c:extLst>
        </c:ser>
        <c:ser>
          <c:idx val="6"/>
          <c:order val="6"/>
          <c:tx>
            <c:strRef>
              <c:f>[1]CLmax_Raymer!$B$12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197438283177563E-2"/>
                  <c:y val="-0.2916666666666666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30139982502187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3A86-470E-A10B-C9BE07A46C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[1]CLmax_Raymer!$C$5:$I$5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[1]CLmax_Raymer!$C$12:$I$12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A86-470E-A10B-C9BE07A46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08847"/>
        <c:axId val="1487909263"/>
      </c:scatterChart>
      <c:valAx>
        <c:axId val="1487908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9263"/>
        <c:crosses val="autoZero"/>
        <c:crossBetween val="midCat"/>
      </c:valAx>
      <c:valAx>
        <c:axId val="14879092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8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Kunduu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Plots!$C$18</c:f>
              <c:strCache>
                <c:ptCount val="1"/>
                <c:pt idx="0">
                  <c:v>2 eng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644084071026928"/>
                  <c:y val="-2.043978010994505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37.5x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Plots!$C$20:$C$27</c:f>
              <c:numCache>
                <c:formatCode>0</c:formatCode>
                <c:ptCount val="8"/>
                <c:pt idx="0">
                  <c:v>1875</c:v>
                </c:pt>
                <c:pt idx="1">
                  <c:v>3750</c:v>
                </c:pt>
                <c:pt idx="2">
                  <c:v>5625</c:v>
                </c:pt>
                <c:pt idx="3">
                  <c:v>7500</c:v>
                </c:pt>
                <c:pt idx="4">
                  <c:v>9375</c:v>
                </c:pt>
                <c:pt idx="5">
                  <c:v>11250</c:v>
                </c:pt>
                <c:pt idx="6">
                  <c:v>13125</c:v>
                </c:pt>
                <c:pt idx="7">
                  <c:v>15000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B8-4613-B698-846075211959}"/>
            </c:ext>
          </c:extLst>
        </c:ser>
        <c:ser>
          <c:idx val="1"/>
          <c:order val="1"/>
          <c:tx>
            <c:strRef>
              <c:f>Plots!$D$18</c:f>
              <c:strCache>
                <c:ptCount val="1"/>
                <c:pt idx="0">
                  <c:v>3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644084071026928"/>
                  <c:y val="-1.59766573406210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2"/>
                        </a:solidFill>
                      </a:rPr>
                      <a:t>y = 28.5x</a:t>
                    </a:r>
                    <a:endParaRPr lang="en-US" b="1">
                      <a:solidFill>
                        <a:schemeClr val="accent2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Plots!$D$20:$D$27</c:f>
              <c:numCache>
                <c:formatCode>0</c:formatCode>
                <c:ptCount val="8"/>
                <c:pt idx="0">
                  <c:v>1425</c:v>
                </c:pt>
                <c:pt idx="1">
                  <c:v>2850</c:v>
                </c:pt>
                <c:pt idx="2">
                  <c:v>4275</c:v>
                </c:pt>
                <c:pt idx="3">
                  <c:v>5700</c:v>
                </c:pt>
                <c:pt idx="4">
                  <c:v>7125</c:v>
                </c:pt>
                <c:pt idx="5">
                  <c:v>8550</c:v>
                </c:pt>
                <c:pt idx="6">
                  <c:v>9975</c:v>
                </c:pt>
                <c:pt idx="7">
                  <c:v>11400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B8-4613-B698-846075211959}"/>
            </c:ext>
          </c:extLst>
        </c:ser>
        <c:ser>
          <c:idx val="2"/>
          <c:order val="2"/>
          <c:tx>
            <c:strRef>
              <c:f>Plots!$E$18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5299300087489065"/>
                  <c:y val="-9.3175853018372709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65000"/>
                          </a:schemeClr>
                        </a:solidFill>
                      </a:rPr>
                      <a:t>y = 25.1x</a:t>
                    </a:r>
                    <a:endParaRPr lang="en-US" b="1">
                      <a:solidFill>
                        <a:schemeClr val="bg1">
                          <a:lumMod val="6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Plots!$E$20:$E$27</c:f>
              <c:numCache>
                <c:formatCode>0</c:formatCode>
                <c:ptCount val="8"/>
                <c:pt idx="0">
                  <c:v>1255</c:v>
                </c:pt>
                <c:pt idx="1">
                  <c:v>2510</c:v>
                </c:pt>
                <c:pt idx="2">
                  <c:v>3765</c:v>
                </c:pt>
                <c:pt idx="3">
                  <c:v>5020</c:v>
                </c:pt>
                <c:pt idx="4">
                  <c:v>6275</c:v>
                </c:pt>
                <c:pt idx="5">
                  <c:v>7530</c:v>
                </c:pt>
                <c:pt idx="6">
                  <c:v>8785</c:v>
                </c:pt>
                <c:pt idx="7">
                  <c:v>10040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CB8-4613-B698-846075211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99632"/>
        <c:axId val="22890064"/>
      </c:scatterChart>
      <c:valAx>
        <c:axId val="2289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0064"/>
        <c:crosses val="autoZero"/>
        <c:crossBetween val="midCat"/>
      </c:valAx>
      <c:valAx>
        <c:axId val="2289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effectLst/>
                  </a:rPr>
                  <a:t>TOFL [ft]</a:t>
                </a:r>
                <a:endParaRPr lang="de-DE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5575940507436565"/>
          <c:y val="0.16542723826188396"/>
          <c:w val="0.10332647159398431"/>
          <c:h val="0.25300027151778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Kroo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626159230096238"/>
          <c:y val="0.17171296296296298"/>
          <c:w val="0.5271128608923884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Plots!$C$4</c:f>
              <c:strCache>
                <c:ptCount val="1"/>
                <c:pt idx="0">
                  <c:v>2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0.36361628576915689"/>
                  <c:y val="-4.583184654788242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0.0185x</a:t>
                    </a:r>
                    <a:r>
                      <a:rPr lang="en-US" b="1" baseline="30000">
                        <a:solidFill>
                          <a:schemeClr val="accent5"/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 + 28.43x + 857.4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Plots!$C$6:$C$13</c:f>
              <c:numCache>
                <c:formatCode>0</c:formatCode>
                <c:ptCount val="8"/>
                <c:pt idx="0">
                  <c:v>2325.15</c:v>
                </c:pt>
                <c:pt idx="1">
                  <c:v>3885.4</c:v>
                </c:pt>
                <c:pt idx="2">
                  <c:v>5538.15</c:v>
                </c:pt>
                <c:pt idx="3">
                  <c:v>7283.4</c:v>
                </c:pt>
                <c:pt idx="4">
                  <c:v>9121.15</c:v>
                </c:pt>
                <c:pt idx="5">
                  <c:v>11051.4</c:v>
                </c:pt>
                <c:pt idx="6">
                  <c:v>13074.15</c:v>
                </c:pt>
                <c:pt idx="7">
                  <c:v>15189.4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16-4F8C-8D9E-1E0DF95AA145}"/>
            </c:ext>
          </c:extLst>
        </c:ser>
        <c:ser>
          <c:idx val="1"/>
          <c:order val="1"/>
          <c:tx>
            <c:strRef>
              <c:f>Plots!$D$4</c:f>
              <c:strCache>
                <c:ptCount val="1"/>
                <c:pt idx="0">
                  <c:v>3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0.36361628576915689"/>
                  <c:y val="-1.614847237750870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2"/>
                        </a:solidFill>
                      </a:rPr>
                      <a:t>y = 0.0123x</a:t>
                    </a:r>
                    <a:r>
                      <a:rPr lang="en-US" b="1" baseline="30000">
                        <a:solidFill>
                          <a:schemeClr val="accent2"/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accent2"/>
                        </a:solidFill>
                      </a:rPr>
                      <a:t> + 26.91x + 667.9</a:t>
                    </a:r>
                    <a:endParaRPr lang="en-US" b="1">
                      <a:solidFill>
                        <a:schemeClr val="accent2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Plots!$D$6:$D$13</c:f>
              <c:numCache>
                <c:formatCode>0</c:formatCode>
                <c:ptCount val="8"/>
                <c:pt idx="0">
                  <c:v>2044.15</c:v>
                </c:pt>
                <c:pt idx="1">
                  <c:v>3481.9</c:v>
                </c:pt>
                <c:pt idx="2">
                  <c:v>4981.1499999999996</c:v>
                </c:pt>
                <c:pt idx="3">
                  <c:v>6541.9</c:v>
                </c:pt>
                <c:pt idx="4">
                  <c:v>8164.15</c:v>
                </c:pt>
                <c:pt idx="5">
                  <c:v>9847.9</c:v>
                </c:pt>
                <c:pt idx="6">
                  <c:v>11593.15</c:v>
                </c:pt>
                <c:pt idx="7">
                  <c:v>13399.9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16-4F8C-8D9E-1E0DF95AA145}"/>
            </c:ext>
          </c:extLst>
        </c:ser>
        <c:ser>
          <c:idx val="2"/>
          <c:order val="2"/>
          <c:tx>
            <c:strRef>
              <c:f>Plots!$E$4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0.35327946811526606"/>
                  <c:y val="1.25230947340041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0.0093x</a:t>
                    </a:r>
                    <a:r>
                      <a:rPr lang="en-US" b="1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+ 26.2x + 486.7</a:t>
                    </a:r>
                    <a:endParaRPr lang="en-US" b="1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Plots!$E$6:$E$13</c:f>
              <c:numCache>
                <c:formatCode>0</c:formatCode>
                <c:ptCount val="8"/>
                <c:pt idx="0">
                  <c:v>1819.95</c:v>
                </c:pt>
                <c:pt idx="1">
                  <c:v>3199.7</c:v>
                </c:pt>
                <c:pt idx="2">
                  <c:v>4625.95</c:v>
                </c:pt>
                <c:pt idx="3">
                  <c:v>6098.7</c:v>
                </c:pt>
                <c:pt idx="4">
                  <c:v>7617.95</c:v>
                </c:pt>
                <c:pt idx="5">
                  <c:v>9183.7000000000007</c:v>
                </c:pt>
                <c:pt idx="6">
                  <c:v>10795.95</c:v>
                </c:pt>
                <c:pt idx="7">
                  <c:v>12454.7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16-4F8C-8D9E-1E0DF95AA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99632"/>
        <c:axId val="22890064"/>
      </c:scatterChart>
      <c:valAx>
        <c:axId val="2289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layout>
            <c:manualLayout>
              <c:xMode val="edge"/>
              <c:yMode val="edge"/>
              <c:x val="0.38900770025698006"/>
              <c:y val="0.90116762217411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0064"/>
        <c:crosses val="autoZero"/>
        <c:crossBetween val="midCat"/>
      </c:valAx>
      <c:valAx>
        <c:axId val="2289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TOFL [ft]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3099934383202103"/>
          <c:y val="0.41397965879265103"/>
          <c:w val="0.1043165336040312"/>
          <c:h val="0.254911149701453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Kunduu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Plots!$C$18</c:f>
              <c:strCache>
                <c:ptCount val="1"/>
                <c:pt idx="0">
                  <c:v>2 eng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644084071026928"/>
                  <c:y val="-2.043978010994505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37.5x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Plots!$C$20:$C$27</c:f>
              <c:numCache>
                <c:formatCode>0</c:formatCode>
                <c:ptCount val="8"/>
                <c:pt idx="0">
                  <c:v>1875</c:v>
                </c:pt>
                <c:pt idx="1">
                  <c:v>3750</c:v>
                </c:pt>
                <c:pt idx="2">
                  <c:v>5625</c:v>
                </c:pt>
                <c:pt idx="3">
                  <c:v>7500</c:v>
                </c:pt>
                <c:pt idx="4">
                  <c:v>9375</c:v>
                </c:pt>
                <c:pt idx="5">
                  <c:v>11250</c:v>
                </c:pt>
                <c:pt idx="6">
                  <c:v>13125</c:v>
                </c:pt>
                <c:pt idx="7">
                  <c:v>15000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41-4392-B934-24960AD8EF8B}"/>
            </c:ext>
          </c:extLst>
        </c:ser>
        <c:ser>
          <c:idx val="2"/>
          <c:order val="1"/>
          <c:tx>
            <c:strRef>
              <c:f>Plots!$E$18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5299300087489065"/>
                  <c:y val="-9.3175853018372709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65000"/>
                          </a:schemeClr>
                        </a:solidFill>
                      </a:rPr>
                      <a:t>y = 25.1x</a:t>
                    </a:r>
                    <a:endParaRPr lang="en-US" b="1">
                      <a:solidFill>
                        <a:schemeClr val="bg1">
                          <a:lumMod val="6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Plots!$B$20:$B$27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Plots!$E$20:$E$27</c:f>
              <c:numCache>
                <c:formatCode>0</c:formatCode>
                <c:ptCount val="8"/>
                <c:pt idx="0">
                  <c:v>1255</c:v>
                </c:pt>
                <c:pt idx="1">
                  <c:v>2510</c:v>
                </c:pt>
                <c:pt idx="2">
                  <c:v>3765</c:v>
                </c:pt>
                <c:pt idx="3">
                  <c:v>5020</c:v>
                </c:pt>
                <c:pt idx="4">
                  <c:v>6275</c:v>
                </c:pt>
                <c:pt idx="5">
                  <c:v>7530</c:v>
                </c:pt>
                <c:pt idx="6">
                  <c:v>8785</c:v>
                </c:pt>
                <c:pt idx="7">
                  <c:v>10040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D41-4392-B934-24960AD8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99632"/>
        <c:axId val="22890064"/>
      </c:scatterChart>
      <c:valAx>
        <c:axId val="2289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0064"/>
        <c:crosses val="autoZero"/>
        <c:crossBetween val="midCat"/>
      </c:valAx>
      <c:valAx>
        <c:axId val="2289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 baseline="0">
                    <a:effectLst/>
                  </a:rPr>
                  <a:t>BFL [ft]</a:t>
                </a:r>
                <a:endParaRPr lang="de-DE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5575940507436565"/>
          <c:y val="0.16542723826188396"/>
          <c:w val="0.10332647159398431"/>
          <c:h val="0.25300027151778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Kroo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626159230096238"/>
          <c:y val="0.17171296296296298"/>
          <c:w val="0.5271128608923884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strRef>
              <c:f>Plots!$C$4</c:f>
              <c:strCache>
                <c:ptCount val="1"/>
                <c:pt idx="0">
                  <c:v>2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0.36361628576915689"/>
                  <c:y val="-4.583184654788242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y = 0.0185x</a:t>
                    </a:r>
                    <a:r>
                      <a:rPr lang="en-US" b="1" baseline="30000">
                        <a:solidFill>
                          <a:schemeClr val="accent5"/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accent5"/>
                        </a:solidFill>
                      </a:rPr>
                      <a:t> + 28.43x + 857.4</a:t>
                    </a:r>
                    <a:endParaRPr lang="en-US" b="1">
                      <a:solidFill>
                        <a:schemeClr val="accent5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Plots!$C$6:$C$13</c:f>
              <c:numCache>
                <c:formatCode>0</c:formatCode>
                <c:ptCount val="8"/>
                <c:pt idx="0">
                  <c:v>2325.15</c:v>
                </c:pt>
                <c:pt idx="1">
                  <c:v>3885.4</c:v>
                </c:pt>
                <c:pt idx="2">
                  <c:v>5538.15</c:v>
                </c:pt>
                <c:pt idx="3">
                  <c:v>7283.4</c:v>
                </c:pt>
                <c:pt idx="4">
                  <c:v>9121.15</c:v>
                </c:pt>
                <c:pt idx="5">
                  <c:v>11051.4</c:v>
                </c:pt>
                <c:pt idx="6">
                  <c:v>13074.15</c:v>
                </c:pt>
                <c:pt idx="7">
                  <c:v>15189.4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73-4F8D-9F11-75F56350BDD4}"/>
            </c:ext>
          </c:extLst>
        </c:ser>
        <c:ser>
          <c:idx val="2"/>
          <c:order val="1"/>
          <c:tx>
            <c:strRef>
              <c:f>Plots!$E$4</c:f>
              <c:strCache>
                <c:ptCount val="1"/>
                <c:pt idx="0">
                  <c:v>4 eng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0.35327946811526606"/>
                  <c:y val="1.25230947340041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y = 0.0093x</a:t>
                    </a:r>
                    <a:r>
                      <a:rPr lang="en-US" b="1" baseline="3000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2</a:t>
                    </a:r>
                    <a:r>
                      <a:rPr lang="en-US" b="1" baseline="0">
                        <a:solidFill>
                          <a:schemeClr val="bg1">
                            <a:lumMod val="50000"/>
                          </a:schemeClr>
                        </a:solidFill>
                      </a:rPr>
                      <a:t> + 26.2x + 486.7</a:t>
                    </a:r>
                    <a:endParaRPr lang="en-US" b="1">
                      <a:solidFill>
                        <a:schemeClr val="bg1">
                          <a:lumMod val="50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Plots!$B$6:$B$13</c:f>
              <c:numCache>
                <c:formatCode>General</c:formatCode>
                <c:ptCount val="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</c:numCache>
            </c:numRef>
          </c:xVal>
          <c:yVal>
            <c:numRef>
              <c:f>Plots!$E$6:$E$13</c:f>
              <c:numCache>
                <c:formatCode>0</c:formatCode>
                <c:ptCount val="8"/>
                <c:pt idx="0">
                  <c:v>1819.95</c:v>
                </c:pt>
                <c:pt idx="1">
                  <c:v>3199.7</c:v>
                </c:pt>
                <c:pt idx="2">
                  <c:v>4625.95</c:v>
                </c:pt>
                <c:pt idx="3">
                  <c:v>6098.7</c:v>
                </c:pt>
                <c:pt idx="4">
                  <c:v>7617.95</c:v>
                </c:pt>
                <c:pt idx="5">
                  <c:v>9183.7000000000007</c:v>
                </c:pt>
                <c:pt idx="6">
                  <c:v>10795.95</c:v>
                </c:pt>
                <c:pt idx="7">
                  <c:v>12454.7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273-4F8D-9F11-75F56350B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99632"/>
        <c:axId val="22890064"/>
      </c:scatterChart>
      <c:valAx>
        <c:axId val="2289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index</a:t>
                </a:r>
              </a:p>
            </c:rich>
          </c:tx>
          <c:layout>
            <c:manualLayout>
              <c:xMode val="edge"/>
              <c:yMode val="edge"/>
              <c:x val="0.38900770025698006"/>
              <c:y val="0.90116762217411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0064"/>
        <c:crosses val="autoZero"/>
        <c:crossBetween val="midCat"/>
      </c:valAx>
      <c:valAx>
        <c:axId val="2289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TOFL [ft]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9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3099934383202103"/>
          <c:y val="0.41397965879265103"/>
          <c:w val="0.1043165336040312"/>
          <c:h val="0.254911149701453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2.xml"/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image" Target="../media/image9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193382</xdr:colOff>
      <xdr:row>99</xdr:row>
      <xdr:rowOff>961</xdr:rowOff>
    </xdr:from>
    <xdr:ext cx="94301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Textfeld 31">
              <a:extLst>
                <a:ext uri="{FF2B5EF4-FFF2-40B4-BE49-F238E27FC236}">
                  <a16:creationId xmlns:a16="http://schemas.microsoft.com/office/drawing/2014/main" id="{62ADA10B-8FB7-4D31-AD6D-851D5D88FBAA}"/>
                </a:ext>
              </a:extLst>
            </xdr:cNvPr>
            <xdr:cNvSpPr txBox="1"/>
          </xdr:nvSpPr>
          <xdr:spPr>
            <a:xfrm>
              <a:off x="15041496" y="18724390"/>
              <a:ext cx="94301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𝐿𝑂𝐹𝐿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2" name="Textfeld 31">
              <a:extLst>
                <a:ext uri="{FF2B5EF4-FFF2-40B4-BE49-F238E27FC236}">
                  <a16:creationId xmlns:a16="http://schemas.microsoft.com/office/drawing/2014/main" id="{62ADA10B-8FB7-4D31-AD6D-851D5D88FBAA}"/>
                </a:ext>
              </a:extLst>
            </xdr:cNvPr>
            <xdr:cNvSpPr txBox="1"/>
          </xdr:nvSpPr>
          <xdr:spPr>
            <a:xfrm>
              <a:off x="15041496" y="18724390"/>
              <a:ext cx="94301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𝑠_𝐿𝑂𝐹𝐿=𝑘_𝑇𝑂∙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24</xdr:col>
      <xdr:colOff>69398</xdr:colOff>
      <xdr:row>100</xdr:row>
      <xdr:rowOff>152402</xdr:rowOff>
    </xdr:from>
    <xdr:to>
      <xdr:col>29</xdr:col>
      <xdr:colOff>141514</xdr:colOff>
      <xdr:row>103</xdr:row>
      <xdr:rowOff>84978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id="{9698C658-A3C8-49B9-A2B0-0F4CA1CF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6141" y="19060888"/>
          <a:ext cx="3544659" cy="489668"/>
        </a:xfrm>
        <a:prstGeom prst="rect">
          <a:avLst/>
        </a:prstGeom>
      </xdr:spPr>
    </xdr:pic>
    <xdr:clientData/>
  </xdr:twoCellAnchor>
  <xdr:oneCellAnchor>
    <xdr:from>
      <xdr:col>24</xdr:col>
      <xdr:colOff>65313</xdr:colOff>
      <xdr:row>93</xdr:row>
      <xdr:rowOff>2</xdr:rowOff>
    </xdr:from>
    <xdr:ext cx="3537858" cy="2612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D5B24701-068A-4B33-8997-1FDDEBE8E006}"/>
                </a:ext>
              </a:extLst>
            </xdr:cNvPr>
            <xdr:cNvSpPr txBox="1"/>
          </xdr:nvSpPr>
          <xdr:spPr>
            <a:xfrm>
              <a:off x="18092056" y="17613088"/>
              <a:ext cx="3537858" cy="2612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.7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</m:t>
                            </m:r>
                          </m:sub>
                        </m:sSub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𝑁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∗(</m:t>
                    </m:r>
                    <m:d>
                      <m:d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1−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0.7∗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𝑣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𝐿𝑂𝐹</m:t>
                                </m:r>
                              </m:sub>
                            </m:sSub>
                          </m:e>
                        </m:d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0.7∗</m:t>
                                </m:r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𝑣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𝐿𝑂𝐹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e>
                    </m: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4" name="Textfeld 43">
              <a:extLst>
                <a:ext uri="{FF2B5EF4-FFF2-40B4-BE49-F238E27FC236}">
                  <a16:creationId xmlns:a16="http://schemas.microsoft.com/office/drawing/2014/main" id="{D5B24701-068A-4B33-8997-1FDDEBE8E006}"/>
                </a:ext>
              </a:extLst>
            </xdr:cNvPr>
            <xdr:cNvSpPr txBox="1"/>
          </xdr:nvSpPr>
          <xdr:spPr>
            <a:xfrm>
              <a:off x="18092056" y="17613088"/>
              <a:ext cx="3537858" cy="2612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𝑇_(.7𝑣_𝐿𝑂 )=𝑁 𝑇_𝑇𝑂∗((1−𝐾_1  (0.7∗𝑣_𝐿𝑂𝐹 )+𝐾_2  (0.7∗𝑣_𝐿𝑂𝐹 )^2 )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52</xdr:col>
      <xdr:colOff>109880</xdr:colOff>
      <xdr:row>96</xdr:row>
      <xdr:rowOff>130630</xdr:rowOff>
    </xdr:from>
    <xdr:to>
      <xdr:col>54</xdr:col>
      <xdr:colOff>435460</xdr:colOff>
      <xdr:row>99</xdr:row>
      <xdr:rowOff>1922</xdr:rowOff>
    </xdr:to>
    <xdr:pic>
      <xdr:nvPicPr>
        <xdr:cNvPr id="46" name="Grafik 45">
          <a:extLst>
            <a:ext uri="{FF2B5EF4-FFF2-40B4-BE49-F238E27FC236}">
              <a16:creationId xmlns:a16="http://schemas.microsoft.com/office/drawing/2014/main" id="{D4C5A91C-0C84-5E7B-C454-2FF15E61E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34051" y="24830316"/>
          <a:ext cx="1914894" cy="435428"/>
        </a:xfrm>
        <a:prstGeom prst="rect">
          <a:avLst/>
        </a:prstGeom>
      </xdr:spPr>
    </xdr:pic>
    <xdr:clientData/>
  </xdr:twoCellAnchor>
  <xdr:twoCellAnchor editAs="oneCell">
    <xdr:from>
      <xdr:col>52</xdr:col>
      <xdr:colOff>65314</xdr:colOff>
      <xdr:row>101</xdr:row>
      <xdr:rowOff>65318</xdr:rowOff>
    </xdr:from>
    <xdr:to>
      <xdr:col>53</xdr:col>
      <xdr:colOff>566057</xdr:colOff>
      <xdr:row>102</xdr:row>
      <xdr:rowOff>77575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id="{38BEBCD0-3A37-A812-3780-06501D27BB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289485" y="25810032"/>
          <a:ext cx="1295400" cy="197313"/>
        </a:xfrm>
        <a:prstGeom prst="rect">
          <a:avLst/>
        </a:prstGeom>
      </xdr:spPr>
    </xdr:pic>
    <xdr:clientData/>
  </xdr:twoCellAnchor>
  <xdr:oneCellAnchor>
    <xdr:from>
      <xdr:col>30</xdr:col>
      <xdr:colOff>109880</xdr:colOff>
      <xdr:row>96</xdr:row>
      <xdr:rowOff>130630</xdr:rowOff>
    </xdr:from>
    <xdr:ext cx="1914894" cy="435428"/>
    <xdr:pic>
      <xdr:nvPicPr>
        <xdr:cNvPr id="49" name="Grafik 48">
          <a:extLst>
            <a:ext uri="{FF2B5EF4-FFF2-40B4-BE49-F238E27FC236}">
              <a16:creationId xmlns:a16="http://schemas.microsoft.com/office/drawing/2014/main" id="{64A32532-E9B9-42C8-B019-5475611E9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34051" y="24830316"/>
          <a:ext cx="1914894" cy="435428"/>
        </a:xfrm>
        <a:prstGeom prst="rect">
          <a:avLst/>
        </a:prstGeom>
      </xdr:spPr>
    </xdr:pic>
    <xdr:clientData/>
  </xdr:oneCellAnchor>
  <xdr:twoCellAnchor editAs="oneCell">
    <xdr:from>
      <xdr:col>25</xdr:col>
      <xdr:colOff>43543</xdr:colOff>
      <xdr:row>95</xdr:row>
      <xdr:rowOff>141514</xdr:rowOff>
    </xdr:from>
    <xdr:to>
      <xdr:col>27</xdr:col>
      <xdr:colOff>108856</xdr:colOff>
      <xdr:row>99</xdr:row>
      <xdr:rowOff>14658</xdr:rowOff>
    </xdr:to>
    <xdr:pic>
      <xdr:nvPicPr>
        <xdr:cNvPr id="57" name="Grafik 56">
          <a:extLst>
            <a:ext uri="{FF2B5EF4-FFF2-40B4-BE49-F238E27FC236}">
              <a16:creationId xmlns:a16="http://schemas.microsoft.com/office/drawing/2014/main" id="{7689945D-83C7-2177-0687-98F995573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536886" y="18124714"/>
          <a:ext cx="1807028" cy="622337"/>
        </a:xfrm>
        <a:prstGeom prst="rect">
          <a:avLst/>
        </a:prstGeom>
      </xdr:spPr>
    </xdr:pic>
    <xdr:clientData/>
  </xdr:twoCellAnchor>
  <xdr:oneCellAnchor>
    <xdr:from>
      <xdr:col>57</xdr:col>
      <xdr:colOff>0</xdr:colOff>
      <xdr:row>96</xdr:row>
      <xdr:rowOff>130630</xdr:rowOff>
    </xdr:from>
    <xdr:ext cx="1914894" cy="435428"/>
    <xdr:pic>
      <xdr:nvPicPr>
        <xdr:cNvPr id="60" name="Grafik 59">
          <a:extLst>
            <a:ext uri="{FF2B5EF4-FFF2-40B4-BE49-F238E27FC236}">
              <a16:creationId xmlns:a16="http://schemas.microsoft.com/office/drawing/2014/main" id="{5070312C-6D73-4727-BA83-6C8733A3D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621537" y="22217744"/>
          <a:ext cx="1914894" cy="435428"/>
        </a:xfrm>
        <a:prstGeom prst="rect">
          <a:avLst/>
        </a:prstGeom>
      </xdr:spPr>
    </xdr:pic>
    <xdr:clientData/>
  </xdr:oneCellAnchor>
  <xdr:oneCellAnchor>
    <xdr:from>
      <xdr:col>57</xdr:col>
      <xdr:colOff>0</xdr:colOff>
      <xdr:row>101</xdr:row>
      <xdr:rowOff>65318</xdr:rowOff>
    </xdr:from>
    <xdr:ext cx="1295400" cy="197313"/>
    <xdr:pic>
      <xdr:nvPicPr>
        <xdr:cNvPr id="61" name="Grafik 60">
          <a:extLst>
            <a:ext uri="{FF2B5EF4-FFF2-40B4-BE49-F238E27FC236}">
              <a16:creationId xmlns:a16="http://schemas.microsoft.com/office/drawing/2014/main" id="{9C1C3C78-7F1B-48D7-B0CB-B6955A9F4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576971" y="23110375"/>
          <a:ext cx="1295400" cy="197313"/>
        </a:xfrm>
        <a:prstGeom prst="rect">
          <a:avLst/>
        </a:prstGeom>
      </xdr:spPr>
    </xdr:pic>
    <xdr:clientData/>
  </xdr:oneCellAnchor>
  <xdr:oneCellAnchor>
    <xdr:from>
      <xdr:col>32</xdr:col>
      <xdr:colOff>27214</xdr:colOff>
      <xdr:row>62</xdr:row>
      <xdr:rowOff>130629</xdr:rowOff>
    </xdr:from>
    <xdr:ext cx="876300" cy="165366"/>
    <xdr:sp macro="" textlink="">
      <xdr:nvSpPr>
        <xdr:cNvPr id="62" name="Textfeld 61">
          <a:extLst>
            <a:ext uri="{FF2B5EF4-FFF2-40B4-BE49-F238E27FC236}">
              <a16:creationId xmlns:a16="http://schemas.microsoft.com/office/drawing/2014/main" id="{D42117ED-D20D-D875-DE87-9B4D9FA4D86B}"/>
            </a:ext>
          </a:extLst>
        </xdr:cNvPr>
        <xdr:cNvSpPr txBox="1"/>
      </xdr:nvSpPr>
      <xdr:spPr>
        <a:xfrm>
          <a:off x="20339957" y="15425058"/>
          <a:ext cx="876300" cy="1653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de-DE" sz="1100" b="0" i="1">
            <a:latin typeface="Cambria Math" panose="02040503050406030204" pitchFamily="18" charset="0"/>
          </a:endParaRPr>
        </a:p>
      </xdr:txBody>
    </xdr:sp>
    <xdr:clientData/>
  </xdr:oneCellAnchor>
  <xdr:oneCellAnchor>
    <xdr:from>
      <xdr:col>15</xdr:col>
      <xdr:colOff>2</xdr:colOff>
      <xdr:row>96</xdr:row>
      <xdr:rowOff>32658</xdr:rowOff>
    </xdr:from>
    <xdr:ext cx="2070182" cy="3568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CE6AC79B-A719-4E7B-BE32-734DE34F1A3D}"/>
                </a:ext>
              </a:extLst>
            </xdr:cNvPr>
            <xdr:cNvSpPr txBox="1"/>
          </xdr:nvSpPr>
          <xdr:spPr>
            <a:xfrm>
              <a:off x="11375573" y="18200915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CE6AC79B-A719-4E7B-BE32-734DE34F1A3D}"/>
                </a:ext>
              </a:extLst>
            </xdr:cNvPr>
            <xdr:cNvSpPr txBox="1"/>
          </xdr:nvSpPr>
          <xdr:spPr>
            <a:xfrm>
              <a:off x="11375573" y="18200915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36</xdr:col>
      <xdr:colOff>109880</xdr:colOff>
      <xdr:row>96</xdr:row>
      <xdr:rowOff>130630</xdr:rowOff>
    </xdr:from>
    <xdr:ext cx="1914894" cy="435428"/>
    <xdr:pic>
      <xdr:nvPicPr>
        <xdr:cNvPr id="29" name="Grafik 28">
          <a:extLst>
            <a:ext uri="{FF2B5EF4-FFF2-40B4-BE49-F238E27FC236}">
              <a16:creationId xmlns:a16="http://schemas.microsoft.com/office/drawing/2014/main" id="{DDA6CE98-0CA9-4113-8ECF-B3D7F5D93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458251" y="18331544"/>
          <a:ext cx="1914894" cy="435428"/>
        </a:xfrm>
        <a:prstGeom prst="rect">
          <a:avLst/>
        </a:prstGeom>
      </xdr:spPr>
    </xdr:pic>
    <xdr:clientData/>
  </xdr:oneCellAnchor>
  <xdr:oneCellAnchor>
    <xdr:from>
      <xdr:col>35</xdr:col>
      <xdr:colOff>174172</xdr:colOff>
      <xdr:row>100</xdr:row>
      <xdr:rowOff>87084</xdr:rowOff>
    </xdr:from>
    <xdr:ext cx="2241288" cy="805543"/>
    <xdr:pic>
      <xdr:nvPicPr>
        <xdr:cNvPr id="30" name="Grafik 29">
          <a:extLst>
            <a:ext uri="{FF2B5EF4-FFF2-40B4-BE49-F238E27FC236}">
              <a16:creationId xmlns:a16="http://schemas.microsoft.com/office/drawing/2014/main" id="{3D8147F4-F480-478F-B8CA-D8E5F464F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185086" y="19039113"/>
          <a:ext cx="2241288" cy="805543"/>
        </a:xfrm>
        <a:prstGeom prst="rect">
          <a:avLst/>
        </a:prstGeom>
      </xdr:spPr>
    </xdr:pic>
    <xdr:clientData/>
  </xdr:oneCellAnchor>
  <xdr:oneCellAnchor>
    <xdr:from>
      <xdr:col>38</xdr:col>
      <xdr:colOff>27214</xdr:colOff>
      <xdr:row>62</xdr:row>
      <xdr:rowOff>130629</xdr:rowOff>
    </xdr:from>
    <xdr:ext cx="876300" cy="165366"/>
    <xdr:sp macro="" textlink="">
      <xdr:nvSpPr>
        <xdr:cNvPr id="34" name="Textfeld 33">
          <a:extLst>
            <a:ext uri="{FF2B5EF4-FFF2-40B4-BE49-F238E27FC236}">
              <a16:creationId xmlns:a16="http://schemas.microsoft.com/office/drawing/2014/main" id="{A7E49FD9-5317-42E5-83CC-26B0B06D53F8}"/>
            </a:ext>
          </a:extLst>
        </xdr:cNvPr>
        <xdr:cNvSpPr txBox="1"/>
      </xdr:nvSpPr>
      <xdr:spPr>
        <a:xfrm>
          <a:off x="23964900" y="11538858"/>
          <a:ext cx="876300" cy="1653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de-DE" sz="1100" b="0" i="1">
            <a:latin typeface="Cambria Math" panose="02040503050406030204" pitchFamily="18" charset="0"/>
          </a:endParaRPr>
        </a:p>
      </xdr:txBody>
    </xdr:sp>
    <xdr:clientData/>
  </xdr:oneCellAnchor>
  <xdr:oneCellAnchor>
    <xdr:from>
      <xdr:col>19</xdr:col>
      <xdr:colOff>283031</xdr:colOff>
      <xdr:row>96</xdr:row>
      <xdr:rowOff>37012</xdr:rowOff>
    </xdr:from>
    <xdr:ext cx="2070182" cy="3568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id="{7CC888DF-541C-4A1C-B090-6ED19F91E89E}"/>
                </a:ext>
              </a:extLst>
            </xdr:cNvPr>
            <xdr:cNvSpPr txBox="1"/>
          </xdr:nvSpPr>
          <xdr:spPr>
            <a:xfrm>
              <a:off x="14837231" y="18205269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id="{7CC888DF-541C-4A1C-B090-6ED19F91E89E}"/>
                </a:ext>
              </a:extLst>
            </xdr:cNvPr>
            <xdr:cNvSpPr txBox="1"/>
          </xdr:nvSpPr>
          <xdr:spPr>
            <a:xfrm>
              <a:off x="14837231" y="18205269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20</xdr:col>
      <xdr:colOff>215154</xdr:colOff>
      <xdr:row>100</xdr:row>
      <xdr:rowOff>153362</xdr:rowOff>
    </xdr:from>
    <xdr:ext cx="7051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Textfeld 36">
              <a:extLst>
                <a:ext uri="{FF2B5EF4-FFF2-40B4-BE49-F238E27FC236}">
                  <a16:creationId xmlns:a16="http://schemas.microsoft.com/office/drawing/2014/main" id="{A26A988F-3374-4B46-AE61-C76AD3E9C0C9}"/>
                </a:ext>
              </a:extLst>
            </xdr:cNvPr>
            <xdr:cNvSpPr txBox="1"/>
          </xdr:nvSpPr>
          <xdr:spPr>
            <a:xfrm>
              <a:off x="15063268" y="19061848"/>
              <a:ext cx="7051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=2.34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7" name="Textfeld 36">
              <a:extLst>
                <a:ext uri="{FF2B5EF4-FFF2-40B4-BE49-F238E27FC236}">
                  <a16:creationId xmlns:a16="http://schemas.microsoft.com/office/drawing/2014/main" id="{A26A988F-3374-4B46-AE61-C76AD3E9C0C9}"/>
                </a:ext>
              </a:extLst>
            </xdr:cNvPr>
            <xdr:cNvSpPr txBox="1"/>
          </xdr:nvSpPr>
          <xdr:spPr>
            <a:xfrm>
              <a:off x="15063268" y="19061848"/>
              <a:ext cx="7051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𝑘_𝑇𝑂=2.34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9</xdr:col>
      <xdr:colOff>283027</xdr:colOff>
      <xdr:row>27</xdr:row>
      <xdr:rowOff>32660</xdr:rowOff>
    </xdr:from>
    <xdr:to>
      <xdr:col>11</xdr:col>
      <xdr:colOff>718455</xdr:colOff>
      <xdr:row>31</xdr:row>
      <xdr:rowOff>43545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8C77FED-6A06-50C4-AC2D-50D9BD291D8F}"/>
            </a:ext>
          </a:extLst>
        </xdr:cNvPr>
        <xdr:cNvSpPr txBox="1"/>
      </xdr:nvSpPr>
      <xdr:spPr>
        <a:xfrm>
          <a:off x="6585856" y="5290460"/>
          <a:ext cx="1534885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A320-200	C</a:t>
          </a:r>
          <a:r>
            <a:rPr lang="de-DE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Lmax</a:t>
          </a:r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F+1	2.08</a:t>
          </a:r>
          <a:endParaRPr lang="de-DE" sz="11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2	2.32</a:t>
          </a:r>
          <a:endParaRPr lang="de-DE">
            <a:effectLst/>
          </a:endParaRPr>
        </a:p>
        <a:p>
          <a:pPr algn="ctr"/>
          <a:r>
            <a:rPr lang="de-DE" sz="1100"/>
            <a:t>Confi  3	2.37</a:t>
          </a:r>
        </a:p>
      </xdr:txBody>
    </xdr:sp>
    <xdr:clientData/>
  </xdr:twoCellAnchor>
  <xdr:twoCellAnchor>
    <xdr:from>
      <xdr:col>9</xdr:col>
      <xdr:colOff>272141</xdr:colOff>
      <xdr:row>22</xdr:row>
      <xdr:rowOff>43546</xdr:rowOff>
    </xdr:from>
    <xdr:to>
      <xdr:col>11</xdr:col>
      <xdr:colOff>76200</xdr:colOff>
      <xdr:row>26</xdr:row>
      <xdr:rowOff>76203</xdr:rowOff>
    </xdr:to>
    <xdr:sp macro="" textlink="">
      <xdr:nvSpPr>
        <xdr:cNvPr id="22" name="Textfeld 21">
          <a:extLst>
            <a:ext uri="{FF2B5EF4-FFF2-40B4-BE49-F238E27FC236}">
              <a16:creationId xmlns:a16="http://schemas.microsoft.com/office/drawing/2014/main" id="{3BE16A71-9939-4430-9DF2-39D5A4627861}"/>
            </a:ext>
          </a:extLst>
        </xdr:cNvPr>
        <xdr:cNvSpPr txBox="1"/>
      </xdr:nvSpPr>
      <xdr:spPr>
        <a:xfrm>
          <a:off x="6574970" y="4321632"/>
          <a:ext cx="903516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Thrust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A320</a:t>
          </a:r>
          <a:endParaRPr lang="de-DE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111..2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117.9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133.5 kN</a:t>
          </a:r>
        </a:p>
      </xdr:txBody>
    </xdr:sp>
    <xdr:clientData/>
  </xdr:twoCellAnchor>
  <xdr:oneCellAnchor>
    <xdr:from>
      <xdr:col>16</xdr:col>
      <xdr:colOff>10885</xdr:colOff>
      <xdr:row>99</xdr:row>
      <xdr:rowOff>21773</xdr:rowOff>
    </xdr:from>
    <xdr:ext cx="165750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BF2DDDC9-1864-4880-8C13-1CA874E448EF}"/>
                </a:ext>
              </a:extLst>
            </xdr:cNvPr>
            <xdr:cNvSpPr txBox="1"/>
          </xdr:nvSpPr>
          <xdr:spPr>
            <a:xfrm>
              <a:off x="10515599" y="20443373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=1.876∙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+543.28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BF2DDDC9-1864-4880-8C13-1CA874E448EF}"/>
                </a:ext>
              </a:extLst>
            </xdr:cNvPr>
            <xdr:cNvSpPr txBox="1"/>
          </xdr:nvSpPr>
          <xdr:spPr>
            <a:xfrm>
              <a:off x="10515599" y="20443373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𝑠_𝑇𝑂𝐹𝐿=1.876∙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r>
                <a:rPr lang="de-DE" sz="1100" b="0" i="0">
                  <a:latin typeface="Cambria Math" panose="02040503050406030204" pitchFamily="18" charset="0"/>
                </a:rPr>
                <a:t>+543.28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11</xdr:col>
      <xdr:colOff>195940</xdr:colOff>
      <xdr:row>22</xdr:row>
      <xdr:rowOff>54432</xdr:rowOff>
    </xdr:from>
    <xdr:to>
      <xdr:col>13</xdr:col>
      <xdr:colOff>0</xdr:colOff>
      <xdr:row>26</xdr:row>
      <xdr:rowOff>87089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56186EC6-E97A-4783-81D0-50149A89BCE3}"/>
                </a:ext>
              </a:extLst>
            </xdr:cNvPr>
            <xdr:cNvSpPr txBox="1"/>
          </xdr:nvSpPr>
          <xdr:spPr>
            <a:xfrm>
              <a:off x="7598226" y="4517575"/>
              <a:ext cx="1208317" cy="81642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Wing </a:t>
              </a:r>
              <a:r>
                <a:rPr lang="de-DE" sz="11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A320</a:t>
              </a:r>
              <a:endParaRPr lang="de-DE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𝑆𝑤</m:t>
                    </m:r>
                    <m:r>
                      <a:rPr lang="de-DE" sz="1100" b="0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= 122.6 </m:t>
                    </m:r>
                    <m:r>
                      <m:rPr>
                        <m:sty m:val="p"/>
                      </m:rPr>
                      <a:rPr lang="de-DE" sz="1100" b="0" i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m</m:t>
                    </m:r>
                    <m:r>
                      <a:rPr lang="de-DE" sz="1100" b="0" i="0" baseline="3000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2</m:t>
                    </m:r>
                  </m:oMath>
                </m:oMathPara>
              </a14:m>
              <a:endParaRPr lang="de-DE" sz="1100" b="0" i="0" baseline="300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𝑏</m:t>
                    </m:r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= 34.1 </m:t>
                    </m:r>
                    <m:r>
                      <m:rPr>
                        <m:sty m:val="p"/>
                      </m:rPr>
                      <a:rPr lang="de-DE" sz="1100" b="0" i="0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m</m:t>
                    </m:r>
                  </m:oMath>
                </m:oMathPara>
              </a14:m>
              <a:endParaRPr lang="de-DE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𝐴𝑅</m:t>
                    </m:r>
                    <m:r>
                      <a:rPr lang="de-DE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= 9.5</m:t>
                    </m:r>
                  </m:oMath>
                </m:oMathPara>
              </a14:m>
              <a:endParaRPr lang="de-DE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Choice>
      <mc:Fallback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56186EC6-E97A-4783-81D0-50149A89BCE3}"/>
                </a:ext>
              </a:extLst>
            </xdr:cNvPr>
            <xdr:cNvSpPr txBox="1"/>
          </xdr:nvSpPr>
          <xdr:spPr>
            <a:xfrm>
              <a:off x="7598226" y="4517575"/>
              <a:ext cx="1208317" cy="816428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Wing </a:t>
              </a:r>
              <a:r>
                <a:rPr lang="de-DE" sz="11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A320</a:t>
              </a:r>
              <a:endParaRPr lang="de-DE" sz="11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𝑆𝑤 = 122.6 m</a:t>
              </a:r>
              <a:r>
                <a:rPr lang="de-DE" sz="1100" b="0" i="0" baseline="3000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endParaRPr lang="de-DE" sz="1100" b="0" i="0" baseline="300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 = 34.1 m</a:t>
              </a:r>
              <a:endParaRPr lang="de-DE" sz="1100" b="0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l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𝐴𝑅 = 9.5</a:t>
              </a:r>
              <a:endParaRPr lang="de-DE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69398</xdr:colOff>
      <xdr:row>99</xdr:row>
      <xdr:rowOff>152402</xdr:rowOff>
    </xdr:from>
    <xdr:to>
      <xdr:col>29</xdr:col>
      <xdr:colOff>130629</xdr:colOff>
      <xdr:row>102</xdr:row>
      <xdr:rowOff>118401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AAF027B-E355-4C5A-90AD-71F4037C5C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93118" y="18813782"/>
          <a:ext cx="3718831" cy="509790"/>
        </a:xfrm>
        <a:prstGeom prst="rect">
          <a:avLst/>
        </a:prstGeom>
      </xdr:spPr>
    </xdr:pic>
    <xdr:clientData/>
  </xdr:twoCellAnchor>
  <xdr:oneCellAnchor>
    <xdr:from>
      <xdr:col>24</xdr:col>
      <xdr:colOff>108856</xdr:colOff>
      <xdr:row>91</xdr:row>
      <xdr:rowOff>174173</xdr:rowOff>
    </xdr:from>
    <xdr:ext cx="3461657" cy="4191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E5D517F9-02DC-4348-B7F1-CDA712828001}"/>
                </a:ext>
              </a:extLst>
            </xdr:cNvPr>
            <xdr:cNvSpPr txBox="1"/>
          </xdr:nvSpPr>
          <xdr:spPr>
            <a:xfrm>
              <a:off x="14632576" y="17303933"/>
              <a:ext cx="3461657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.7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</m:t>
                            </m:r>
                          </m:sub>
                        </m:sSub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𝑁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∗(</m:t>
                    </m:r>
                    <m:d>
                      <m:d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1−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0.7∗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𝐿𝑂𝐹</m:t>
                                </m:r>
                              </m:sub>
                            </m:sSub>
                          </m:e>
                        </m:d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𝐾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∗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0.7∗</m:t>
                                </m:r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𝐿𝑂𝐹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e>
                    </m: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E5D517F9-02DC-4348-B7F1-CDA712828001}"/>
                </a:ext>
              </a:extLst>
            </xdr:cNvPr>
            <xdr:cNvSpPr txBox="1"/>
          </xdr:nvSpPr>
          <xdr:spPr>
            <a:xfrm>
              <a:off x="14632576" y="17303933"/>
              <a:ext cx="3461657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𝑇_(.7𝑣_𝐿𝑂 )=𝑁∗𝑇_𝑇𝑂∗((1−𝐾_1∗(0.7∗𝑐_𝐿𝑂𝐹 )+𝐾_2∗(0.7∗𝑐_𝐿𝑂𝐹 )^2 )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24</xdr:col>
      <xdr:colOff>185057</xdr:colOff>
      <xdr:row>94</xdr:row>
      <xdr:rowOff>174172</xdr:rowOff>
    </xdr:from>
    <xdr:to>
      <xdr:col>27</xdr:col>
      <xdr:colOff>54429</xdr:colOff>
      <xdr:row>98</xdr:row>
      <xdr:rowOff>85234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471A69DB-8792-4B13-BF90-F87F8146A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417143" y="18897601"/>
          <a:ext cx="1872343" cy="651290"/>
        </a:xfrm>
        <a:prstGeom prst="rect">
          <a:avLst/>
        </a:prstGeom>
      </xdr:spPr>
    </xdr:pic>
    <xdr:clientData/>
  </xdr:twoCellAnchor>
  <xdr:oneCellAnchor>
    <xdr:from>
      <xdr:col>15</xdr:col>
      <xdr:colOff>154032</xdr:colOff>
      <xdr:row>90</xdr:row>
      <xdr:rowOff>81558</xdr:rowOff>
    </xdr:from>
    <xdr:ext cx="1988942" cy="35689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24564393-9B6D-480B-945E-048A074C8B7B}"/>
                </a:ext>
              </a:extLst>
            </xdr:cNvPr>
            <xdr:cNvSpPr txBox="1"/>
          </xdr:nvSpPr>
          <xdr:spPr>
            <a:xfrm>
              <a:off x="10687561" y="17598593"/>
              <a:ext cx="198894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24564393-9B6D-480B-945E-048A074C8B7B}"/>
                </a:ext>
              </a:extLst>
            </xdr:cNvPr>
            <xdr:cNvSpPr txBox="1"/>
          </xdr:nvSpPr>
          <xdr:spPr>
            <a:xfrm>
              <a:off x="10687561" y="17598593"/>
              <a:ext cx="198894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𝑥∙1/(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44</xdr:col>
      <xdr:colOff>84758</xdr:colOff>
      <xdr:row>93</xdr:row>
      <xdr:rowOff>88015</xdr:rowOff>
    </xdr:from>
    <xdr:ext cx="2241288" cy="805543"/>
    <xdr:pic>
      <xdr:nvPicPr>
        <xdr:cNvPr id="23" name="Grafik 22">
          <a:extLst>
            <a:ext uri="{FF2B5EF4-FFF2-40B4-BE49-F238E27FC236}">
              <a16:creationId xmlns:a16="http://schemas.microsoft.com/office/drawing/2014/main" id="{6BE57779-5F83-417E-969C-5918A7024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571417" y="17138886"/>
          <a:ext cx="2241288" cy="805543"/>
        </a:xfrm>
        <a:prstGeom prst="rect">
          <a:avLst/>
        </a:prstGeom>
      </xdr:spPr>
    </xdr:pic>
    <xdr:clientData/>
  </xdr:oneCellAnchor>
  <xdr:twoCellAnchor>
    <xdr:from>
      <xdr:col>10</xdr:col>
      <xdr:colOff>17929</xdr:colOff>
      <xdr:row>26</xdr:row>
      <xdr:rowOff>161365</xdr:rowOff>
    </xdr:from>
    <xdr:to>
      <xdr:col>11</xdr:col>
      <xdr:colOff>763920</xdr:colOff>
      <xdr:row>31</xdr:row>
      <xdr:rowOff>18569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F5F0E622-D08D-4AE9-A9BB-4CA6E604F1E5}"/>
            </a:ext>
          </a:extLst>
        </xdr:cNvPr>
        <xdr:cNvSpPr txBox="1"/>
      </xdr:nvSpPr>
      <xdr:spPr>
        <a:xfrm>
          <a:off x="7109011" y="5002306"/>
          <a:ext cx="1534885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A340-300	C</a:t>
          </a:r>
          <a:r>
            <a:rPr lang="de-DE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Lmax</a:t>
          </a:r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F+1	2.24</a:t>
          </a:r>
          <a:endParaRPr lang="de-DE" sz="11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  2	2.42</a:t>
          </a:r>
          <a:endParaRPr lang="de-DE">
            <a:effectLst/>
          </a:endParaRPr>
        </a:p>
        <a:p>
          <a:pPr algn="ctr"/>
          <a:r>
            <a:rPr lang="de-DE" sz="1100"/>
            <a:t>Confi  3	2.47</a:t>
          </a:r>
        </a:p>
      </xdr:txBody>
    </xdr:sp>
    <xdr:clientData/>
  </xdr:twoCellAnchor>
  <xdr:twoCellAnchor>
    <xdr:from>
      <xdr:col>10</xdr:col>
      <xdr:colOff>0</xdr:colOff>
      <xdr:row>22</xdr:row>
      <xdr:rowOff>0</xdr:rowOff>
    </xdr:from>
    <xdr:to>
      <xdr:col>11</xdr:col>
      <xdr:colOff>152400</xdr:colOff>
      <xdr:row>26</xdr:row>
      <xdr:rowOff>63393</xdr:rowOff>
    </xdr:to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A8CD0D66-5FD9-4850-B10F-98496F362DA4}"/>
            </a:ext>
          </a:extLst>
        </xdr:cNvPr>
        <xdr:cNvSpPr txBox="1"/>
      </xdr:nvSpPr>
      <xdr:spPr>
        <a:xfrm>
          <a:off x="7091082" y="4087906"/>
          <a:ext cx="941294" cy="8164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Thrust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A340</a:t>
          </a:r>
          <a:endParaRPr lang="de-DE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138.8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144.6 kN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151.3 kN</a:t>
          </a:r>
        </a:p>
      </xdr:txBody>
    </xdr:sp>
    <xdr:clientData/>
  </xdr:twoCellAnchor>
  <xdr:oneCellAnchor>
    <xdr:from>
      <xdr:col>44</xdr:col>
      <xdr:colOff>315428</xdr:colOff>
      <xdr:row>100</xdr:row>
      <xdr:rowOff>4485</xdr:rowOff>
    </xdr:from>
    <xdr:ext cx="1914894" cy="435428"/>
    <xdr:pic>
      <xdr:nvPicPr>
        <xdr:cNvPr id="14" name="Grafik 13">
          <a:extLst>
            <a:ext uri="{FF2B5EF4-FFF2-40B4-BE49-F238E27FC236}">
              <a16:creationId xmlns:a16="http://schemas.microsoft.com/office/drawing/2014/main" id="{7485B59A-12FE-4907-B49B-3F3AFFED4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388199" y="19838256"/>
          <a:ext cx="1914894" cy="435428"/>
        </a:xfrm>
        <a:prstGeom prst="rect">
          <a:avLst/>
        </a:prstGeom>
      </xdr:spPr>
    </xdr:pic>
    <xdr:clientData/>
  </xdr:oneCellAnchor>
  <xdr:oneCellAnchor>
    <xdr:from>
      <xdr:col>15</xdr:col>
      <xdr:colOff>183544</xdr:colOff>
      <xdr:row>93</xdr:row>
      <xdr:rowOff>89240</xdr:rowOff>
    </xdr:from>
    <xdr:ext cx="1657505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E47A5E1C-AD9B-48D0-B556-97FD06B1721C}"/>
                </a:ext>
              </a:extLst>
            </xdr:cNvPr>
            <xdr:cNvSpPr txBox="1"/>
          </xdr:nvSpPr>
          <xdr:spPr>
            <a:xfrm>
              <a:off x="10764458" y="18627611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=1.876∙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+543.28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E47A5E1C-AD9B-48D0-B556-97FD06B1721C}"/>
                </a:ext>
              </a:extLst>
            </xdr:cNvPr>
            <xdr:cNvSpPr txBox="1"/>
          </xdr:nvSpPr>
          <xdr:spPr>
            <a:xfrm>
              <a:off x="10764458" y="18627611"/>
              <a:ext cx="16575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𝑠_𝑇𝑂𝐹𝐿=1.876∙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r>
                <a:rPr lang="de-DE" sz="1100" b="0" i="0">
                  <a:latin typeface="Cambria Math" panose="02040503050406030204" pitchFamily="18" charset="0"/>
                </a:rPr>
                <a:t>+543.28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21</xdr:col>
      <xdr:colOff>368602</xdr:colOff>
      <xdr:row>90</xdr:row>
      <xdr:rowOff>165440</xdr:rowOff>
    </xdr:from>
    <xdr:ext cx="991874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11C6A3E9-71AC-4CA5-8384-A2F66A69987E}"/>
                </a:ext>
              </a:extLst>
            </xdr:cNvPr>
            <xdr:cNvSpPr txBox="1"/>
          </xdr:nvSpPr>
          <xdr:spPr>
            <a:xfrm>
              <a:off x="15216716" y="18148640"/>
              <a:ext cx="9918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𝑇𝑂𝐹𝐿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</a:rPr>
                      <m:t>=2.34∙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11C6A3E9-71AC-4CA5-8384-A2F66A69987E}"/>
                </a:ext>
              </a:extLst>
            </xdr:cNvPr>
            <xdr:cNvSpPr txBox="1"/>
          </xdr:nvSpPr>
          <xdr:spPr>
            <a:xfrm>
              <a:off x="15216716" y="18148640"/>
              <a:ext cx="99187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𝑠_𝑇𝑂𝐹𝐿=2.34∙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62753</xdr:colOff>
      <xdr:row>4</xdr:row>
      <xdr:rowOff>168152</xdr:rowOff>
    </xdr:from>
    <xdr:to>
      <xdr:col>13</xdr:col>
      <xdr:colOff>385482</xdr:colOff>
      <xdr:row>12</xdr:row>
      <xdr:rowOff>43543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42F9777-5C28-48E7-AA60-DBEF0DDE0218}"/>
            </a:ext>
          </a:extLst>
        </xdr:cNvPr>
        <xdr:cNvSpPr txBox="1"/>
      </xdr:nvSpPr>
      <xdr:spPr>
        <a:xfrm>
          <a:off x="6420010" y="1115209"/>
          <a:ext cx="4296015" cy="12143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For</a:t>
          </a:r>
          <a:r>
            <a:rPr lang="de-DE" sz="1100" baseline="0"/>
            <a:t> (most) Airbus models there are 3 (possible)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take-off </a:t>
          </a:r>
          <a:r>
            <a:rPr lang="de-DE" sz="1100" baseline="0"/>
            <a:t>flap positions:</a:t>
          </a:r>
        </a:p>
        <a:p>
          <a:r>
            <a:rPr lang="de-DE" sz="1100" baseline="0"/>
            <a:t>1)	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Configuration</a:t>
          </a:r>
          <a:r>
            <a:rPr lang="de-DE" sz="1100" baseline="0"/>
            <a:t> 1+F     (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low flap deflection</a:t>
          </a:r>
          <a:r>
            <a:rPr lang="de-DE" sz="1100" baseline="0"/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	Configuration 2         (medium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	Configuration 3         (high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 other aircraft types chose the configuration that fits the most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6</xdr:col>
      <xdr:colOff>777496</xdr:colOff>
      <xdr:row>4</xdr:row>
      <xdr:rowOff>168152</xdr:rowOff>
    </xdr:from>
    <xdr:to>
      <xdr:col>10</xdr:col>
      <xdr:colOff>621447</xdr:colOff>
      <xdr:row>4</xdr:row>
      <xdr:rowOff>185570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159EE029-668B-4C78-B635-049CD9AE87F9}"/>
            </a:ext>
          </a:extLst>
        </xdr:cNvPr>
        <xdr:cNvCxnSpPr>
          <a:stCxn id="2" idx="0"/>
        </xdr:cNvCxnSpPr>
      </xdr:nvCxnSpPr>
      <xdr:spPr>
        <a:xfrm flipH="1">
          <a:off x="5545439" y="1115209"/>
          <a:ext cx="3022579" cy="17418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325867</xdr:colOff>
      <xdr:row>13</xdr:row>
      <xdr:rowOff>95025</xdr:rowOff>
    </xdr:from>
    <xdr:to>
      <xdr:col>7</xdr:col>
      <xdr:colOff>469770</xdr:colOff>
      <xdr:row>27</xdr:row>
      <xdr:rowOff>171276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DCBFD788-9E0A-4B9A-8C39-F13725D25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1543050</xdr:colOff>
      <xdr:row>28</xdr:row>
      <xdr:rowOff>180975</xdr:rowOff>
    </xdr:from>
    <xdr:to>
      <xdr:col>9</xdr:col>
      <xdr:colOff>323850</xdr:colOff>
      <xdr:row>53</xdr:row>
      <xdr:rowOff>60624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2383AFE-3C04-4C3A-BF3C-83EB819D0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5530" y="5316855"/>
          <a:ext cx="6118860" cy="44516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1704974</xdr:colOff>
      <xdr:row>13</xdr:row>
      <xdr:rowOff>152400</xdr:rowOff>
    </xdr:from>
    <xdr:to>
      <xdr:col>9</xdr:col>
      <xdr:colOff>28574</xdr:colOff>
      <xdr:row>28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2308C68-4677-4D96-84AA-1E36F548E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23812</xdr:colOff>
      <xdr:row>17</xdr:row>
      <xdr:rowOff>104775</xdr:rowOff>
    </xdr:from>
    <xdr:ext cx="2836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6AA6A6B0-BF9E-437E-B9C0-8F0292770D78}"/>
                </a:ext>
              </a:extLst>
            </xdr:cNvPr>
            <xdr:cNvSpPr txBox="1"/>
          </xdr:nvSpPr>
          <xdr:spPr>
            <a:xfrm>
              <a:off x="10531792" y="322897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𝜑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25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6AA6A6B0-BF9E-437E-B9C0-8F0292770D78}"/>
                </a:ext>
              </a:extLst>
            </xdr:cNvPr>
            <xdr:cNvSpPr txBox="1"/>
          </xdr:nvSpPr>
          <xdr:spPr>
            <a:xfrm>
              <a:off x="10531792" y="322897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𝜑25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8</xdr:col>
      <xdr:colOff>304800</xdr:colOff>
      <xdr:row>52</xdr:row>
      <xdr:rowOff>76200</xdr:rowOff>
    </xdr:from>
    <xdr:to>
      <xdr:col>10</xdr:col>
      <xdr:colOff>554296</xdr:colOff>
      <xdr:row>54</xdr:row>
      <xdr:rowOff>69882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2296AD7-90A7-42A9-B4DF-75F6468DD153}"/>
            </a:ext>
            <a:ext uri="{147F2762-F138-4A5C-976F-8EAC2B608ADB}">
              <a16:predDERef xmlns:a16="http://schemas.microsoft.com/office/drawing/2014/main" pred="{93A677FF-ED28-8A4C-A7EF-7132975CF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42860" y="9601200"/>
          <a:ext cx="1834456" cy="35944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10</xdr:row>
      <xdr:rowOff>53340</xdr:rowOff>
    </xdr:from>
    <xdr:to>
      <xdr:col>15</xdr:col>
      <xdr:colOff>399778</xdr:colOff>
      <xdr:row>28</xdr:row>
      <xdr:rowOff>1975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C53B346-DC12-4B57-861B-1E2039A99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4660" y="1973580"/>
          <a:ext cx="4133578" cy="333191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381000</xdr:colOff>
      <xdr:row>2</xdr:row>
      <xdr:rowOff>50078</xdr:rowOff>
    </xdr:from>
    <xdr:to>
      <xdr:col>16</xdr:col>
      <xdr:colOff>148317</xdr:colOff>
      <xdr:row>5</xdr:row>
      <xdr:rowOff>16670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775992D-8745-4EB0-8EED-709FC3EED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8280" y="415838"/>
          <a:ext cx="3729717" cy="515232"/>
        </a:xfrm>
        <a:prstGeom prst="rect">
          <a:avLst/>
        </a:prstGeom>
      </xdr:spPr>
    </xdr:pic>
    <xdr:clientData/>
  </xdr:twoCellAnchor>
  <xdr:oneCellAnchor>
    <xdr:from>
      <xdr:col>11</xdr:col>
      <xdr:colOff>705665</xdr:colOff>
      <xdr:row>22</xdr:row>
      <xdr:rowOff>129540</xdr:rowOff>
    </xdr:from>
    <xdr:ext cx="2241288" cy="805543"/>
    <xdr:pic>
      <xdr:nvPicPr>
        <xdr:cNvPr id="3" name="Grafik 2">
          <a:extLst>
            <a:ext uri="{FF2B5EF4-FFF2-40B4-BE49-F238E27FC236}">
              <a16:creationId xmlns:a16="http://schemas.microsoft.com/office/drawing/2014/main" id="{11A05E4A-42A7-4770-AB63-2F2853039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22945" y="4152900"/>
          <a:ext cx="2241288" cy="805543"/>
        </a:xfrm>
        <a:prstGeom prst="rect">
          <a:avLst/>
        </a:prstGeom>
      </xdr:spPr>
    </xdr:pic>
    <xdr:clientData/>
  </xdr:oneCellAnchor>
  <xdr:twoCellAnchor>
    <xdr:from>
      <xdr:col>5</xdr:col>
      <xdr:colOff>293370</xdr:colOff>
      <xdr:row>17</xdr:row>
      <xdr:rowOff>3810</xdr:rowOff>
    </xdr:from>
    <xdr:to>
      <xdr:col>10</xdr:col>
      <xdr:colOff>746760</xdr:colOff>
      <xdr:row>30</xdr:row>
      <xdr:rowOff>167640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AA55BCA-A1C1-CB4D-6264-1EDF213969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312420</xdr:colOff>
      <xdr:row>1</xdr:row>
      <xdr:rowOff>76200</xdr:rowOff>
    </xdr:from>
    <xdr:to>
      <xdr:col>10</xdr:col>
      <xdr:colOff>723900</xdr:colOff>
      <xdr:row>15</xdr:row>
      <xdr:rowOff>38100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46F2315-51F7-40BB-AD2C-1F5D19C6F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11</xdr:col>
      <xdr:colOff>358140</xdr:colOff>
      <xdr:row>5</xdr:row>
      <xdr:rowOff>163019</xdr:rowOff>
    </xdr:from>
    <xdr:to>
      <xdr:col>15</xdr:col>
      <xdr:colOff>10398</xdr:colOff>
      <xdr:row>16</xdr:row>
      <xdr:rowOff>160021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1279C65A-0BCA-9C97-805F-96F904909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075420" y="1077419"/>
          <a:ext cx="2822178" cy="2008682"/>
        </a:xfrm>
        <a:prstGeom prst="rect">
          <a:avLst/>
        </a:prstGeom>
      </xdr:spPr>
    </xdr:pic>
    <xdr:clientData/>
  </xdr:twoCellAnchor>
  <xdr:twoCellAnchor>
    <xdr:from>
      <xdr:col>5</xdr:col>
      <xdr:colOff>251460</xdr:colOff>
      <xdr:row>49</xdr:row>
      <xdr:rowOff>3810</xdr:rowOff>
    </xdr:from>
    <xdr:to>
      <xdr:col>10</xdr:col>
      <xdr:colOff>704850</xdr:colOff>
      <xdr:row>62</xdr:row>
      <xdr:rowOff>167640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DCB96834-F958-4AA0-8A42-BA27DA774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270510</xdr:colOff>
      <xdr:row>33</xdr:row>
      <xdr:rowOff>76200</xdr:rowOff>
    </xdr:from>
    <xdr:to>
      <xdr:col>10</xdr:col>
      <xdr:colOff>681990</xdr:colOff>
      <xdr:row>47</xdr:row>
      <xdr:rowOff>38100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1C928DB4-9DF4-4F23-887B-3E920AEDA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FL_Calc_The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diagramms"/>
      <sheetName val="CLmax_Raymer"/>
    </sheetNames>
    <sheetDataSet>
      <sheetData sheetId="0"/>
      <sheetData sheetId="1"/>
      <sheetData sheetId="2">
        <row r="5">
          <cell r="C5">
            <v>0</v>
          </cell>
          <cell r="D5">
            <v>10</v>
          </cell>
          <cell r="E5">
            <v>20</v>
          </cell>
          <cell r="F5">
            <v>30</v>
          </cell>
          <cell r="G5">
            <v>40</v>
          </cell>
          <cell r="H5">
            <v>50</v>
          </cell>
          <cell r="I5">
            <v>60</v>
          </cell>
        </row>
        <row r="6">
          <cell r="B6" t="str">
            <v>No Flap</v>
          </cell>
          <cell r="C6">
            <v>1.5</v>
          </cell>
          <cell r="D6">
            <v>1.477211629518312</v>
          </cell>
          <cell r="E6">
            <v>1.4095389311788626</v>
          </cell>
          <cell r="F6">
            <v>1.299038105676658</v>
          </cell>
          <cell r="G6">
            <v>1.1490666646784671</v>
          </cell>
          <cell r="H6">
            <v>0.9641814145298091</v>
          </cell>
          <cell r="I6">
            <v>0.75000000000000022</v>
          </cell>
        </row>
        <row r="7">
          <cell r="B7" t="str">
            <v>Plain Flap</v>
          </cell>
          <cell r="C7">
            <v>1.8</v>
          </cell>
          <cell r="D7">
            <v>1.7726539554219745</v>
          </cell>
          <cell r="E7">
            <v>1.6914467174146353</v>
          </cell>
          <cell r="F7">
            <v>1.5588457268119897</v>
          </cell>
          <cell r="G7">
            <v>1.3788799976141604</v>
          </cell>
          <cell r="H7">
            <v>1.1570176974357709</v>
          </cell>
          <cell r="I7">
            <v>0.90000000000000024</v>
          </cell>
        </row>
        <row r="8">
          <cell r="B8" t="str">
            <v>Slotted Flap</v>
          </cell>
          <cell r="C8">
            <v>2.2000000000000002</v>
          </cell>
          <cell r="D8">
            <v>2.1665770566268576</v>
          </cell>
          <cell r="E8">
            <v>2.0673237657289989</v>
          </cell>
          <cell r="F8">
            <v>1.9052558883257653</v>
          </cell>
          <cell r="G8">
            <v>1.6852977748617517</v>
          </cell>
          <cell r="H8">
            <v>1.4141327413103868</v>
          </cell>
          <cell r="I8">
            <v>1.1000000000000003</v>
          </cell>
        </row>
        <row r="9">
          <cell r="B9" t="str">
            <v>Fowler Flap</v>
          </cell>
          <cell r="C9">
            <v>2.5</v>
          </cell>
          <cell r="D9">
            <v>2.4620193825305199</v>
          </cell>
          <cell r="E9">
            <v>2.3492315519647713</v>
          </cell>
          <cell r="F9">
            <v>2.1650635094610968</v>
          </cell>
          <cell r="G9">
            <v>1.915111107797445</v>
          </cell>
          <cell r="H9">
            <v>1.6069690242163484</v>
          </cell>
          <cell r="I9">
            <v>1.2500000000000002</v>
          </cell>
        </row>
        <row r="10">
          <cell r="B10" t="str">
            <v>Double Slotted Flap</v>
          </cell>
          <cell r="C10">
            <v>2.7</v>
          </cell>
          <cell r="D10">
            <v>2.6589809331329617</v>
          </cell>
          <cell r="E10">
            <v>2.5371700761219529</v>
          </cell>
          <cell r="F10">
            <v>2.3382685902179845</v>
          </cell>
          <cell r="G10">
            <v>2.0683199964212409</v>
          </cell>
          <cell r="H10">
            <v>1.7355265461536564</v>
          </cell>
          <cell r="I10">
            <v>1.3500000000000003</v>
          </cell>
        </row>
        <row r="11">
          <cell r="B11" t="str">
            <v>Double Slotted Flap &amp; Slat</v>
          </cell>
          <cell r="C11">
            <v>3</v>
          </cell>
          <cell r="D11">
            <v>2.9544232590366239</v>
          </cell>
          <cell r="E11">
            <v>2.8190778623577253</v>
          </cell>
          <cell r="F11">
            <v>2.598076211353316</v>
          </cell>
          <cell r="G11">
            <v>2.2981333293569342</v>
          </cell>
          <cell r="H11">
            <v>1.9283628290596182</v>
          </cell>
          <cell r="I11">
            <v>1.5000000000000004</v>
          </cell>
        </row>
        <row r="12">
          <cell r="B12" t="str">
            <v>Triple Slotted Flap &amp; Slat</v>
          </cell>
          <cell r="C12">
            <v>3.4</v>
          </cell>
          <cell r="D12">
            <v>3.3483463602415071</v>
          </cell>
          <cell r="E12">
            <v>3.1949549106720885</v>
          </cell>
          <cell r="F12">
            <v>2.9444863728670914</v>
          </cell>
          <cell r="G12">
            <v>2.604551106604525</v>
          </cell>
          <cell r="H12">
            <v>2.1854778729342339</v>
          </cell>
          <cell r="I12">
            <v>1.7000000000000004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ambridge.org/de/academic/subjects/engineering/aerospace-engineering/aircraft-design?format=HB&amp;isbn=9780521885164" TargetMode="External"/><Relationship Id="rId2" Type="http://schemas.openxmlformats.org/officeDocument/2006/relationships/hyperlink" Target="https://www.academia.edu/35646472/Aircraft_design_Ajoy_Kumar_Kundu" TargetMode="External"/><Relationship Id="rId1" Type="http://schemas.openxmlformats.org/officeDocument/2006/relationships/hyperlink" Target="https://de.scribd.com/document/329784986/Aircraft-Design-pdf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BE6B-FB9B-4DA1-AB43-BE39BD1D9BC1}">
  <dimension ref="B1:BE120"/>
  <sheetViews>
    <sheetView showGridLines="0" tabSelected="1" zoomScale="85" zoomScaleNormal="85" workbookViewId="0">
      <selection activeCell="I6" sqref="I6"/>
    </sheetView>
  </sheetViews>
  <sheetFormatPr baseColWidth="10" defaultRowHeight="14.4" x14ac:dyDescent="0.3"/>
  <cols>
    <col min="1" max="1" width="2.88671875" customWidth="1"/>
    <col min="2" max="2" width="2.33203125" customWidth="1"/>
    <col min="3" max="3" width="5.44140625" customWidth="1"/>
    <col min="4" max="4" width="29.77734375" bestFit="1" customWidth="1"/>
    <col min="6" max="6" width="8.21875" bestFit="1" customWidth="1"/>
    <col min="9" max="9" width="8.33203125" bestFit="1" customWidth="1"/>
    <col min="10" max="10" width="4.77734375" customWidth="1"/>
    <col min="11" max="11" width="11.21875" customWidth="1"/>
    <col min="13" max="13" width="8.88671875" bestFit="1" customWidth="1"/>
    <col min="15" max="15" width="4.21875" customWidth="1"/>
    <col min="16" max="16" width="8.88671875" bestFit="1" customWidth="1"/>
    <col min="19" max="19" width="8.33203125" bestFit="1" customWidth="1"/>
    <col min="20" max="20" width="4.21875" customWidth="1"/>
    <col min="21" max="21" width="8.88671875" bestFit="1" customWidth="1"/>
    <col min="25" max="25" width="3.77734375" style="26" customWidth="1"/>
    <col min="26" max="26" width="11.5546875" style="33"/>
    <col min="27" max="27" width="13.77734375" bestFit="1" customWidth="1"/>
    <col min="29" max="29" width="9.77734375" bestFit="1" customWidth="1"/>
    <col min="30" max="30" width="4.6640625" style="132" customWidth="1"/>
    <col min="31" max="31" width="11.5546875" style="33"/>
    <col min="34" max="34" width="12.6640625" customWidth="1"/>
    <col min="35" max="35" width="4.109375" customWidth="1"/>
    <col min="36" max="36" width="4.88671875" style="26" customWidth="1"/>
    <col min="37" max="37" width="11.5546875" style="33"/>
    <col min="40" max="40" width="12.6640625" customWidth="1"/>
    <col min="41" max="41" width="4.109375" customWidth="1"/>
    <col min="52" max="52" width="4.88671875" style="26" customWidth="1"/>
    <col min="53" max="53" width="11.5546875" style="33"/>
    <col min="56" max="56" width="12.6640625" customWidth="1"/>
    <col min="57" max="57" width="2.88671875" customWidth="1"/>
  </cols>
  <sheetData>
    <row r="1" spans="2:57" ht="15" thickBot="1" x14ac:dyDescent="0.35">
      <c r="D1" s="183" t="s">
        <v>142</v>
      </c>
      <c r="Y1" s="33"/>
      <c r="AJ1" s="33"/>
      <c r="AZ1" s="33"/>
    </row>
    <row r="2" spans="2:57" x14ac:dyDescent="0.3">
      <c r="C2" s="33"/>
      <c r="D2" s="178"/>
      <c r="E2" s="178" t="s">
        <v>143</v>
      </c>
      <c r="F2" s="33"/>
      <c r="Y2" s="33"/>
      <c r="AJ2" s="33"/>
      <c r="AZ2" s="33"/>
    </row>
    <row r="3" spans="2:57" x14ac:dyDescent="0.3">
      <c r="C3" s="33"/>
      <c r="D3" s="176" t="s">
        <v>141</v>
      </c>
      <c r="E3" s="174">
        <f>AF90</f>
        <v>2332.7525568338488</v>
      </c>
      <c r="F3" s="33"/>
      <c r="Y3" s="33"/>
      <c r="AJ3" s="33"/>
      <c r="AZ3" s="33"/>
    </row>
    <row r="4" spans="2:57" x14ac:dyDescent="0.3">
      <c r="C4" s="33"/>
      <c r="D4" s="176" t="s">
        <v>139</v>
      </c>
      <c r="E4" s="174">
        <f>V90</f>
        <v>2321.8177792236902</v>
      </c>
      <c r="F4" s="33"/>
      <c r="Y4" s="33"/>
      <c r="AJ4" s="33"/>
      <c r="AZ4" s="33"/>
    </row>
    <row r="5" spans="2:57" x14ac:dyDescent="0.3">
      <c r="C5" s="33"/>
      <c r="D5" s="176" t="s">
        <v>140</v>
      </c>
      <c r="E5" s="174">
        <f>AA90</f>
        <v>2690.2959383050761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AJ5" s="33"/>
      <c r="AZ5" s="33"/>
    </row>
    <row r="6" spans="2:57" ht="15" thickBot="1" x14ac:dyDescent="0.35">
      <c r="C6" s="33"/>
      <c r="D6" s="177" t="s">
        <v>152</v>
      </c>
      <c r="E6" s="175">
        <f>Q90</f>
        <v>2404.7031426596759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Y6" s="33"/>
      <c r="AJ6" s="33"/>
      <c r="AZ6" s="33"/>
    </row>
    <row r="7" spans="2:57" ht="21" x14ac:dyDescent="0.4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135"/>
      <c r="AE7" s="53"/>
      <c r="AF7" s="53"/>
      <c r="AG7" s="53"/>
      <c r="AH7" s="53"/>
      <c r="AI7" s="51"/>
      <c r="AJ7" s="53"/>
      <c r="AK7" s="53"/>
      <c r="AL7" s="53"/>
      <c r="AM7" s="53"/>
      <c r="AN7" s="53"/>
      <c r="AO7" s="51"/>
      <c r="AZ7" s="53"/>
      <c r="BA7" s="53"/>
      <c r="BB7" s="53"/>
      <c r="BC7" s="53"/>
      <c r="BD7" s="53"/>
      <c r="BE7" s="51"/>
    </row>
    <row r="8" spans="2:57" ht="21" x14ac:dyDescent="0.4">
      <c r="C8" s="1"/>
      <c r="D8" s="5"/>
      <c r="E8" s="173"/>
      <c r="F8" s="173"/>
      <c r="G8" s="173" t="s">
        <v>71</v>
      </c>
      <c r="H8" s="173"/>
      <c r="I8" s="28"/>
      <c r="J8" s="28"/>
      <c r="K8" s="28"/>
      <c r="L8" s="28"/>
      <c r="M8" s="28"/>
      <c r="N8" s="28"/>
      <c r="O8" s="37"/>
      <c r="P8" s="35"/>
      <c r="Q8" s="140" t="s">
        <v>147</v>
      </c>
      <c r="R8" s="140"/>
      <c r="S8" s="28"/>
      <c r="T8" s="37"/>
      <c r="U8" s="35"/>
      <c r="V8" s="190" t="s">
        <v>148</v>
      </c>
      <c r="W8" s="190"/>
      <c r="X8" s="28"/>
      <c r="Y8" s="154" t="s">
        <v>68</v>
      </c>
      <c r="Z8" s="155"/>
      <c r="AA8" s="140"/>
      <c r="AB8" s="140"/>
      <c r="AC8" s="140"/>
      <c r="AD8" s="135"/>
      <c r="AE8" s="155" t="s">
        <v>107</v>
      </c>
      <c r="AF8" s="140"/>
      <c r="AG8" s="140"/>
      <c r="AH8" s="140"/>
      <c r="AI8" s="4"/>
      <c r="AJ8" s="154" t="s">
        <v>107</v>
      </c>
      <c r="AK8" s="155"/>
      <c r="AL8" s="140"/>
      <c r="AM8" s="140"/>
      <c r="AN8" s="140"/>
      <c r="AO8" s="4"/>
      <c r="AZ8" s="154" t="s">
        <v>69</v>
      </c>
      <c r="BA8" s="155"/>
      <c r="BB8" s="140"/>
      <c r="BC8" s="140"/>
      <c r="BD8" s="140"/>
      <c r="BE8" s="4"/>
    </row>
    <row r="9" spans="2:57" x14ac:dyDescent="0.3">
      <c r="C9" s="1"/>
      <c r="D9" s="5"/>
      <c r="E9" s="5"/>
      <c r="F9" s="5"/>
      <c r="G9" s="5"/>
      <c r="H9" s="5"/>
      <c r="I9" s="2"/>
      <c r="J9" s="2"/>
      <c r="K9" s="2"/>
      <c r="L9" s="2"/>
      <c r="M9" s="2"/>
      <c r="N9" s="2"/>
      <c r="O9" s="17"/>
      <c r="P9" s="36"/>
      <c r="Q9" s="5"/>
      <c r="R9" s="5"/>
      <c r="S9" s="2"/>
      <c r="T9" s="17"/>
      <c r="U9" s="36"/>
      <c r="V9" s="5"/>
      <c r="W9" s="5"/>
      <c r="X9" s="2"/>
      <c r="Y9" s="17"/>
      <c r="Z9" s="29"/>
      <c r="AA9" s="2"/>
      <c r="AB9" s="2"/>
      <c r="AC9" s="5"/>
      <c r="AD9" s="135"/>
      <c r="AE9" s="29"/>
      <c r="AF9" s="2"/>
      <c r="AG9" s="2"/>
      <c r="AH9" s="5"/>
      <c r="AI9" s="4"/>
      <c r="AJ9" s="17"/>
      <c r="AK9" s="29"/>
      <c r="AL9" s="2"/>
      <c r="AM9" s="2"/>
      <c r="AN9" s="5"/>
      <c r="AO9" s="4"/>
      <c r="AZ9" s="17"/>
      <c r="BA9" s="29"/>
      <c r="BB9" s="2"/>
      <c r="BC9" s="2"/>
      <c r="BD9" s="5"/>
      <c r="BE9" s="4"/>
    </row>
    <row r="10" spans="2:57" x14ac:dyDescent="0.3">
      <c r="C10" s="1"/>
      <c r="D10" s="5"/>
      <c r="E10" s="5"/>
      <c r="F10" s="27"/>
      <c r="G10" s="5"/>
      <c r="H10" s="5"/>
      <c r="I10" s="2"/>
      <c r="J10" s="2"/>
      <c r="K10" s="2"/>
      <c r="L10" s="2"/>
      <c r="M10" s="2"/>
      <c r="N10" s="2"/>
      <c r="O10" s="17"/>
      <c r="P10" s="30"/>
      <c r="Q10" s="5"/>
      <c r="R10" s="5"/>
      <c r="S10" s="2"/>
      <c r="T10" s="17"/>
      <c r="U10" s="30"/>
      <c r="V10" s="5"/>
      <c r="W10" s="5"/>
      <c r="X10" s="2"/>
      <c r="Y10" s="17"/>
      <c r="Z10" s="29"/>
      <c r="AA10" s="2"/>
      <c r="AB10" s="2"/>
      <c r="AC10" s="5"/>
      <c r="AD10" s="135"/>
      <c r="AE10" s="29"/>
      <c r="AF10" s="2"/>
      <c r="AG10" s="2"/>
      <c r="AH10" s="5"/>
      <c r="AI10" s="4"/>
      <c r="AJ10" s="17"/>
      <c r="AK10" s="29"/>
      <c r="AL10" s="2"/>
      <c r="AM10" s="2"/>
      <c r="AN10" s="5"/>
      <c r="AO10" s="4"/>
      <c r="AZ10" s="17"/>
      <c r="BA10" s="29"/>
      <c r="BB10" s="2"/>
      <c r="BC10" s="2"/>
      <c r="BD10" s="5"/>
      <c r="BE10" s="4"/>
    </row>
    <row r="11" spans="2:57" x14ac:dyDescent="0.3">
      <c r="C11" s="1"/>
      <c r="D11" s="5"/>
      <c r="E11" s="5"/>
      <c r="F11" s="58" t="s">
        <v>65</v>
      </c>
      <c r="G11" s="59"/>
      <c r="H11" s="59"/>
      <c r="I11" s="60" t="s">
        <v>66</v>
      </c>
      <c r="J11" s="60"/>
      <c r="K11" s="166" t="s">
        <v>91</v>
      </c>
      <c r="L11" s="166"/>
      <c r="M11" s="60" t="s">
        <v>66</v>
      </c>
      <c r="N11" s="60"/>
      <c r="O11" s="61"/>
      <c r="P11" s="62" t="s">
        <v>65</v>
      </c>
      <c r="Q11" s="59"/>
      <c r="R11" s="59"/>
      <c r="S11" s="83" t="s">
        <v>66</v>
      </c>
      <c r="T11" s="61"/>
      <c r="U11" s="62" t="s">
        <v>65</v>
      </c>
      <c r="V11" s="59"/>
      <c r="W11" s="59"/>
      <c r="X11" s="60" t="s">
        <v>66</v>
      </c>
      <c r="Y11" s="17"/>
      <c r="Z11" s="62" t="s">
        <v>65</v>
      </c>
      <c r="AA11" s="2"/>
      <c r="AB11" s="2"/>
      <c r="AC11" s="60" t="s">
        <v>66</v>
      </c>
      <c r="AD11" s="135"/>
      <c r="AE11" s="62" t="s">
        <v>65</v>
      </c>
      <c r="AF11" s="2"/>
      <c r="AG11" s="2"/>
      <c r="AH11" s="60" t="s">
        <v>66</v>
      </c>
      <c r="AI11" s="4"/>
      <c r="AJ11" s="17"/>
      <c r="AK11" s="62" t="s">
        <v>65</v>
      </c>
      <c r="AL11" s="2"/>
      <c r="AM11" s="2"/>
      <c r="AN11" s="83" t="s">
        <v>66</v>
      </c>
      <c r="AO11" s="4"/>
      <c r="AZ11" s="17"/>
      <c r="BA11" s="62" t="s">
        <v>65</v>
      </c>
      <c r="BB11" s="2"/>
      <c r="BC11" s="2"/>
      <c r="BD11" s="60" t="s">
        <v>66</v>
      </c>
      <c r="BE11" s="4"/>
    </row>
    <row r="12" spans="2:57" ht="15" thickBot="1" x14ac:dyDescent="0.35">
      <c r="C12" s="1"/>
      <c r="D12" s="2"/>
      <c r="E12" s="5"/>
      <c r="F12" s="2"/>
      <c r="G12" s="2"/>
      <c r="H12" s="2"/>
      <c r="I12" s="2"/>
      <c r="J12" s="2"/>
      <c r="K12" s="2"/>
      <c r="L12" s="2"/>
      <c r="M12" s="2"/>
      <c r="N12" s="2"/>
      <c r="O12" s="17"/>
      <c r="P12" s="29"/>
      <c r="Q12" s="2"/>
      <c r="R12" s="2"/>
      <c r="S12" s="2"/>
      <c r="T12" s="17"/>
      <c r="U12" s="29"/>
      <c r="V12" s="2"/>
      <c r="W12" s="2"/>
      <c r="X12" s="2"/>
      <c r="Y12" s="17"/>
      <c r="Z12" s="29"/>
      <c r="AA12" s="2"/>
      <c r="AB12" s="2"/>
      <c r="AC12" s="2"/>
      <c r="AD12" s="119"/>
      <c r="AE12" s="29"/>
      <c r="AF12" s="2"/>
      <c r="AG12" s="2"/>
      <c r="AH12" s="2"/>
      <c r="AI12" s="2"/>
      <c r="AJ12" s="17"/>
      <c r="AK12" s="29"/>
      <c r="AL12" s="2"/>
      <c r="AM12" s="2"/>
      <c r="AN12" s="2"/>
      <c r="AO12" s="2"/>
      <c r="AZ12" s="17"/>
      <c r="BA12" s="29"/>
      <c r="BB12" s="2"/>
      <c r="BC12" s="2"/>
      <c r="BD12" s="2"/>
      <c r="BE12" s="2"/>
    </row>
    <row r="13" spans="2:57" ht="17.399999999999999" thickTop="1" x14ac:dyDescent="0.35">
      <c r="C13" s="7"/>
      <c r="D13" s="5" t="s">
        <v>3</v>
      </c>
      <c r="E13" s="5"/>
      <c r="F13" s="27" t="s">
        <v>4</v>
      </c>
      <c r="G13" s="167">
        <v>122.6</v>
      </c>
      <c r="H13" s="168"/>
      <c r="I13" s="6" t="s">
        <v>5</v>
      </c>
      <c r="J13" s="18"/>
      <c r="K13" s="152">
        <f>G13*10.7639</f>
        <v>1319.6541399999999</v>
      </c>
      <c r="L13" s="153"/>
      <c r="M13" s="6" t="s">
        <v>58</v>
      </c>
      <c r="N13" s="6"/>
      <c r="O13" s="18"/>
      <c r="P13" s="30" t="s">
        <v>4</v>
      </c>
      <c r="Q13" s="148">
        <f>G13</f>
        <v>122.6</v>
      </c>
      <c r="R13" s="149"/>
      <c r="S13" s="6" t="s">
        <v>5</v>
      </c>
      <c r="T13" s="18"/>
      <c r="U13" s="30" t="s">
        <v>4</v>
      </c>
      <c r="V13" s="148">
        <f>G13</f>
        <v>122.6</v>
      </c>
      <c r="W13" s="149"/>
      <c r="X13" s="6" t="s">
        <v>5</v>
      </c>
      <c r="Y13" s="17"/>
      <c r="Z13" s="30" t="s">
        <v>4</v>
      </c>
      <c r="AA13" s="142">
        <f>K13</f>
        <v>1319.6541399999999</v>
      </c>
      <c r="AB13" s="143"/>
      <c r="AC13" s="6" t="s">
        <v>58</v>
      </c>
      <c r="AD13" s="113"/>
      <c r="AE13" s="30" t="s">
        <v>4</v>
      </c>
      <c r="AF13" s="142">
        <f>G13</f>
        <v>122.6</v>
      </c>
      <c r="AG13" s="143"/>
      <c r="AH13" s="6" t="s">
        <v>58</v>
      </c>
      <c r="AI13" s="6"/>
      <c r="AJ13" s="17"/>
      <c r="AK13" s="30" t="s">
        <v>4</v>
      </c>
      <c r="AL13" s="142">
        <f>K13</f>
        <v>1319.6541399999999</v>
      </c>
      <c r="AM13" s="143"/>
      <c r="AN13" s="6" t="s">
        <v>58</v>
      </c>
      <c r="AO13" s="6"/>
      <c r="AZ13" s="17"/>
      <c r="BA13" s="30" t="s">
        <v>4</v>
      </c>
      <c r="BB13" s="142">
        <f>AA13</f>
        <v>1319.6541399999999</v>
      </c>
      <c r="BC13" s="143"/>
      <c r="BD13" s="6" t="s">
        <v>58</v>
      </c>
      <c r="BE13" s="6"/>
    </row>
    <row r="14" spans="2:57" ht="15" thickBot="1" x14ac:dyDescent="0.35">
      <c r="C14" s="7"/>
      <c r="D14" s="5"/>
      <c r="E14" s="5"/>
      <c r="F14" s="27"/>
      <c r="G14" s="5"/>
      <c r="H14" s="6"/>
      <c r="I14" s="6"/>
      <c r="J14" s="18"/>
      <c r="K14" s="5"/>
      <c r="L14" s="6"/>
      <c r="M14" s="6"/>
      <c r="N14" s="6"/>
      <c r="O14" s="18"/>
      <c r="P14" s="30"/>
      <c r="Q14" s="5"/>
      <c r="R14" s="6"/>
      <c r="S14" s="6"/>
      <c r="T14" s="18"/>
      <c r="U14" s="30"/>
      <c r="V14" s="5"/>
      <c r="W14" s="6"/>
      <c r="X14" s="6"/>
      <c r="Y14" s="17"/>
      <c r="Z14" s="29"/>
      <c r="AA14" s="6"/>
      <c r="AB14" s="6"/>
      <c r="AC14" s="6"/>
      <c r="AD14" s="113"/>
      <c r="AE14" s="29"/>
      <c r="AF14" s="57"/>
      <c r="AG14" s="57"/>
      <c r="AH14" s="6"/>
      <c r="AI14" s="6"/>
      <c r="AJ14" s="17"/>
      <c r="AK14" s="29"/>
      <c r="AL14" s="57"/>
      <c r="AM14" s="57"/>
      <c r="AN14" s="6"/>
      <c r="AO14" s="6"/>
      <c r="AZ14" s="17"/>
      <c r="BA14" s="29"/>
      <c r="BB14" s="6"/>
      <c r="BC14" s="6"/>
      <c r="BD14" s="6"/>
      <c r="BE14" s="6"/>
    </row>
    <row r="15" spans="2:57" ht="16.2" thickTop="1" x14ac:dyDescent="0.35">
      <c r="C15" s="7"/>
      <c r="D15" s="5" t="s">
        <v>6</v>
      </c>
      <c r="E15" s="5"/>
      <c r="F15" s="27" t="s">
        <v>80</v>
      </c>
      <c r="G15" s="167">
        <v>78000</v>
      </c>
      <c r="H15" s="168"/>
      <c r="I15" s="6" t="s">
        <v>8</v>
      </c>
      <c r="J15" s="18"/>
      <c r="K15" s="152">
        <f>G15*2.20462</f>
        <v>171960.36</v>
      </c>
      <c r="L15" s="153"/>
      <c r="M15" s="6" t="s">
        <v>57</v>
      </c>
      <c r="N15" s="6"/>
      <c r="O15" s="18"/>
      <c r="P15" s="27" t="s">
        <v>80</v>
      </c>
      <c r="Q15" s="148">
        <f>G15</f>
        <v>78000</v>
      </c>
      <c r="R15" s="149"/>
      <c r="S15" s="6" t="s">
        <v>8</v>
      </c>
      <c r="T15" s="18"/>
      <c r="U15" s="27" t="s">
        <v>80</v>
      </c>
      <c r="V15" s="148">
        <f>G15</f>
        <v>78000</v>
      </c>
      <c r="W15" s="149"/>
      <c r="X15" s="6" t="s">
        <v>8</v>
      </c>
      <c r="Y15" s="17"/>
      <c r="Z15" s="27" t="s">
        <v>80</v>
      </c>
      <c r="AA15" s="152">
        <f>K15</f>
        <v>171960.36</v>
      </c>
      <c r="AB15" s="153"/>
      <c r="AC15" s="6" t="s">
        <v>57</v>
      </c>
      <c r="AD15" s="113"/>
      <c r="AE15" s="27" t="s">
        <v>80</v>
      </c>
      <c r="AF15" s="142">
        <f>G15</f>
        <v>78000</v>
      </c>
      <c r="AG15" s="143"/>
      <c r="AH15" s="6" t="s">
        <v>57</v>
      </c>
      <c r="AI15" s="6"/>
      <c r="AJ15" s="17"/>
      <c r="AK15" s="27" t="s">
        <v>80</v>
      </c>
      <c r="AL15" s="142">
        <f>K15</f>
        <v>171960.36</v>
      </c>
      <c r="AM15" s="143"/>
      <c r="AN15" s="6" t="s">
        <v>57</v>
      </c>
      <c r="AO15" s="6"/>
      <c r="AZ15" s="17"/>
      <c r="BA15" s="27" t="s">
        <v>80</v>
      </c>
      <c r="BB15" s="152">
        <f>AF15</f>
        <v>78000</v>
      </c>
      <c r="BC15" s="153"/>
      <c r="BD15" s="6" t="s">
        <v>57</v>
      </c>
      <c r="BE15" s="6"/>
    </row>
    <row r="16" spans="2:57" ht="15" thickBot="1" x14ac:dyDescent="0.35">
      <c r="C16" s="7"/>
      <c r="D16" s="5"/>
      <c r="E16" s="5"/>
      <c r="F16" s="27"/>
      <c r="G16" s="5"/>
      <c r="H16" s="6"/>
      <c r="I16" s="6"/>
      <c r="J16" s="18"/>
      <c r="K16" s="5"/>
      <c r="L16" s="6"/>
      <c r="M16" s="6"/>
      <c r="N16" s="6"/>
      <c r="O16" s="18"/>
      <c r="P16" s="30"/>
      <c r="Q16" s="5"/>
      <c r="R16" s="6"/>
      <c r="S16" s="6"/>
      <c r="T16" s="18"/>
      <c r="U16" s="30"/>
      <c r="V16" s="5"/>
      <c r="W16" s="6"/>
      <c r="X16" s="6"/>
      <c r="Y16" s="17"/>
      <c r="Z16" s="29"/>
      <c r="AA16" s="57"/>
      <c r="AB16" s="57"/>
      <c r="AC16" s="6"/>
      <c r="AD16" s="113"/>
      <c r="AE16" s="29"/>
      <c r="AF16" s="6"/>
      <c r="AG16" s="6"/>
      <c r="AH16" s="6"/>
      <c r="AI16" s="6"/>
      <c r="AJ16" s="17"/>
      <c r="AK16" s="29"/>
      <c r="AL16" s="6"/>
      <c r="AM16" s="6"/>
      <c r="AN16" s="6"/>
      <c r="AO16" s="6"/>
      <c r="AZ16" s="17"/>
      <c r="BA16" s="29"/>
      <c r="BB16" s="6"/>
      <c r="BC16" s="6"/>
      <c r="BD16" s="6"/>
      <c r="BE16" s="6"/>
    </row>
    <row r="17" spans="3:57" ht="16.8" thickTop="1" x14ac:dyDescent="0.3">
      <c r="C17" s="7"/>
      <c r="D17" s="5" t="s">
        <v>94</v>
      </c>
      <c r="E17" s="5"/>
      <c r="F17" s="27" t="s">
        <v>93</v>
      </c>
      <c r="G17" s="148">
        <v>9.8066499999999994</v>
      </c>
      <c r="H17" s="149"/>
      <c r="I17" s="6" t="s">
        <v>96</v>
      </c>
      <c r="J17" s="18"/>
      <c r="K17" s="148">
        <v>9.8066499999999994</v>
      </c>
      <c r="L17" s="149"/>
      <c r="M17" s="6" t="s">
        <v>95</v>
      </c>
      <c r="N17" s="6"/>
      <c r="O17" s="18"/>
      <c r="P17" s="27" t="s">
        <v>93</v>
      </c>
      <c r="Q17" s="148">
        <f>G17</f>
        <v>9.8066499999999994</v>
      </c>
      <c r="R17" s="149"/>
      <c r="S17" s="6" t="s">
        <v>96</v>
      </c>
      <c r="T17" s="18"/>
      <c r="U17" s="27" t="s">
        <v>93</v>
      </c>
      <c r="V17" s="148">
        <f>G17</f>
        <v>9.8066499999999994</v>
      </c>
      <c r="W17" s="149"/>
      <c r="X17" s="6" t="s">
        <v>96</v>
      </c>
      <c r="Y17" s="17"/>
      <c r="Z17" s="57"/>
      <c r="AA17" s="57"/>
      <c r="AB17" s="57"/>
      <c r="AC17" s="57"/>
      <c r="AD17" s="113"/>
      <c r="AE17" s="29"/>
      <c r="AF17" s="29"/>
      <c r="AG17" s="29"/>
      <c r="AH17" s="29"/>
      <c r="AI17" s="6"/>
      <c r="AJ17" s="17"/>
      <c r="AK17" s="29"/>
      <c r="AL17" s="29"/>
      <c r="AM17" s="29"/>
      <c r="AN17" s="29"/>
      <c r="AO17" s="6"/>
      <c r="AZ17" s="17"/>
      <c r="BA17" s="29"/>
      <c r="BB17" s="29"/>
      <c r="BC17" s="29"/>
      <c r="BD17" s="29"/>
      <c r="BE17" s="6"/>
    </row>
    <row r="18" spans="3:57" ht="15" thickBot="1" x14ac:dyDescent="0.35">
      <c r="C18" s="7"/>
      <c r="D18" s="5"/>
      <c r="E18" s="5"/>
      <c r="F18" s="27"/>
      <c r="G18" s="5"/>
      <c r="H18" s="6"/>
      <c r="I18" s="6"/>
      <c r="J18" s="18"/>
      <c r="K18" s="5"/>
      <c r="L18" s="6"/>
      <c r="M18" s="6"/>
      <c r="N18" s="6"/>
      <c r="O18" s="18"/>
      <c r="P18" s="30"/>
      <c r="Q18" s="5"/>
      <c r="R18" s="6"/>
      <c r="S18" s="6"/>
      <c r="T18" s="18"/>
      <c r="U18" s="30"/>
      <c r="V18" s="5"/>
      <c r="W18" s="6"/>
      <c r="X18" s="6"/>
      <c r="Y18" s="17"/>
      <c r="Z18" s="57"/>
      <c r="AA18" s="57"/>
      <c r="AB18" s="57"/>
      <c r="AC18" s="57"/>
      <c r="AD18" s="113"/>
      <c r="AE18" s="29"/>
      <c r="AF18" s="6"/>
      <c r="AG18" s="6"/>
      <c r="AH18" s="6"/>
      <c r="AI18" s="6"/>
      <c r="AJ18" s="17"/>
      <c r="AK18" s="29"/>
      <c r="AL18" s="6"/>
      <c r="AM18" s="6"/>
      <c r="AN18" s="6"/>
      <c r="AO18" s="6"/>
      <c r="AZ18" s="17"/>
      <c r="BA18" s="29"/>
      <c r="BB18" s="6"/>
      <c r="BC18" s="6"/>
      <c r="BD18" s="6"/>
      <c r="BE18" s="6"/>
    </row>
    <row r="19" spans="3:57" ht="16.2" thickTop="1" x14ac:dyDescent="0.35">
      <c r="C19" s="7"/>
      <c r="D19" s="5" t="s">
        <v>78</v>
      </c>
      <c r="E19" s="5"/>
      <c r="F19" s="27" t="s">
        <v>79</v>
      </c>
      <c r="G19" s="152">
        <f>G15*G17</f>
        <v>764918.7</v>
      </c>
      <c r="H19" s="153"/>
      <c r="I19" s="6" t="s">
        <v>10</v>
      </c>
      <c r="J19" s="18"/>
      <c r="K19" s="152">
        <f>V19*0.224809</f>
        <v>171960.60802829999</v>
      </c>
      <c r="L19" s="153"/>
      <c r="M19" s="6" t="s">
        <v>59</v>
      </c>
      <c r="N19" s="6"/>
      <c r="O19" s="18"/>
      <c r="P19" s="27" t="s">
        <v>79</v>
      </c>
      <c r="Q19" s="148">
        <f>G19</f>
        <v>764918.7</v>
      </c>
      <c r="R19" s="149"/>
      <c r="S19" s="6" t="s">
        <v>10</v>
      </c>
      <c r="T19" s="18"/>
      <c r="U19" s="27" t="s">
        <v>79</v>
      </c>
      <c r="V19" s="148">
        <f>G19</f>
        <v>764918.7</v>
      </c>
      <c r="W19" s="149"/>
      <c r="X19" s="6" t="s">
        <v>10</v>
      </c>
      <c r="Y19" s="17"/>
      <c r="Z19" s="27" t="s">
        <v>79</v>
      </c>
      <c r="AA19" s="152">
        <f>K19</f>
        <v>171960.60802829999</v>
      </c>
      <c r="AB19" s="153"/>
      <c r="AC19" s="6" t="s">
        <v>59</v>
      </c>
      <c r="AD19" s="113"/>
      <c r="AE19" s="27" t="s">
        <v>79</v>
      </c>
      <c r="AF19" s="142">
        <f>G19</f>
        <v>764918.7</v>
      </c>
      <c r="AG19" s="143"/>
      <c r="AH19" s="6" t="s">
        <v>59</v>
      </c>
      <c r="AI19" s="6"/>
      <c r="AJ19" s="17"/>
      <c r="AK19" s="27" t="s">
        <v>79</v>
      </c>
      <c r="AL19" s="142">
        <f>K19</f>
        <v>171960.60802829999</v>
      </c>
      <c r="AM19" s="143"/>
      <c r="AN19" s="6" t="s">
        <v>59</v>
      </c>
      <c r="AO19" s="6"/>
      <c r="AZ19" s="17"/>
      <c r="BA19" s="27" t="s">
        <v>79</v>
      </c>
      <c r="BB19" s="152">
        <f>AA19</f>
        <v>171960.60802829999</v>
      </c>
      <c r="BC19" s="153"/>
      <c r="BD19" s="6" t="s">
        <v>59</v>
      </c>
      <c r="BE19" s="6"/>
    </row>
    <row r="20" spans="3:57" ht="15" thickBot="1" x14ac:dyDescent="0.35">
      <c r="C20" s="7"/>
      <c r="D20" s="5"/>
      <c r="E20" s="5"/>
      <c r="F20" s="27"/>
      <c r="G20" s="5"/>
      <c r="H20" s="6"/>
      <c r="I20" s="6"/>
      <c r="J20" s="18"/>
      <c r="K20" s="6"/>
      <c r="L20" s="6"/>
      <c r="M20" s="6"/>
      <c r="N20" s="6"/>
      <c r="O20" s="18"/>
      <c r="P20" s="30"/>
      <c r="Q20" s="6"/>
      <c r="R20" s="6"/>
      <c r="S20" s="6"/>
      <c r="T20" s="18"/>
      <c r="U20" s="30"/>
      <c r="V20" s="6"/>
      <c r="W20" s="6"/>
      <c r="X20" s="6"/>
      <c r="Y20" s="17"/>
      <c r="Z20" s="29"/>
      <c r="AA20" s="100"/>
      <c r="AB20" s="57"/>
      <c r="AC20" s="6"/>
      <c r="AD20" s="113"/>
      <c r="AE20" s="29"/>
      <c r="AF20" s="57"/>
      <c r="AG20" s="57"/>
      <c r="AH20" s="6"/>
      <c r="AI20" s="6"/>
      <c r="AJ20" s="17"/>
      <c r="AK20" s="29"/>
      <c r="AL20" s="57"/>
      <c r="AM20" s="57"/>
      <c r="AN20" s="6"/>
      <c r="AO20" s="6"/>
      <c r="AZ20" s="17"/>
      <c r="BA20" s="29"/>
      <c r="BB20" s="6"/>
      <c r="BC20" s="6"/>
      <c r="BD20" s="6"/>
      <c r="BE20" s="6"/>
    </row>
    <row r="21" spans="3:57" ht="16.2" thickTop="1" x14ac:dyDescent="0.35">
      <c r="C21" s="7"/>
      <c r="D21" s="5" t="s">
        <v>9</v>
      </c>
      <c r="E21" s="5"/>
      <c r="F21" s="27" t="s">
        <v>72</v>
      </c>
      <c r="G21" s="167">
        <v>117900</v>
      </c>
      <c r="H21" s="168"/>
      <c r="I21" s="6" t="s">
        <v>10</v>
      </c>
      <c r="J21" s="18"/>
      <c r="K21" s="152">
        <f>G21*0.224809</f>
        <v>26504.981100000001</v>
      </c>
      <c r="L21" s="153"/>
      <c r="M21" s="6" t="s">
        <v>59</v>
      </c>
      <c r="N21" s="6"/>
      <c r="O21" s="18"/>
      <c r="P21" s="27" t="s">
        <v>72</v>
      </c>
      <c r="Q21" s="148">
        <f>G21</f>
        <v>117900</v>
      </c>
      <c r="R21" s="149"/>
      <c r="S21" s="6" t="s">
        <v>10</v>
      </c>
      <c r="T21" s="18"/>
      <c r="U21" s="27" t="s">
        <v>72</v>
      </c>
      <c r="V21" s="148">
        <f>G21</f>
        <v>117900</v>
      </c>
      <c r="W21" s="149"/>
      <c r="X21" s="6" t="s">
        <v>10</v>
      </c>
      <c r="Y21" s="17"/>
      <c r="Z21" s="27" t="s">
        <v>72</v>
      </c>
      <c r="AA21" s="152">
        <f>K21</f>
        <v>26504.981100000001</v>
      </c>
      <c r="AB21" s="153"/>
      <c r="AC21" s="6" t="s">
        <v>59</v>
      </c>
      <c r="AD21" s="113"/>
      <c r="AE21" s="27" t="s">
        <v>72</v>
      </c>
      <c r="AF21" s="142">
        <f>G21</f>
        <v>117900</v>
      </c>
      <c r="AG21" s="143"/>
      <c r="AH21" s="6" t="s">
        <v>59</v>
      </c>
      <c r="AI21" s="6"/>
      <c r="AJ21" s="17"/>
      <c r="AK21" s="27" t="s">
        <v>72</v>
      </c>
      <c r="AL21" s="142">
        <f>K21</f>
        <v>26504.981100000001</v>
      </c>
      <c r="AM21" s="143"/>
      <c r="AN21" s="6" t="s">
        <v>59</v>
      </c>
      <c r="AO21" s="6"/>
      <c r="AZ21" s="17"/>
      <c r="BA21" s="27" t="s">
        <v>72</v>
      </c>
      <c r="BB21" s="152">
        <f>AA21</f>
        <v>26504.981100000001</v>
      </c>
      <c r="BC21" s="153"/>
      <c r="BD21" s="6" t="s">
        <v>59</v>
      </c>
      <c r="BE21" s="6"/>
    </row>
    <row r="22" spans="3:57" ht="15" thickBot="1" x14ac:dyDescent="0.35">
      <c r="C22" s="7"/>
      <c r="D22" s="5"/>
      <c r="E22" s="5"/>
      <c r="F22" s="27"/>
      <c r="G22" s="5"/>
      <c r="H22" s="6"/>
      <c r="I22" s="6"/>
      <c r="J22" s="6"/>
      <c r="K22" s="6"/>
      <c r="L22" s="6"/>
      <c r="M22" s="6"/>
      <c r="N22" s="6"/>
      <c r="O22" s="18"/>
      <c r="P22" s="30"/>
      <c r="Q22" s="5"/>
      <c r="R22" s="6"/>
      <c r="S22" s="6"/>
      <c r="T22" s="18"/>
      <c r="U22" s="30"/>
      <c r="V22" s="5"/>
      <c r="W22" s="6"/>
      <c r="X22" s="6"/>
      <c r="Y22" s="17"/>
      <c r="Z22" s="29"/>
      <c r="AA22" s="2"/>
      <c r="AB22" s="2"/>
      <c r="AC22" s="6"/>
      <c r="AD22" s="113"/>
      <c r="AE22" s="29"/>
      <c r="AF22" s="2"/>
      <c r="AG22" s="2"/>
      <c r="AH22" s="6"/>
      <c r="AI22" s="6"/>
      <c r="AJ22" s="17"/>
      <c r="AK22" s="29"/>
      <c r="AL22" s="2"/>
      <c r="AM22" s="2"/>
      <c r="AN22" s="6"/>
      <c r="AO22" s="6"/>
      <c r="AZ22" s="17"/>
      <c r="BA22" s="29"/>
      <c r="BB22" s="2"/>
      <c r="BC22" s="2"/>
      <c r="BD22" s="6"/>
      <c r="BE22" s="6"/>
    </row>
    <row r="23" spans="3:57" ht="15" thickTop="1" x14ac:dyDescent="0.3">
      <c r="C23" s="7"/>
      <c r="D23" s="5" t="s">
        <v>55</v>
      </c>
      <c r="E23" s="5"/>
      <c r="F23" s="27" t="s">
        <v>56</v>
      </c>
      <c r="G23" s="167">
        <v>6</v>
      </c>
      <c r="H23" s="168"/>
      <c r="I23" s="6" t="s">
        <v>2</v>
      </c>
      <c r="J23" s="6"/>
      <c r="K23" s="6"/>
      <c r="L23" s="6"/>
      <c r="M23" s="6"/>
      <c r="N23" s="6"/>
      <c r="O23" s="18"/>
      <c r="P23" s="30"/>
      <c r="Q23" s="5"/>
      <c r="R23" s="6"/>
      <c r="S23" s="6"/>
      <c r="T23" s="18"/>
      <c r="U23" s="30"/>
      <c r="V23" s="5"/>
      <c r="W23" s="6"/>
      <c r="X23" s="6"/>
      <c r="Y23" s="17"/>
      <c r="Z23" s="30" t="s">
        <v>56</v>
      </c>
      <c r="AA23" s="148">
        <f>G23</f>
        <v>6</v>
      </c>
      <c r="AB23" s="149"/>
      <c r="AC23" s="6" t="s">
        <v>2</v>
      </c>
      <c r="AD23" s="113"/>
      <c r="AE23" s="2"/>
      <c r="AF23" s="2"/>
      <c r="AG23" s="2"/>
      <c r="AH23" s="2"/>
      <c r="AI23" s="6"/>
      <c r="AJ23" s="17"/>
      <c r="AK23" s="2"/>
      <c r="AL23" s="2"/>
      <c r="AM23" s="2"/>
      <c r="AN23" s="2"/>
      <c r="AO23" s="6"/>
      <c r="AZ23" s="17"/>
      <c r="BA23" s="2"/>
      <c r="BB23" s="2"/>
      <c r="BC23" s="2"/>
      <c r="BD23" s="2"/>
      <c r="BE23" s="6"/>
    </row>
    <row r="24" spans="3:57" ht="15" thickBot="1" x14ac:dyDescent="0.35">
      <c r="C24" s="7"/>
      <c r="D24" s="5"/>
      <c r="E24" s="5"/>
      <c r="F24" s="27"/>
      <c r="G24" s="5"/>
      <c r="H24" s="6"/>
      <c r="I24" s="6"/>
      <c r="J24" s="6"/>
      <c r="K24" s="6"/>
      <c r="L24" s="6"/>
      <c r="M24" s="6"/>
      <c r="N24" s="6"/>
      <c r="O24" s="18"/>
      <c r="P24" s="30"/>
      <c r="Q24" s="5"/>
      <c r="R24" s="6"/>
      <c r="S24" s="6"/>
      <c r="T24" s="18"/>
      <c r="U24" s="30"/>
      <c r="V24" s="5"/>
      <c r="W24" s="6"/>
      <c r="X24" s="6"/>
      <c r="Y24" s="17"/>
      <c r="Z24" s="29"/>
      <c r="AA24" s="2"/>
      <c r="AB24" s="2"/>
      <c r="AC24" s="6"/>
      <c r="AD24" s="113"/>
      <c r="AE24" s="29"/>
      <c r="AF24" s="2"/>
      <c r="AG24" s="2"/>
      <c r="AH24" s="6"/>
      <c r="AI24" s="6"/>
      <c r="AJ24" s="17"/>
      <c r="AK24" s="29"/>
      <c r="AL24" s="2"/>
      <c r="AM24" s="2"/>
      <c r="AN24" s="6"/>
      <c r="AO24" s="6"/>
      <c r="AZ24" s="17"/>
      <c r="BA24" s="29"/>
      <c r="BB24" s="2"/>
      <c r="BC24" s="2"/>
      <c r="BD24" s="6"/>
      <c r="BE24" s="6"/>
    </row>
    <row r="25" spans="3:57" ht="15" thickTop="1" x14ac:dyDescent="0.3">
      <c r="C25" s="7"/>
      <c r="D25" s="5"/>
      <c r="E25" s="5"/>
      <c r="F25" s="5"/>
      <c r="G25" s="5"/>
      <c r="H25" s="5"/>
      <c r="I25" s="5"/>
      <c r="J25" s="5"/>
      <c r="K25" s="5"/>
      <c r="L25" s="6"/>
      <c r="M25" s="6"/>
      <c r="N25" s="6"/>
      <c r="O25" s="18"/>
      <c r="P25" s="30" t="s">
        <v>12</v>
      </c>
      <c r="Q25" s="148">
        <f>CLmax_Estimation!F9</f>
        <v>25</v>
      </c>
      <c r="R25" s="149"/>
      <c r="S25" s="6" t="s">
        <v>13</v>
      </c>
      <c r="T25" s="18"/>
      <c r="U25" s="30" t="s">
        <v>12</v>
      </c>
      <c r="V25" s="148">
        <f>CLmax_Estimation!F9</f>
        <v>25</v>
      </c>
      <c r="W25" s="149"/>
      <c r="X25" s="6" t="s">
        <v>13</v>
      </c>
      <c r="Y25" s="17"/>
      <c r="Z25" s="29"/>
      <c r="AA25" s="2"/>
      <c r="AB25" s="2"/>
      <c r="AC25" s="6"/>
      <c r="AD25" s="113"/>
      <c r="AE25" s="29"/>
      <c r="AF25" s="2"/>
      <c r="AG25" s="2"/>
      <c r="AH25" s="6"/>
      <c r="AI25" s="6"/>
      <c r="AJ25" s="17"/>
      <c r="AK25" s="29"/>
      <c r="AL25" s="2"/>
      <c r="AM25" s="2"/>
      <c r="AN25" s="6"/>
      <c r="AO25" s="6"/>
      <c r="AZ25" s="17"/>
      <c r="BA25" s="29"/>
      <c r="BB25" s="2"/>
      <c r="BC25" s="2"/>
      <c r="BD25" s="6"/>
      <c r="BE25" s="6"/>
    </row>
    <row r="26" spans="3:57" ht="15" thickBot="1" x14ac:dyDescent="0.35">
      <c r="C26" s="7"/>
      <c r="D26" s="5"/>
      <c r="E26" s="5"/>
      <c r="F26" s="27"/>
      <c r="G26" s="5"/>
      <c r="H26" s="6"/>
      <c r="I26" s="6"/>
      <c r="J26" s="6"/>
      <c r="K26" s="6"/>
      <c r="L26" s="6"/>
      <c r="M26" s="6"/>
      <c r="N26" s="6"/>
      <c r="O26" s="18"/>
      <c r="P26" s="30"/>
      <c r="Q26" s="5"/>
      <c r="R26" s="6"/>
      <c r="S26" s="6"/>
      <c r="T26" s="18"/>
      <c r="U26" s="30"/>
      <c r="V26" s="5"/>
      <c r="W26" s="6"/>
      <c r="X26" s="6"/>
      <c r="Y26" s="17"/>
      <c r="Z26" s="29"/>
      <c r="AA26" s="2"/>
      <c r="AB26" s="2"/>
      <c r="AC26" s="6"/>
      <c r="AD26" s="113"/>
      <c r="AE26" s="29"/>
      <c r="AF26" s="2"/>
      <c r="AG26" s="2"/>
      <c r="AH26" s="6"/>
      <c r="AI26" s="6"/>
      <c r="AJ26" s="17"/>
      <c r="AK26" s="29"/>
      <c r="AL26" s="2"/>
      <c r="AM26" s="2"/>
      <c r="AN26" s="6"/>
      <c r="AO26" s="6"/>
      <c r="AZ26" s="17"/>
      <c r="BA26" s="29"/>
      <c r="BB26" s="2"/>
      <c r="BC26" s="2"/>
      <c r="BD26" s="6"/>
      <c r="BE26" s="6"/>
    </row>
    <row r="27" spans="3:57" ht="15" thickTop="1" x14ac:dyDescent="0.3">
      <c r="C27" s="7"/>
      <c r="D27" s="5" t="s">
        <v>14</v>
      </c>
      <c r="E27" s="5"/>
      <c r="F27" s="27" t="s">
        <v>15</v>
      </c>
      <c r="G27" s="167">
        <v>0</v>
      </c>
      <c r="H27" s="168"/>
      <c r="I27" s="6" t="s">
        <v>61</v>
      </c>
      <c r="J27" s="6"/>
      <c r="K27" s="6"/>
      <c r="L27" s="6"/>
      <c r="M27" s="6"/>
      <c r="N27" s="6"/>
      <c r="O27" s="18"/>
      <c r="P27" s="30" t="s">
        <v>15</v>
      </c>
      <c r="Q27" s="148">
        <f>G27</f>
        <v>0</v>
      </c>
      <c r="R27" s="149"/>
      <c r="S27" s="6" t="s">
        <v>61</v>
      </c>
      <c r="T27" s="18"/>
      <c r="U27" s="30" t="s">
        <v>15</v>
      </c>
      <c r="V27" s="148">
        <f>G27</f>
        <v>0</v>
      </c>
      <c r="W27" s="149"/>
      <c r="X27" s="6" t="s">
        <v>61</v>
      </c>
      <c r="Y27" s="17"/>
      <c r="Z27" s="29"/>
      <c r="AA27" s="2"/>
      <c r="AB27" s="2"/>
      <c r="AC27" s="6"/>
      <c r="AD27" s="113"/>
      <c r="AE27" s="29"/>
      <c r="AF27" s="2"/>
      <c r="AG27" s="2"/>
      <c r="AH27" s="6"/>
      <c r="AI27" s="6"/>
      <c r="AJ27" s="17"/>
      <c r="AK27" s="29"/>
      <c r="AL27" s="2"/>
      <c r="AM27" s="2"/>
      <c r="AN27" s="6"/>
      <c r="AO27" s="6"/>
      <c r="AZ27" s="17"/>
      <c r="BA27" s="29"/>
      <c r="BB27" s="2"/>
      <c r="BC27" s="2"/>
      <c r="BD27" s="6"/>
      <c r="BE27" s="6"/>
    </row>
    <row r="28" spans="3:57" ht="15" thickBot="1" x14ac:dyDescent="0.35">
      <c r="C28" s="7"/>
      <c r="D28" s="5"/>
      <c r="E28" s="5"/>
      <c r="F28" s="27"/>
      <c r="G28" s="5"/>
      <c r="H28" s="6"/>
      <c r="I28" s="6"/>
      <c r="J28" s="6"/>
      <c r="K28" s="6"/>
      <c r="L28" s="6"/>
      <c r="M28" s="6"/>
      <c r="N28" s="6"/>
      <c r="O28" s="18"/>
      <c r="P28" s="30"/>
      <c r="Q28" s="5"/>
      <c r="R28" s="6"/>
      <c r="S28" s="6"/>
      <c r="T28" s="18"/>
      <c r="U28" s="30"/>
      <c r="V28" s="5"/>
      <c r="W28" s="6"/>
      <c r="X28" s="6"/>
      <c r="Y28" s="17"/>
      <c r="Z28" s="29"/>
      <c r="AA28" s="2"/>
      <c r="AB28" s="2"/>
      <c r="AC28" s="6"/>
      <c r="AD28" s="113"/>
      <c r="AE28" s="29"/>
      <c r="AF28" s="2"/>
      <c r="AG28" s="2"/>
      <c r="AH28" s="6"/>
      <c r="AI28" s="6"/>
      <c r="AJ28" s="17"/>
      <c r="AK28" s="29"/>
      <c r="AL28" s="2"/>
      <c r="AM28" s="2"/>
      <c r="AN28" s="6"/>
      <c r="AO28" s="6"/>
      <c r="AZ28" s="17"/>
      <c r="BA28" s="29"/>
      <c r="BB28" s="2"/>
      <c r="BC28" s="2"/>
      <c r="BD28" s="6"/>
      <c r="BE28" s="6"/>
    </row>
    <row r="29" spans="3:57" ht="15" thickTop="1" x14ac:dyDescent="0.3">
      <c r="C29" s="7"/>
      <c r="D29" s="5" t="s">
        <v>16</v>
      </c>
      <c r="E29" s="5"/>
      <c r="F29" s="27" t="s">
        <v>17</v>
      </c>
      <c r="G29" s="167">
        <v>2</v>
      </c>
      <c r="H29" s="168"/>
      <c r="I29" s="6" t="s">
        <v>2</v>
      </c>
      <c r="J29" s="6"/>
      <c r="K29" s="6"/>
      <c r="L29" s="6"/>
      <c r="M29" s="6"/>
      <c r="N29" s="6"/>
      <c r="O29" s="18"/>
      <c r="P29" s="27" t="s">
        <v>17</v>
      </c>
      <c r="Q29" s="148">
        <f>G29</f>
        <v>2</v>
      </c>
      <c r="R29" s="149"/>
      <c r="S29" s="30"/>
      <c r="T29" s="18"/>
      <c r="U29" s="27" t="s">
        <v>17</v>
      </c>
      <c r="V29" s="148">
        <f>G29</f>
        <v>2</v>
      </c>
      <c r="W29" s="149"/>
      <c r="X29" s="30"/>
      <c r="Y29" s="17"/>
      <c r="Z29" s="29" t="s">
        <v>17</v>
      </c>
      <c r="AA29" s="148">
        <f>G29</f>
        <v>2</v>
      </c>
      <c r="AB29" s="149"/>
      <c r="AC29" s="6" t="s">
        <v>2</v>
      </c>
      <c r="AD29" s="113"/>
      <c r="AE29" s="29" t="s">
        <v>17</v>
      </c>
      <c r="AF29" s="152">
        <f>G29</f>
        <v>2</v>
      </c>
      <c r="AG29" s="153"/>
      <c r="AH29" s="6" t="s">
        <v>2</v>
      </c>
      <c r="AI29" s="6"/>
      <c r="AJ29" s="17"/>
      <c r="AK29" s="29" t="s">
        <v>17</v>
      </c>
      <c r="AL29" s="152">
        <f>AF29</f>
        <v>2</v>
      </c>
      <c r="AM29" s="153"/>
      <c r="AN29" s="6" t="s">
        <v>2</v>
      </c>
      <c r="AO29" s="6"/>
      <c r="AZ29" s="17"/>
      <c r="BA29" s="29" t="s">
        <v>17</v>
      </c>
      <c r="BB29" s="148">
        <f>G29</f>
        <v>2</v>
      </c>
      <c r="BC29" s="149"/>
      <c r="BD29" s="6" t="s">
        <v>2</v>
      </c>
      <c r="BE29" s="6"/>
    </row>
    <row r="30" spans="3:57" ht="15" thickBot="1" x14ac:dyDescent="0.35">
      <c r="C30" s="7"/>
      <c r="D30" s="5"/>
      <c r="E30" s="5"/>
      <c r="F30" s="27"/>
      <c r="G30" s="5"/>
      <c r="H30" s="6"/>
      <c r="I30" s="6"/>
      <c r="J30" s="6"/>
      <c r="K30" s="6"/>
      <c r="L30" s="6"/>
      <c r="M30" s="6"/>
      <c r="N30" s="6"/>
      <c r="O30" s="18"/>
      <c r="P30" s="30"/>
      <c r="Q30" s="5"/>
      <c r="R30" s="6"/>
      <c r="S30" s="6"/>
      <c r="T30" s="18"/>
      <c r="U30" s="30"/>
      <c r="V30" s="5"/>
      <c r="W30" s="6"/>
      <c r="X30" s="6"/>
      <c r="Y30" s="17"/>
      <c r="Z30" s="29"/>
      <c r="AA30" s="2"/>
      <c r="AB30" s="2"/>
      <c r="AC30" s="6"/>
      <c r="AD30" s="113"/>
      <c r="AE30" s="29"/>
      <c r="AF30" s="2"/>
      <c r="AG30" s="2"/>
      <c r="AH30" s="6"/>
      <c r="AI30" s="6"/>
      <c r="AJ30" s="17"/>
      <c r="AK30" s="29"/>
      <c r="AL30" s="2"/>
      <c r="AM30" s="2"/>
      <c r="AN30" s="6"/>
      <c r="AO30" s="6"/>
      <c r="AZ30" s="17"/>
      <c r="BA30" s="29"/>
      <c r="BB30" s="2"/>
      <c r="BC30" s="2"/>
      <c r="BD30" s="6"/>
      <c r="BE30" s="6"/>
    </row>
    <row r="31" spans="3:57" ht="17.399999999999999" thickTop="1" x14ac:dyDescent="0.35">
      <c r="C31" s="7"/>
      <c r="D31" s="5" t="s">
        <v>122</v>
      </c>
      <c r="E31" s="5"/>
      <c r="F31" s="27" t="s">
        <v>121</v>
      </c>
      <c r="G31" s="184">
        <v>2.08</v>
      </c>
      <c r="H31" s="185"/>
      <c r="I31" s="6" t="s">
        <v>2</v>
      </c>
      <c r="J31" s="6"/>
      <c r="K31" s="6"/>
      <c r="L31" s="6"/>
      <c r="M31" s="6"/>
      <c r="N31" s="6"/>
      <c r="O31" s="18"/>
      <c r="P31" s="30"/>
      <c r="Q31" s="30"/>
      <c r="R31" s="30"/>
      <c r="S31" s="30"/>
      <c r="T31" s="18"/>
      <c r="U31" s="30" t="s">
        <v>19</v>
      </c>
      <c r="V31" s="167">
        <v>2.34</v>
      </c>
      <c r="W31" s="168"/>
      <c r="X31" s="6" t="s">
        <v>106</v>
      </c>
      <c r="Y31" s="17"/>
      <c r="Z31" s="29"/>
      <c r="AA31" s="2"/>
      <c r="AB31" s="2"/>
      <c r="AC31" s="6"/>
      <c r="AD31" s="113"/>
      <c r="AE31" s="29"/>
      <c r="AF31" s="2"/>
      <c r="AG31" s="2"/>
      <c r="AH31" s="6"/>
      <c r="AI31" s="6"/>
      <c r="AJ31" s="17"/>
      <c r="AK31" s="29"/>
      <c r="AL31" s="2"/>
      <c r="AM31" s="2"/>
      <c r="AN31" s="6"/>
      <c r="AO31" s="6"/>
      <c r="AZ31" s="17"/>
      <c r="BA31" s="29"/>
      <c r="BB31" s="2"/>
      <c r="BC31" s="2"/>
      <c r="BD31" s="6"/>
      <c r="BE31" s="6"/>
    </row>
    <row r="32" spans="3:57" x14ac:dyDescent="0.3">
      <c r="C32" s="7"/>
      <c r="D32" s="5"/>
      <c r="E32" s="5"/>
      <c r="F32" s="27"/>
      <c r="G32" s="5"/>
      <c r="H32" s="6"/>
      <c r="I32" s="6"/>
      <c r="J32" s="6"/>
      <c r="K32" s="6"/>
      <c r="L32" s="6"/>
      <c r="M32" s="6"/>
      <c r="N32" s="6"/>
      <c r="O32" s="18"/>
      <c r="P32" s="30"/>
      <c r="Q32" s="30"/>
      <c r="R32" s="30"/>
      <c r="S32" s="30"/>
      <c r="T32" s="18"/>
      <c r="U32" s="13"/>
      <c r="V32" s="6"/>
      <c r="W32" s="6"/>
      <c r="X32" s="6"/>
      <c r="Y32" s="18"/>
      <c r="Z32" s="13"/>
      <c r="AA32" s="13"/>
      <c r="AB32" s="13"/>
      <c r="AC32" s="13"/>
      <c r="AD32" s="113"/>
      <c r="AE32" s="13"/>
      <c r="AF32" s="13"/>
      <c r="AG32" s="13"/>
      <c r="AH32" s="13"/>
      <c r="AI32" s="13"/>
      <c r="AJ32" s="18"/>
      <c r="AK32" s="13"/>
      <c r="AL32" s="13"/>
      <c r="AM32" s="13"/>
      <c r="AN32" s="13"/>
      <c r="AO32" s="13"/>
      <c r="AZ32" s="18"/>
      <c r="BA32" s="13"/>
      <c r="BB32" s="13"/>
      <c r="BC32" s="13"/>
      <c r="BD32" s="13"/>
      <c r="BE32" s="13"/>
    </row>
    <row r="33" spans="3:57" x14ac:dyDescent="0.3">
      <c r="C33" s="6"/>
      <c r="D33" s="6"/>
      <c r="E33" s="6"/>
      <c r="F33" s="6"/>
      <c r="G33" s="5"/>
      <c r="H33" s="5"/>
      <c r="I33" s="5"/>
      <c r="J33" s="6"/>
      <c r="K33" s="6"/>
      <c r="L33" s="6"/>
      <c r="M33" s="6"/>
      <c r="N33" s="6"/>
      <c r="O33" s="18"/>
      <c r="P33" s="30"/>
      <c r="Q33" s="30"/>
      <c r="R33" s="30"/>
      <c r="S33" s="30"/>
      <c r="T33" s="18"/>
      <c r="U33" s="13"/>
      <c r="V33" s="5" t="s">
        <v>18</v>
      </c>
      <c r="W33" s="6"/>
      <c r="X33" s="6"/>
      <c r="Y33" s="18"/>
      <c r="Z33" s="13"/>
      <c r="AA33" s="13"/>
      <c r="AB33" s="13"/>
      <c r="AC33" s="13"/>
      <c r="AD33" s="113"/>
      <c r="AE33" s="13"/>
      <c r="AF33" s="13"/>
      <c r="AG33" s="13"/>
      <c r="AH33" s="13"/>
      <c r="AI33" s="13"/>
      <c r="AJ33" s="18"/>
      <c r="AK33" s="13"/>
      <c r="AL33" s="13"/>
      <c r="AM33" s="13"/>
      <c r="AN33" s="13"/>
      <c r="AO33" s="13"/>
      <c r="AZ33" s="18"/>
      <c r="BA33" s="13"/>
      <c r="BB33" s="13"/>
      <c r="BC33" s="13"/>
      <c r="BD33" s="13"/>
      <c r="BE33" s="13"/>
    </row>
    <row r="34" spans="3:57" x14ac:dyDescent="0.3">
      <c r="C34" s="36"/>
      <c r="D34" s="5"/>
      <c r="E34" s="5"/>
      <c r="F34" s="27"/>
      <c r="G34" s="5"/>
      <c r="H34" s="5"/>
      <c r="I34" s="5"/>
      <c r="J34" s="6"/>
      <c r="K34" s="6"/>
      <c r="L34" s="6"/>
      <c r="M34" s="6"/>
      <c r="N34" s="6"/>
      <c r="O34" s="18"/>
      <c r="P34" s="13"/>
      <c r="Q34" s="6"/>
      <c r="R34" s="6"/>
      <c r="S34" s="6"/>
      <c r="T34" s="18"/>
      <c r="U34" s="13"/>
      <c r="V34" s="6"/>
      <c r="W34" s="6"/>
      <c r="X34" s="6"/>
      <c r="Y34" s="18"/>
      <c r="Z34" s="13"/>
      <c r="AA34" s="13"/>
      <c r="AB34" s="13"/>
      <c r="AC34" s="13"/>
      <c r="AD34" s="113"/>
      <c r="AE34" s="13"/>
      <c r="AF34" s="13"/>
      <c r="AG34" s="13"/>
      <c r="AH34" s="13"/>
      <c r="AI34" s="13"/>
      <c r="AJ34" s="18"/>
      <c r="AK34" s="13"/>
      <c r="AL34" s="13"/>
      <c r="AM34" s="13"/>
      <c r="AN34" s="13"/>
      <c r="AO34" s="13"/>
      <c r="AZ34" s="18"/>
      <c r="BA34" s="13"/>
      <c r="BB34" s="13"/>
      <c r="BC34" s="13"/>
      <c r="BD34" s="13"/>
      <c r="BE34" s="13"/>
    </row>
    <row r="35" spans="3:57" ht="21" x14ac:dyDescent="0.4">
      <c r="C35" s="44" t="s">
        <v>20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5"/>
      <c r="P35" s="44"/>
      <c r="Q35" s="44"/>
      <c r="R35" s="44"/>
      <c r="S35" s="44"/>
      <c r="T35" s="45"/>
      <c r="U35" s="44"/>
      <c r="V35" s="44"/>
      <c r="W35" s="44"/>
      <c r="X35" s="44"/>
      <c r="Y35" s="45"/>
      <c r="Z35" s="44"/>
      <c r="AA35" s="44"/>
      <c r="AB35" s="44"/>
      <c r="AC35" s="44"/>
      <c r="AD35" s="117"/>
      <c r="AE35" s="44"/>
      <c r="AF35" s="44"/>
      <c r="AG35" s="44"/>
      <c r="AH35" s="44"/>
      <c r="AI35" s="44"/>
      <c r="AJ35" s="45"/>
      <c r="AK35" s="44"/>
      <c r="AL35" s="44"/>
      <c r="AM35" s="44"/>
      <c r="AN35" s="44"/>
      <c r="AO35" s="44"/>
      <c r="AZ35" s="45"/>
      <c r="BA35" s="44"/>
      <c r="BB35" s="44"/>
      <c r="BC35" s="44"/>
      <c r="BD35" s="44"/>
      <c r="BE35" s="44"/>
    </row>
    <row r="36" spans="3:57" x14ac:dyDescent="0.3"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43"/>
      <c r="P36" s="6"/>
      <c r="Q36" s="6"/>
      <c r="R36" s="6"/>
      <c r="S36" s="6"/>
      <c r="T36" s="43"/>
      <c r="U36" s="6"/>
      <c r="V36" s="6"/>
      <c r="W36" s="6"/>
      <c r="X36" s="6"/>
      <c r="Y36" s="18"/>
      <c r="Z36" s="13"/>
      <c r="AA36" s="13"/>
      <c r="AB36" s="13"/>
      <c r="AC36" s="13"/>
      <c r="AD36" s="113"/>
      <c r="AE36" s="13"/>
      <c r="AF36" s="13"/>
      <c r="AG36" s="13"/>
      <c r="AH36" s="13"/>
      <c r="AI36" s="13"/>
      <c r="AJ36" s="18"/>
      <c r="AK36" s="13"/>
      <c r="AL36" s="13"/>
      <c r="AM36" s="13"/>
      <c r="AN36" s="13"/>
      <c r="AO36" s="13"/>
      <c r="AZ36" s="18"/>
      <c r="BA36" s="13"/>
      <c r="BB36" s="13"/>
      <c r="BC36" s="13"/>
      <c r="BD36" s="13"/>
      <c r="BE36" s="13"/>
    </row>
    <row r="37" spans="3:57" x14ac:dyDescent="0.3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P37" s="8"/>
      <c r="Q37" s="8"/>
      <c r="R37" s="8"/>
      <c r="S37" s="8"/>
      <c r="T37" s="19"/>
      <c r="U37" s="8"/>
      <c r="V37" s="8"/>
      <c r="W37" s="8"/>
      <c r="X37" s="8"/>
      <c r="Y37" s="19"/>
      <c r="Z37" s="31"/>
      <c r="AA37" s="31"/>
      <c r="AB37" s="31"/>
      <c r="AC37" s="31"/>
      <c r="AD37" s="123"/>
      <c r="AE37" s="31"/>
      <c r="AF37" s="31"/>
      <c r="AG37" s="31"/>
      <c r="AH37" s="31"/>
      <c r="AI37" s="31"/>
      <c r="AJ37" s="19"/>
      <c r="AK37" s="31"/>
      <c r="AL37" s="31"/>
      <c r="AM37" s="31"/>
      <c r="AN37" s="31"/>
      <c r="AO37" s="31"/>
      <c r="AZ37" s="19"/>
      <c r="BA37" s="31"/>
      <c r="BB37" s="31"/>
      <c r="BC37" s="31"/>
      <c r="BD37" s="31"/>
      <c r="BE37" s="31"/>
    </row>
    <row r="38" spans="3:57" x14ac:dyDescent="0.3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P38" s="8"/>
      <c r="Q38" s="8"/>
      <c r="R38" s="8"/>
      <c r="S38" s="8"/>
      <c r="T38" s="19"/>
      <c r="U38" s="8"/>
      <c r="V38" s="8"/>
      <c r="W38" s="8"/>
      <c r="X38" s="8"/>
      <c r="Y38" s="19"/>
      <c r="Z38" s="31"/>
      <c r="AA38" s="31"/>
      <c r="AB38" s="31"/>
      <c r="AC38" s="31"/>
      <c r="AD38" s="123"/>
      <c r="AE38" s="31"/>
      <c r="AF38" s="31"/>
      <c r="AG38" s="31"/>
      <c r="AH38" s="31"/>
      <c r="AI38" s="31"/>
      <c r="AJ38" s="19"/>
      <c r="AK38" s="31"/>
      <c r="AL38" s="31"/>
      <c r="AM38" s="31"/>
      <c r="AN38" s="31"/>
      <c r="AO38" s="31"/>
      <c r="AZ38" s="19"/>
      <c r="BA38" s="31"/>
      <c r="BB38" s="31"/>
      <c r="BC38" s="31"/>
      <c r="BD38" s="31"/>
      <c r="BE38" s="31"/>
    </row>
    <row r="39" spans="3:57" x14ac:dyDescent="0.3">
      <c r="C39" s="3"/>
      <c r="D39" s="38" t="s">
        <v>21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41"/>
      <c r="P39" s="38"/>
      <c r="Q39" s="38"/>
      <c r="R39" s="38"/>
      <c r="S39" s="38"/>
      <c r="T39" s="41"/>
      <c r="U39" s="38"/>
      <c r="V39" s="38"/>
      <c r="W39" s="38"/>
      <c r="X39" s="38"/>
      <c r="Y39" s="41"/>
      <c r="Z39" s="38"/>
      <c r="AA39" s="38"/>
      <c r="AB39" s="38"/>
      <c r="AC39" s="38"/>
      <c r="AD39" s="125"/>
      <c r="AE39" s="38"/>
      <c r="AF39" s="38"/>
      <c r="AG39" s="38"/>
      <c r="AH39" s="38"/>
      <c r="AI39" s="32"/>
      <c r="AJ39" s="41"/>
      <c r="AK39" s="38"/>
      <c r="AL39" s="38"/>
      <c r="AM39" s="38"/>
      <c r="AN39" s="38"/>
      <c r="AO39" s="32"/>
      <c r="AZ39" s="41"/>
      <c r="BA39" s="38"/>
      <c r="BB39" s="38"/>
      <c r="BC39" s="38"/>
      <c r="BD39" s="38"/>
      <c r="BE39" s="32"/>
    </row>
    <row r="40" spans="3:57" ht="15" thickBot="1" x14ac:dyDescent="0.35">
      <c r="C40" s="3"/>
      <c r="D40" s="3"/>
      <c r="E40" s="3"/>
      <c r="F40" s="3"/>
      <c r="G40" s="166" t="s">
        <v>99</v>
      </c>
      <c r="H40" s="166"/>
      <c r="I40" s="60" t="s">
        <v>66</v>
      </c>
      <c r="J40" s="3"/>
      <c r="K40" s="166" t="s">
        <v>91</v>
      </c>
      <c r="L40" s="166"/>
      <c r="M40" s="60" t="s">
        <v>66</v>
      </c>
      <c r="N40" s="3"/>
      <c r="O40" s="40"/>
      <c r="P40" s="3"/>
      <c r="Q40" s="3"/>
      <c r="R40" s="3"/>
      <c r="S40" s="3"/>
      <c r="T40" s="40"/>
      <c r="U40" s="3"/>
      <c r="V40" s="3"/>
      <c r="W40" s="3"/>
      <c r="X40" s="3"/>
      <c r="Y40" s="20"/>
      <c r="Z40" s="32"/>
      <c r="AA40" s="32"/>
      <c r="AB40" s="32"/>
      <c r="AC40" s="32"/>
      <c r="AD40" s="125"/>
      <c r="AE40" s="32"/>
      <c r="AF40" s="32"/>
      <c r="AG40" s="32"/>
      <c r="AH40" s="32"/>
      <c r="AI40" s="32"/>
      <c r="AJ40" s="20"/>
      <c r="AK40" s="32"/>
      <c r="AL40" s="32"/>
      <c r="AM40" s="32"/>
      <c r="AN40" s="32"/>
      <c r="AO40" s="32"/>
      <c r="AZ40" s="20"/>
      <c r="BA40" s="32"/>
      <c r="BB40" s="32"/>
      <c r="BC40" s="32"/>
      <c r="BD40" s="32"/>
      <c r="BE40" s="32"/>
    </row>
    <row r="41" spans="3:57" ht="16.8" thickTop="1" x14ac:dyDescent="0.3">
      <c r="C41" s="3"/>
      <c r="D41" s="3" t="s">
        <v>22</v>
      </c>
      <c r="E41" s="3" t="s">
        <v>23</v>
      </c>
      <c r="F41" s="6"/>
      <c r="G41" s="160">
        <f>1.225*(1-6.5*10^-3*(G27*0.3048)/288.15)^(9.80665/(287.058*6.5*10^-3)-1)</f>
        <v>1.2250000000000001</v>
      </c>
      <c r="H41" s="161"/>
      <c r="I41" s="6" t="s">
        <v>24</v>
      </c>
      <c r="J41" s="6"/>
      <c r="K41" s="6"/>
      <c r="L41" s="6"/>
      <c r="M41" s="6"/>
      <c r="N41" s="6"/>
      <c r="O41" s="18"/>
      <c r="P41" s="3"/>
      <c r="Q41" s="3"/>
      <c r="R41" s="3"/>
      <c r="S41" s="6"/>
      <c r="T41" s="18"/>
      <c r="U41" s="3"/>
      <c r="V41" s="3"/>
      <c r="W41" s="3"/>
      <c r="X41" s="6"/>
      <c r="Y41" s="21"/>
      <c r="Z41" s="12"/>
      <c r="AA41" s="32"/>
      <c r="AB41" s="32"/>
      <c r="AC41" s="13"/>
      <c r="AD41" s="125"/>
      <c r="AE41" s="12"/>
      <c r="AF41" s="32"/>
      <c r="AG41" s="32"/>
      <c r="AH41" s="13"/>
      <c r="AI41" s="32"/>
      <c r="AJ41" s="21"/>
      <c r="AK41" s="12"/>
      <c r="AL41" s="32"/>
      <c r="AM41" s="32"/>
      <c r="AN41" s="13"/>
      <c r="AO41" s="32"/>
      <c r="AZ41" s="21"/>
      <c r="BA41" s="12"/>
      <c r="BB41" s="32"/>
      <c r="BC41" s="32"/>
      <c r="BD41" s="13"/>
      <c r="BE41" s="32"/>
    </row>
    <row r="42" spans="3:57" ht="15" thickBot="1" x14ac:dyDescent="0.3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20"/>
      <c r="P42" s="3"/>
      <c r="Q42" s="3"/>
      <c r="R42" s="3"/>
      <c r="S42" s="3"/>
      <c r="T42" s="20"/>
      <c r="U42" s="3"/>
      <c r="V42" s="3"/>
      <c r="W42" s="3"/>
      <c r="X42" s="3"/>
      <c r="Y42" s="20"/>
      <c r="Z42" s="32"/>
      <c r="AA42" s="32"/>
      <c r="AB42" s="32"/>
      <c r="AC42" s="32"/>
      <c r="AD42" s="125"/>
      <c r="AE42" s="32"/>
      <c r="AF42" s="32"/>
      <c r="AG42" s="32"/>
      <c r="AH42" s="32"/>
      <c r="AI42" s="32"/>
      <c r="AJ42" s="20"/>
      <c r="AK42" s="32"/>
      <c r="AL42" s="32"/>
      <c r="AM42" s="32"/>
      <c r="AN42" s="32"/>
      <c r="AO42" s="32"/>
      <c r="AZ42" s="20"/>
      <c r="BA42" s="32"/>
      <c r="BB42" s="32"/>
      <c r="BC42" s="32"/>
      <c r="BD42" s="32"/>
      <c r="BE42" s="32"/>
    </row>
    <row r="43" spans="3:57" ht="15" thickTop="1" x14ac:dyDescent="0.3">
      <c r="C43" s="3"/>
      <c r="D43" s="3" t="s">
        <v>25</v>
      </c>
      <c r="E43" s="3" t="s">
        <v>26</v>
      </c>
      <c r="F43" s="6"/>
      <c r="G43" s="148">
        <f>G41/1.225</f>
        <v>1</v>
      </c>
      <c r="H43" s="149"/>
      <c r="I43" s="6" t="s">
        <v>2</v>
      </c>
      <c r="J43" s="6"/>
      <c r="K43" s="6"/>
      <c r="L43" s="6"/>
      <c r="M43" s="6"/>
      <c r="N43" s="6"/>
      <c r="O43" s="18"/>
      <c r="P43" s="3" t="s">
        <v>26</v>
      </c>
      <c r="Q43" s="148">
        <f>B43</f>
        <v>0</v>
      </c>
      <c r="R43" s="149"/>
      <c r="S43" s="6" t="s">
        <v>2</v>
      </c>
      <c r="T43" s="18"/>
      <c r="U43" s="3" t="s">
        <v>26</v>
      </c>
      <c r="V43" s="148">
        <f>G43</f>
        <v>1</v>
      </c>
      <c r="W43" s="149"/>
      <c r="X43" s="6" t="s">
        <v>2</v>
      </c>
      <c r="Y43" s="20"/>
      <c r="Z43" s="32" t="s">
        <v>26</v>
      </c>
      <c r="AA43" s="148">
        <f>G43</f>
        <v>1</v>
      </c>
      <c r="AB43" s="149"/>
      <c r="AC43" s="13" t="s">
        <v>2</v>
      </c>
      <c r="AD43" s="125"/>
      <c r="AE43" s="32" t="s">
        <v>26</v>
      </c>
      <c r="AF43" s="152">
        <f>G43</f>
        <v>1</v>
      </c>
      <c r="AG43" s="153"/>
      <c r="AH43" s="13" t="s">
        <v>2</v>
      </c>
      <c r="AI43" s="32"/>
      <c r="AJ43" s="20"/>
      <c r="AK43" s="32" t="s">
        <v>26</v>
      </c>
      <c r="AL43" s="152">
        <f>AF43</f>
        <v>1</v>
      </c>
      <c r="AM43" s="153"/>
      <c r="AN43" s="13" t="s">
        <v>2</v>
      </c>
      <c r="AO43" s="32"/>
      <c r="AZ43" s="20"/>
      <c r="BA43" s="32" t="s">
        <v>26</v>
      </c>
      <c r="BB43" s="148">
        <f>AA43</f>
        <v>1</v>
      </c>
      <c r="BC43" s="149"/>
      <c r="BD43" s="13" t="s">
        <v>2</v>
      </c>
      <c r="BE43" s="32"/>
    </row>
    <row r="44" spans="3:57" x14ac:dyDescent="0.3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20"/>
      <c r="P44" s="3"/>
      <c r="Q44" s="3"/>
      <c r="R44" s="3"/>
      <c r="S44" s="3"/>
      <c r="T44" s="20"/>
      <c r="U44" s="3"/>
      <c r="V44" s="3"/>
      <c r="W44" s="3"/>
      <c r="X44" s="3"/>
      <c r="Y44" s="20"/>
      <c r="Z44" s="32"/>
      <c r="AA44" s="32"/>
      <c r="AB44" s="32"/>
      <c r="AC44" s="32"/>
      <c r="AD44" s="125"/>
      <c r="AE44" s="32"/>
      <c r="AF44" s="32"/>
      <c r="AG44" s="32"/>
      <c r="AH44" s="32"/>
      <c r="AI44" s="32"/>
      <c r="AJ44" s="20"/>
      <c r="AK44" s="32"/>
      <c r="AL44" s="32"/>
      <c r="AM44" s="32"/>
      <c r="AN44" s="32"/>
      <c r="AO44" s="32"/>
      <c r="AZ44" s="20"/>
      <c r="BA44" s="32"/>
      <c r="BB44" s="32"/>
      <c r="BC44" s="32"/>
      <c r="BD44" s="32"/>
      <c r="BE44" s="32"/>
    </row>
    <row r="45" spans="3:57" x14ac:dyDescent="0.3">
      <c r="C45" s="3"/>
      <c r="D45" s="38" t="s">
        <v>27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41"/>
      <c r="P45" s="38"/>
      <c r="Q45" s="38"/>
      <c r="R45" s="38"/>
      <c r="S45" s="38"/>
      <c r="T45" s="41"/>
      <c r="U45" s="38"/>
      <c r="V45" s="38"/>
      <c r="W45" s="38"/>
      <c r="X45" s="38"/>
      <c r="Y45" s="41"/>
      <c r="Z45" s="38"/>
      <c r="AA45" s="38"/>
      <c r="AB45" s="38"/>
      <c r="AC45" s="38"/>
      <c r="AD45" s="125"/>
      <c r="AE45" s="38"/>
      <c r="AF45" s="38"/>
      <c r="AG45" s="38"/>
      <c r="AH45" s="38"/>
      <c r="AI45" s="32"/>
      <c r="AJ45" s="41"/>
      <c r="AK45" s="38"/>
      <c r="AL45" s="38"/>
      <c r="AM45" s="38"/>
      <c r="AN45" s="38"/>
      <c r="AO45" s="32"/>
      <c r="AZ45" s="41"/>
      <c r="BA45" s="38"/>
      <c r="BB45" s="38"/>
      <c r="BC45" s="38"/>
      <c r="BD45" s="38"/>
      <c r="BE45" s="32"/>
    </row>
    <row r="46" spans="3:57" ht="15" thickBot="1" x14ac:dyDescent="0.3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20"/>
      <c r="P46" s="3"/>
      <c r="Q46" s="3"/>
      <c r="R46" s="3"/>
      <c r="S46" s="3"/>
      <c r="T46" s="20"/>
      <c r="U46" s="3"/>
      <c r="V46" s="3"/>
      <c r="W46" s="3"/>
      <c r="X46" s="3"/>
      <c r="Y46" s="20"/>
      <c r="Z46" s="32"/>
      <c r="AA46" s="32"/>
      <c r="AB46" s="32"/>
      <c r="AC46" s="32"/>
      <c r="AD46" s="125"/>
      <c r="AE46" s="32"/>
      <c r="AF46" s="32"/>
      <c r="AG46" s="32"/>
      <c r="AH46" s="32"/>
      <c r="AI46" s="32"/>
      <c r="AJ46" s="20"/>
      <c r="AK46" s="32"/>
      <c r="AL46" s="32"/>
      <c r="AM46" s="32"/>
      <c r="AN46" s="32"/>
      <c r="AO46" s="32"/>
      <c r="AZ46" s="20"/>
      <c r="BA46" s="32"/>
      <c r="BB46" s="32"/>
      <c r="BC46" s="32"/>
      <c r="BD46" s="32"/>
      <c r="BE46" s="32"/>
    </row>
    <row r="47" spans="3:57" ht="17.399999999999999" thickTop="1" x14ac:dyDescent="0.35">
      <c r="C47" s="3"/>
      <c r="D47" s="3" t="s">
        <v>28</v>
      </c>
      <c r="E47" s="3" t="s">
        <v>77</v>
      </c>
      <c r="F47" s="6"/>
      <c r="G47" s="164">
        <f>G15/G13</f>
        <v>636.21533442088094</v>
      </c>
      <c r="H47" s="165"/>
      <c r="I47" s="6" t="s">
        <v>29</v>
      </c>
      <c r="J47" s="6"/>
      <c r="K47" s="164">
        <f>G47*convert!E8</f>
        <v>130.30714244567142</v>
      </c>
      <c r="L47" s="165"/>
      <c r="M47" s="6" t="s">
        <v>100</v>
      </c>
      <c r="N47" s="6"/>
      <c r="O47" s="18"/>
      <c r="P47" s="3" t="s">
        <v>77</v>
      </c>
      <c r="Q47" s="164">
        <f>B47</f>
        <v>0</v>
      </c>
      <c r="R47" s="165"/>
      <c r="S47" s="6" t="s">
        <v>29</v>
      </c>
      <c r="T47" s="18"/>
      <c r="U47" s="3" t="s">
        <v>77</v>
      </c>
      <c r="V47" s="164">
        <f>G47</f>
        <v>636.21533442088094</v>
      </c>
      <c r="W47" s="165"/>
      <c r="X47" s="6" t="s">
        <v>29</v>
      </c>
      <c r="Y47" s="22"/>
      <c r="Z47" s="32"/>
      <c r="AA47" s="32"/>
      <c r="AB47" s="32"/>
      <c r="AC47" s="32"/>
      <c r="AD47" s="125"/>
      <c r="AE47" s="3" t="s">
        <v>77</v>
      </c>
      <c r="AF47" s="164">
        <f>G47</f>
        <v>636.21533442088094</v>
      </c>
      <c r="AG47" s="165"/>
      <c r="AH47" s="13" t="s">
        <v>128</v>
      </c>
      <c r="AI47" s="32"/>
      <c r="AJ47" s="22"/>
      <c r="AK47" s="3" t="s">
        <v>77</v>
      </c>
      <c r="AL47" s="164">
        <f>AL15/AL13</f>
        <v>130.30714244567142</v>
      </c>
      <c r="AM47" s="165"/>
      <c r="AN47" s="13" t="s">
        <v>75</v>
      </c>
      <c r="AO47" s="32"/>
      <c r="AZ47" s="22"/>
      <c r="BA47" s="3" t="s">
        <v>77</v>
      </c>
      <c r="BB47" s="164">
        <f>BB15/BB13</f>
        <v>59.106395862176441</v>
      </c>
      <c r="BC47" s="165"/>
      <c r="BD47" s="13" t="s">
        <v>75</v>
      </c>
      <c r="BE47" s="32"/>
    </row>
    <row r="48" spans="3:57" ht="15" thickBot="1" x14ac:dyDescent="0.3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20"/>
      <c r="P48" s="3"/>
      <c r="Q48" s="3"/>
      <c r="R48" s="3"/>
      <c r="S48" s="3"/>
      <c r="T48" s="20"/>
      <c r="U48" s="3"/>
      <c r="V48" s="3"/>
      <c r="W48" s="3"/>
      <c r="X48" s="3"/>
      <c r="Y48" s="20"/>
      <c r="Z48" s="32"/>
      <c r="AA48" s="32"/>
      <c r="AB48" s="32"/>
      <c r="AC48" s="32"/>
      <c r="AD48" s="125"/>
      <c r="AE48" s="32"/>
      <c r="AF48" s="32"/>
      <c r="AG48" s="32"/>
      <c r="AH48" s="32"/>
      <c r="AI48" s="32"/>
      <c r="AJ48" s="20"/>
      <c r="AK48" s="32"/>
      <c r="AL48" s="32"/>
      <c r="AM48" s="32"/>
      <c r="AN48" s="32"/>
      <c r="AO48" s="32"/>
      <c r="AZ48" s="20"/>
      <c r="BA48" s="32"/>
      <c r="BB48" s="32"/>
      <c r="BC48" s="32"/>
      <c r="BD48" s="32"/>
      <c r="BE48" s="32"/>
    </row>
    <row r="49" spans="3:57" ht="17.399999999999999" thickTop="1" x14ac:dyDescent="0.35">
      <c r="C49" s="3"/>
      <c r="D49" s="3" t="s">
        <v>28</v>
      </c>
      <c r="E49" s="3" t="s">
        <v>73</v>
      </c>
      <c r="F49" s="3"/>
      <c r="G49" s="152">
        <f>G19/G13</f>
        <v>6239.1411092985318</v>
      </c>
      <c r="H49" s="153"/>
      <c r="I49" s="6" t="s">
        <v>97</v>
      </c>
      <c r="J49" s="3"/>
      <c r="K49" s="152">
        <f>K19/K13</f>
        <v>130.30733039514431</v>
      </c>
      <c r="L49" s="153"/>
      <c r="M49" s="6" t="s">
        <v>98</v>
      </c>
      <c r="N49" s="3"/>
      <c r="O49" s="20"/>
      <c r="P49" s="3"/>
      <c r="Q49" s="3"/>
      <c r="R49" s="3"/>
      <c r="S49" s="3"/>
      <c r="T49" s="20"/>
      <c r="U49" s="3"/>
      <c r="V49" s="3"/>
      <c r="W49" s="3"/>
      <c r="X49" s="3"/>
      <c r="Y49" s="20"/>
      <c r="Z49" s="32"/>
      <c r="AA49" s="32"/>
      <c r="AB49" s="32"/>
      <c r="AC49" s="32"/>
      <c r="AD49" s="125"/>
      <c r="AE49" s="32"/>
      <c r="AF49" s="32"/>
      <c r="AG49" s="32"/>
      <c r="AH49" s="32"/>
      <c r="AI49" s="32"/>
      <c r="AJ49" s="20"/>
      <c r="AK49" s="32"/>
      <c r="AL49" s="32"/>
      <c r="AM49" s="32"/>
      <c r="AN49" s="32"/>
      <c r="AO49" s="32"/>
      <c r="AZ49" s="20"/>
      <c r="BA49" s="32"/>
      <c r="BB49" s="32"/>
      <c r="BC49" s="32"/>
      <c r="BD49" s="32"/>
      <c r="BE49" s="32"/>
    </row>
    <row r="50" spans="3:57" ht="15" thickBot="1" x14ac:dyDescent="0.3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20"/>
      <c r="P50" s="3"/>
      <c r="Q50" s="3"/>
      <c r="R50" s="3"/>
      <c r="S50" s="3"/>
      <c r="T50" s="20"/>
      <c r="U50" s="3"/>
      <c r="V50" s="3"/>
      <c r="W50" s="3"/>
      <c r="X50" s="3"/>
      <c r="Y50" s="20"/>
      <c r="Z50" s="32"/>
      <c r="AA50" s="32"/>
      <c r="AB50" s="32"/>
      <c r="AC50" s="32"/>
      <c r="AD50" s="125"/>
      <c r="AE50" s="32"/>
      <c r="AF50" s="32"/>
      <c r="AG50" s="32"/>
      <c r="AH50" s="32"/>
      <c r="AI50" s="32"/>
      <c r="AJ50" s="20"/>
      <c r="AK50" s="32"/>
      <c r="AL50" s="32"/>
      <c r="AM50" s="32"/>
      <c r="AN50" s="32"/>
      <c r="AO50" s="32"/>
      <c r="AZ50" s="20"/>
      <c r="BA50" s="32"/>
      <c r="BB50" s="32"/>
      <c r="BC50" s="32"/>
      <c r="BD50" s="32"/>
      <c r="BE50" s="32"/>
    </row>
    <row r="51" spans="3:57" ht="16.2" thickTop="1" x14ac:dyDescent="0.35">
      <c r="C51" s="3"/>
      <c r="D51" s="3" t="s">
        <v>30</v>
      </c>
      <c r="E51" s="3" t="s">
        <v>74</v>
      </c>
      <c r="F51" s="6"/>
      <c r="G51" s="162">
        <f>G29*G21/(9.80665*G15)</f>
        <v>0.30826805515409678</v>
      </c>
      <c r="H51" s="163"/>
      <c r="I51" s="6" t="s">
        <v>2</v>
      </c>
      <c r="J51" s="6"/>
      <c r="K51" s="3"/>
      <c r="L51" s="3"/>
      <c r="M51" s="3"/>
      <c r="N51" s="6"/>
      <c r="O51" s="18"/>
      <c r="P51" s="3" t="s">
        <v>74</v>
      </c>
      <c r="Q51" s="162">
        <f>Q29*Q21/Q19</f>
        <v>0.30826805515409678</v>
      </c>
      <c r="R51" s="163"/>
      <c r="S51" s="6" t="s">
        <v>2</v>
      </c>
      <c r="T51" s="18"/>
      <c r="U51" s="3" t="s">
        <v>74</v>
      </c>
      <c r="V51" s="162">
        <f>V29*V21/V19</f>
        <v>0.30826805515409678</v>
      </c>
      <c r="W51" s="163"/>
      <c r="X51" s="6" t="s">
        <v>2</v>
      </c>
      <c r="Y51" s="23"/>
      <c r="Z51" s="32"/>
      <c r="AA51" s="32"/>
      <c r="AB51" s="32"/>
      <c r="AC51" s="32"/>
      <c r="AD51" s="125"/>
      <c r="AE51" s="3" t="s">
        <v>74</v>
      </c>
      <c r="AF51" s="162">
        <f>AF29*AF21/AF19</f>
        <v>0.30826805515409678</v>
      </c>
      <c r="AG51" s="163"/>
      <c r="AH51" s="6" t="s">
        <v>2</v>
      </c>
      <c r="AI51" s="32"/>
      <c r="AJ51" s="23"/>
      <c r="AK51" s="3" t="s">
        <v>74</v>
      </c>
      <c r="AL51" s="162">
        <f>AF51</f>
        <v>0.30826805515409678</v>
      </c>
      <c r="AM51" s="163"/>
      <c r="AN51" s="6" t="s">
        <v>2</v>
      </c>
      <c r="AO51" s="32"/>
      <c r="AZ51" s="23"/>
      <c r="BA51" s="3" t="s">
        <v>74</v>
      </c>
      <c r="BB51" s="162">
        <f>BB29*BB21/BB19</f>
        <v>0.30826805515409678</v>
      </c>
      <c r="BC51" s="163"/>
      <c r="BD51" s="6" t="s">
        <v>2</v>
      </c>
      <c r="BE51" s="32"/>
    </row>
    <row r="52" spans="3:57" x14ac:dyDescent="0.3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20"/>
      <c r="P52" s="3"/>
      <c r="Q52" s="3"/>
      <c r="R52" s="3"/>
      <c r="S52" s="3"/>
      <c r="T52" s="20"/>
      <c r="U52" s="3"/>
      <c r="V52" s="3"/>
      <c r="W52" s="3"/>
      <c r="X52" s="3"/>
      <c r="Y52" s="20"/>
      <c r="Z52" s="32"/>
      <c r="AA52" s="32"/>
      <c r="AB52" s="32"/>
      <c r="AC52" s="32"/>
      <c r="AD52" s="125"/>
      <c r="AE52" s="32"/>
      <c r="AF52" s="32"/>
      <c r="AG52" s="32"/>
      <c r="AH52" s="32"/>
      <c r="AI52" s="32"/>
      <c r="AJ52" s="20"/>
      <c r="AK52" s="32"/>
      <c r="AL52" s="32"/>
      <c r="AM52" s="32"/>
      <c r="AN52" s="32"/>
      <c r="AO52" s="32"/>
      <c r="AZ52" s="20"/>
      <c r="BA52" s="32"/>
      <c r="BB52" s="32"/>
      <c r="BC52" s="32"/>
      <c r="BD52" s="32"/>
      <c r="BE52" s="32"/>
    </row>
    <row r="53" spans="3:57" x14ac:dyDescent="0.3">
      <c r="C53" s="3"/>
      <c r="D53" s="38" t="s">
        <v>31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41"/>
      <c r="P53" s="38"/>
      <c r="Q53" s="38"/>
      <c r="R53" s="38"/>
      <c r="S53" s="38"/>
      <c r="T53" s="41"/>
      <c r="U53" s="38"/>
      <c r="V53" s="38"/>
      <c r="W53" s="38"/>
      <c r="X53" s="38"/>
      <c r="Y53" s="41"/>
      <c r="Z53" s="38"/>
      <c r="AA53" s="38"/>
      <c r="AB53" s="38"/>
      <c r="AC53" s="38"/>
      <c r="AD53" s="125"/>
      <c r="AE53" s="38"/>
      <c r="AF53" s="38"/>
      <c r="AG53" s="38"/>
      <c r="AH53" s="38"/>
      <c r="AI53" s="32"/>
      <c r="AJ53" s="41"/>
      <c r="AK53" s="38"/>
      <c r="AL53" s="38"/>
      <c r="AM53" s="38"/>
      <c r="AN53" s="38"/>
      <c r="AO53" s="32"/>
      <c r="AZ53" s="41"/>
      <c r="BA53" s="38"/>
      <c r="BB53" s="38"/>
      <c r="BC53" s="38"/>
      <c r="BD53" s="38"/>
      <c r="BE53" s="32"/>
    </row>
    <row r="54" spans="3:57" x14ac:dyDescent="0.3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20"/>
      <c r="P54" s="3"/>
      <c r="Q54" s="3"/>
      <c r="R54" s="3"/>
      <c r="S54" s="3"/>
      <c r="T54" s="20"/>
      <c r="U54" s="3"/>
      <c r="V54" s="3"/>
      <c r="W54" s="3"/>
      <c r="X54" s="3"/>
      <c r="Y54" s="20"/>
      <c r="Z54" s="32"/>
      <c r="AA54" s="32"/>
      <c r="AB54" s="32"/>
      <c r="AC54" s="32"/>
      <c r="AD54" s="125"/>
      <c r="AE54" s="32"/>
      <c r="AF54" s="32"/>
      <c r="AG54" s="32"/>
      <c r="AH54" s="32"/>
      <c r="AI54" s="32"/>
      <c r="AJ54" s="20"/>
      <c r="AK54" s="32"/>
      <c r="AL54" s="32"/>
      <c r="AM54" s="32"/>
      <c r="AN54" s="32"/>
      <c r="AO54" s="32"/>
      <c r="AZ54" s="20"/>
      <c r="BA54" s="32"/>
      <c r="BB54" s="32"/>
      <c r="BC54" s="32"/>
      <c r="BD54" s="32"/>
      <c r="BE54" s="32"/>
    </row>
    <row r="55" spans="3:57" ht="15" thickBot="1" x14ac:dyDescent="0.3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8"/>
      <c r="P55" s="3"/>
      <c r="Q55" s="3"/>
      <c r="R55" s="3"/>
      <c r="S55" s="3"/>
      <c r="T55" s="18"/>
      <c r="U55" s="3"/>
      <c r="V55" s="3"/>
      <c r="W55" s="3"/>
      <c r="X55" s="3"/>
      <c r="Y55" s="20"/>
      <c r="Z55" s="32"/>
      <c r="AA55" s="32"/>
      <c r="AB55" s="32"/>
      <c r="AC55" s="32"/>
      <c r="AD55" s="125"/>
      <c r="AE55" s="32"/>
      <c r="AF55" s="32"/>
      <c r="AG55" s="32"/>
      <c r="AH55" s="32"/>
      <c r="AI55" s="32"/>
      <c r="AJ55" s="20"/>
      <c r="AK55" s="32"/>
      <c r="AL55" s="32"/>
      <c r="AM55" s="32"/>
      <c r="AN55" s="32"/>
      <c r="AO55" s="32"/>
      <c r="AZ55" s="20"/>
      <c r="BA55" s="32"/>
      <c r="BB55" s="32"/>
      <c r="BC55" s="32"/>
      <c r="BD55" s="32"/>
      <c r="BE55" s="32"/>
    </row>
    <row r="56" spans="3:57" ht="16.2" thickTop="1" x14ac:dyDescent="0.35">
      <c r="C56" s="3"/>
      <c r="D56" s="5" t="s">
        <v>122</v>
      </c>
      <c r="E56" s="3" t="s">
        <v>35</v>
      </c>
      <c r="F56" s="3"/>
      <c r="G56" s="160">
        <f>G31</f>
        <v>2.08</v>
      </c>
      <c r="H56" s="161"/>
      <c r="I56" s="6" t="s">
        <v>2</v>
      </c>
      <c r="J56" s="3"/>
      <c r="K56" s="6"/>
      <c r="L56" s="6"/>
      <c r="M56" s="6"/>
      <c r="N56" s="6"/>
      <c r="O56" s="18"/>
      <c r="P56" s="3" t="s">
        <v>35</v>
      </c>
      <c r="Q56" s="160">
        <f>G56</f>
        <v>2.08</v>
      </c>
      <c r="R56" s="161"/>
      <c r="S56" s="6"/>
      <c r="T56" s="18"/>
      <c r="U56" s="3" t="s">
        <v>35</v>
      </c>
      <c r="V56" s="160">
        <f>G56</f>
        <v>2.08</v>
      </c>
      <c r="W56" s="161"/>
      <c r="X56" s="6"/>
      <c r="Y56" s="21"/>
      <c r="Z56" s="3" t="s">
        <v>35</v>
      </c>
      <c r="AA56" s="160">
        <f>G56</f>
        <v>2.08</v>
      </c>
      <c r="AB56" s="161"/>
      <c r="AC56" s="13"/>
      <c r="AD56" s="125"/>
      <c r="AE56" s="3" t="s">
        <v>35</v>
      </c>
      <c r="AF56" s="160">
        <f>AA56</f>
        <v>2.08</v>
      </c>
      <c r="AG56" s="161"/>
      <c r="AH56" s="6" t="s">
        <v>2</v>
      </c>
      <c r="AI56" s="84"/>
      <c r="AJ56" s="21"/>
      <c r="AK56" s="3" t="s">
        <v>35</v>
      </c>
      <c r="AL56" s="160">
        <f>AF56</f>
        <v>2.08</v>
      </c>
      <c r="AM56" s="161"/>
      <c r="AN56" s="6" t="s">
        <v>2</v>
      </c>
      <c r="AO56" s="84"/>
      <c r="AZ56" s="21"/>
      <c r="BA56" s="3" t="s">
        <v>35</v>
      </c>
      <c r="BB56" s="160">
        <f>CLmax_Estimation!E32</f>
        <v>1.9576248199991639</v>
      </c>
      <c r="BC56" s="161"/>
      <c r="BD56" s="6" t="s">
        <v>2</v>
      </c>
      <c r="BE56" s="32"/>
    </row>
    <row r="57" spans="3:57" ht="15" thickBot="1" x14ac:dyDescent="0.3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8"/>
      <c r="P57" s="3"/>
      <c r="Q57" s="3"/>
      <c r="R57" s="3"/>
      <c r="S57" s="3"/>
      <c r="T57" s="18"/>
      <c r="U57" s="3"/>
      <c r="V57" s="3"/>
      <c r="W57" s="3"/>
      <c r="X57" s="3"/>
      <c r="Y57" s="20"/>
      <c r="Z57" s="32"/>
      <c r="AA57" s="32"/>
      <c r="AB57" s="32"/>
      <c r="AC57" s="32"/>
      <c r="AD57" s="125"/>
      <c r="AE57" s="32"/>
      <c r="AF57" s="32"/>
      <c r="AG57" s="32"/>
      <c r="AH57" s="32"/>
      <c r="AI57" s="32"/>
      <c r="AJ57" s="20"/>
      <c r="AK57" s="32"/>
      <c r="AL57" s="32"/>
      <c r="AM57" s="32"/>
      <c r="AN57" s="32"/>
      <c r="AO57" s="32"/>
      <c r="AZ57" s="20"/>
      <c r="BA57" s="32"/>
      <c r="BB57" s="32"/>
      <c r="BC57" s="32"/>
      <c r="BD57" s="32"/>
      <c r="BE57" s="32"/>
    </row>
    <row r="58" spans="3:57" ht="16.2" thickTop="1" x14ac:dyDescent="0.35">
      <c r="C58" s="3"/>
      <c r="D58" s="3" t="s">
        <v>36</v>
      </c>
      <c r="E58" s="3" t="s">
        <v>37</v>
      </c>
      <c r="F58" s="6"/>
      <c r="G58" s="160">
        <f>IF(CLmax_Estimation!E32="","",1/(1.2^2)*CLmax_Estimation!E32)</f>
        <v>1.3594616805549748</v>
      </c>
      <c r="H58" s="161"/>
      <c r="I58" s="6" t="s">
        <v>2</v>
      </c>
      <c r="J58" s="6"/>
      <c r="K58" s="6"/>
      <c r="L58" s="6"/>
      <c r="M58" s="6"/>
      <c r="N58" s="6"/>
      <c r="O58" s="20"/>
      <c r="P58" s="3"/>
      <c r="Q58" s="3"/>
      <c r="R58" s="3"/>
      <c r="S58" s="6"/>
      <c r="T58" s="20"/>
      <c r="U58" s="3"/>
      <c r="V58" s="3"/>
      <c r="W58" s="3"/>
      <c r="X58" s="6"/>
      <c r="Y58" s="21"/>
      <c r="Z58" s="12"/>
      <c r="AA58" s="32"/>
      <c r="AB58" s="32"/>
      <c r="AC58" s="13"/>
      <c r="AD58" s="125"/>
      <c r="AE58" s="12"/>
      <c r="AF58" s="12"/>
      <c r="AG58" s="12"/>
      <c r="AH58" s="12"/>
      <c r="AI58" s="32"/>
      <c r="AJ58" s="21"/>
      <c r="AK58" s="12"/>
      <c r="AL58" s="12"/>
      <c r="AM58" s="12"/>
      <c r="AN58" s="12"/>
      <c r="AO58" s="32"/>
      <c r="AZ58" s="21"/>
      <c r="BA58" s="12"/>
      <c r="BB58" s="12"/>
      <c r="BC58" s="12"/>
      <c r="BD58" s="12"/>
      <c r="BE58" s="32"/>
    </row>
    <row r="59" spans="3:57" x14ac:dyDescent="0.3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20"/>
      <c r="P59" s="3"/>
      <c r="Q59" s="3"/>
      <c r="R59" s="3"/>
      <c r="S59" s="3"/>
      <c r="T59" s="20"/>
      <c r="U59" s="3"/>
      <c r="V59" s="3"/>
      <c r="W59" s="3"/>
      <c r="X59" s="3"/>
      <c r="Y59" s="20"/>
      <c r="Z59" s="32"/>
      <c r="AA59" s="32"/>
      <c r="AB59" s="32"/>
      <c r="AC59" s="32"/>
      <c r="AD59" s="125"/>
      <c r="AE59" s="32"/>
      <c r="AF59" s="32"/>
      <c r="AG59" s="32"/>
      <c r="AH59" s="32"/>
      <c r="AI59" s="32"/>
      <c r="AJ59" s="20"/>
      <c r="AK59" s="32"/>
      <c r="AL59" s="32"/>
      <c r="AM59" s="32"/>
      <c r="AN59" s="32"/>
      <c r="AO59" s="32"/>
      <c r="AZ59" s="20"/>
      <c r="BA59" s="32"/>
      <c r="BB59" s="32"/>
      <c r="BC59" s="32"/>
      <c r="BD59" s="32"/>
      <c r="BE59" s="32"/>
    </row>
    <row r="60" spans="3:57" x14ac:dyDescent="0.3">
      <c r="C60" s="3"/>
      <c r="D60" s="38" t="s">
        <v>38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41"/>
      <c r="P60" s="38"/>
      <c r="Q60" s="38"/>
      <c r="R60" s="38"/>
      <c r="S60" s="38"/>
      <c r="T60" s="41"/>
      <c r="U60" s="38"/>
      <c r="V60" s="38"/>
      <c r="W60" s="38"/>
      <c r="X60" s="38"/>
      <c r="Y60" s="41"/>
      <c r="Z60" s="38"/>
      <c r="AA60" s="38"/>
      <c r="AB60" s="38"/>
      <c r="AC60" s="38"/>
      <c r="AD60" s="125"/>
      <c r="AE60" s="38"/>
      <c r="AF60" s="38"/>
      <c r="AG60" s="38"/>
      <c r="AH60" s="38"/>
      <c r="AI60" s="32"/>
      <c r="AJ60" s="41"/>
      <c r="AK60" s="38"/>
      <c r="AL60" s="38"/>
      <c r="AM60" s="38"/>
      <c r="AN60" s="38"/>
      <c r="AO60" s="32"/>
      <c r="AZ60" s="41"/>
      <c r="BA60" s="38"/>
      <c r="BB60" s="38"/>
      <c r="BC60" s="38"/>
      <c r="BD60" s="38"/>
      <c r="BE60" s="32"/>
    </row>
    <row r="61" spans="3:57" ht="15" thickBot="1" x14ac:dyDescent="0.3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20"/>
      <c r="P61" s="3"/>
      <c r="Q61" s="3"/>
      <c r="R61" s="3"/>
      <c r="S61" s="3"/>
      <c r="T61" s="20"/>
      <c r="U61" s="3"/>
      <c r="V61" s="3"/>
      <c r="W61" s="3"/>
      <c r="X61" s="3"/>
      <c r="Y61" s="20"/>
      <c r="Z61" s="32"/>
      <c r="AA61" s="32"/>
      <c r="AB61" s="32"/>
      <c r="AC61" s="32"/>
      <c r="AD61" s="125"/>
      <c r="AE61" s="32"/>
      <c r="AF61" s="32"/>
      <c r="AG61" s="32"/>
      <c r="AH61" s="32"/>
      <c r="AI61" s="32"/>
      <c r="AJ61" s="20"/>
      <c r="AK61" s="32"/>
      <c r="AL61" s="32"/>
      <c r="AM61" s="32"/>
      <c r="AN61" s="32"/>
      <c r="AO61" s="32"/>
      <c r="AZ61" s="20"/>
      <c r="BA61" s="32"/>
      <c r="BB61" s="32"/>
      <c r="BC61" s="32"/>
      <c r="BD61" s="32"/>
      <c r="BE61" s="32"/>
    </row>
    <row r="62" spans="3:57" ht="16.2" thickTop="1" x14ac:dyDescent="0.35">
      <c r="C62" s="3"/>
      <c r="D62" s="3" t="s">
        <v>39</v>
      </c>
      <c r="E62" s="3" t="s">
        <v>40</v>
      </c>
      <c r="F62" s="6"/>
      <c r="G62" s="142">
        <f>IF(CLmax_Estimation!E32="","",SQRT(2*G15*9.80665  /  (G13*CLmax_Estimation!E32*G41)))</f>
        <v>72.13476581630735</v>
      </c>
      <c r="H62" s="143"/>
      <c r="I62" s="6" t="s">
        <v>41</v>
      </c>
      <c r="J62" s="6"/>
      <c r="K62" s="142">
        <f>G62*1/0.3048</f>
        <v>236.66261750757005</v>
      </c>
      <c r="L62" s="143"/>
      <c r="M62" s="6" t="s">
        <v>41</v>
      </c>
      <c r="N62" s="6"/>
      <c r="O62" s="18"/>
      <c r="P62" s="6"/>
      <c r="Q62" s="6"/>
      <c r="R62" s="6"/>
      <c r="S62" s="6"/>
      <c r="T62" s="18"/>
      <c r="U62" s="6"/>
      <c r="V62" s="6"/>
      <c r="W62" s="6"/>
      <c r="X62" s="6"/>
      <c r="Y62" s="24"/>
      <c r="Z62" s="16"/>
      <c r="AA62" s="16"/>
      <c r="AB62" s="16"/>
      <c r="AC62" s="13"/>
      <c r="AD62" s="125"/>
      <c r="AE62" s="16"/>
      <c r="AF62" s="16"/>
      <c r="AG62" s="16"/>
      <c r="AH62" s="13"/>
      <c r="AI62" s="32"/>
      <c r="AJ62" s="24"/>
      <c r="AK62" s="16"/>
      <c r="AL62" s="16"/>
      <c r="AM62" s="16"/>
      <c r="AN62" s="13"/>
      <c r="AO62" s="32"/>
      <c r="AZ62" s="24"/>
      <c r="BA62" s="16"/>
      <c r="BB62" s="16"/>
      <c r="BC62" s="16"/>
      <c r="BD62" s="13"/>
      <c r="BE62" s="32"/>
    </row>
    <row r="63" spans="3:57" ht="15" thickBot="1" x14ac:dyDescent="0.3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20"/>
      <c r="P63" s="3"/>
      <c r="Q63" s="3"/>
      <c r="R63" s="3"/>
      <c r="S63" s="3"/>
      <c r="T63" s="20"/>
      <c r="U63" s="3"/>
      <c r="V63" s="3"/>
      <c r="W63" s="3"/>
      <c r="X63" s="3"/>
      <c r="Y63" s="20"/>
      <c r="Z63" s="32"/>
      <c r="AA63" s="32"/>
      <c r="AB63" s="32"/>
      <c r="AC63" s="32"/>
      <c r="AD63" s="125"/>
      <c r="AE63" s="32"/>
      <c r="AF63" s="32"/>
      <c r="AG63" s="32"/>
      <c r="AH63" s="32"/>
      <c r="AI63" s="32"/>
      <c r="AJ63" s="20"/>
      <c r="AK63" s="32"/>
      <c r="AL63" s="32"/>
      <c r="AM63" s="32"/>
      <c r="AN63" s="32"/>
      <c r="AO63" s="32"/>
      <c r="AZ63" s="20"/>
      <c r="BA63" s="32"/>
      <c r="BB63" s="32"/>
      <c r="BC63" s="32"/>
      <c r="BD63" s="32"/>
      <c r="BE63" s="32"/>
    </row>
    <row r="64" spans="3:57" ht="16.2" thickTop="1" x14ac:dyDescent="0.35">
      <c r="C64" s="3"/>
      <c r="D64" s="3" t="s">
        <v>42</v>
      </c>
      <c r="E64" s="3" t="s">
        <v>43</v>
      </c>
      <c r="F64" s="6"/>
      <c r="G64" s="142">
        <f>IF(CLmax_Estimation!E32="","",1.2*G62)</f>
        <v>86.561718979568823</v>
      </c>
      <c r="H64" s="143"/>
      <c r="I64" s="6" t="s">
        <v>41</v>
      </c>
      <c r="J64" s="6"/>
      <c r="K64" s="142">
        <f>G64*1/0.3048</f>
        <v>283.99514100908408</v>
      </c>
      <c r="L64" s="143"/>
      <c r="M64" s="6" t="s">
        <v>41</v>
      </c>
      <c r="N64" s="6"/>
      <c r="O64" s="18"/>
      <c r="P64" s="6"/>
      <c r="Q64" s="6"/>
      <c r="R64" s="6"/>
      <c r="S64" s="6"/>
      <c r="T64" s="18"/>
      <c r="U64" s="6"/>
      <c r="V64" s="6"/>
      <c r="W64" s="6"/>
      <c r="X64" s="6"/>
      <c r="Y64" s="24"/>
      <c r="Z64" s="3" t="s">
        <v>43</v>
      </c>
      <c r="AA64" s="142">
        <f>G64</f>
        <v>86.561718979568823</v>
      </c>
      <c r="AB64" s="143"/>
      <c r="AC64" s="6" t="s">
        <v>41</v>
      </c>
      <c r="AD64" s="125"/>
      <c r="AE64" s="16"/>
      <c r="AF64" s="16"/>
      <c r="AG64" s="16"/>
      <c r="AH64" s="16"/>
      <c r="AI64" s="32"/>
      <c r="AJ64" s="24"/>
      <c r="AK64" s="16"/>
      <c r="AL64" s="16"/>
      <c r="AM64" s="16"/>
      <c r="AN64" s="16"/>
      <c r="AO64" s="32"/>
      <c r="AZ64" s="24"/>
      <c r="BA64" s="16"/>
      <c r="BB64" s="16"/>
      <c r="BC64" s="16"/>
      <c r="BD64" s="16"/>
      <c r="BE64" s="32"/>
    </row>
    <row r="65" spans="3:57" ht="15" thickBot="1" x14ac:dyDescent="0.3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20"/>
      <c r="P65" s="6"/>
      <c r="Q65" s="6"/>
      <c r="R65" s="3"/>
      <c r="S65" s="3"/>
      <c r="T65" s="20"/>
      <c r="U65" s="6"/>
      <c r="V65" s="6"/>
      <c r="W65" s="3"/>
      <c r="X65" s="3"/>
      <c r="Y65" s="20"/>
      <c r="Z65" s="34"/>
      <c r="AA65" s="32"/>
      <c r="AB65" s="32"/>
      <c r="AC65" s="32"/>
      <c r="AD65" s="125"/>
      <c r="AE65" s="32"/>
      <c r="AF65" s="32"/>
      <c r="AG65" s="32"/>
      <c r="AH65" s="32"/>
      <c r="AI65" s="32"/>
      <c r="AJ65" s="20"/>
      <c r="AK65" s="32"/>
      <c r="AL65" s="32"/>
      <c r="AM65" s="32"/>
      <c r="AN65" s="32"/>
      <c r="AO65" s="32"/>
      <c r="AZ65" s="20"/>
      <c r="BA65" s="32"/>
      <c r="BB65" s="32"/>
      <c r="BC65" s="32"/>
      <c r="BD65" s="32"/>
      <c r="BE65" s="32"/>
    </row>
    <row r="66" spans="3:57" ht="16.2" thickTop="1" x14ac:dyDescent="0.35">
      <c r="C66" s="3"/>
      <c r="D66" s="3" t="s">
        <v>45</v>
      </c>
      <c r="E66" s="3" t="s">
        <v>46</v>
      </c>
      <c r="F66" s="6"/>
      <c r="G66" s="142">
        <f>IF(CLmax_Estimation!E32="","",G64 - 3*0.514444444)</f>
        <v>85.01838564756882</v>
      </c>
      <c r="H66" s="143"/>
      <c r="I66" s="6" t="s">
        <v>41</v>
      </c>
      <c r="J66" s="6"/>
      <c r="K66" s="142">
        <f>G66*1/0.3048</f>
        <v>278.93171144215489</v>
      </c>
      <c r="L66" s="143"/>
      <c r="M66" s="6" t="s">
        <v>41</v>
      </c>
      <c r="N66" s="6"/>
      <c r="O66" s="18"/>
      <c r="P66" s="6"/>
      <c r="Q66" s="6"/>
      <c r="R66" s="6"/>
      <c r="S66" s="6"/>
      <c r="T66" s="18"/>
      <c r="U66" s="6"/>
      <c r="V66" s="6"/>
      <c r="W66" s="6"/>
      <c r="X66" s="6"/>
      <c r="Y66" s="24"/>
      <c r="Z66" s="34"/>
      <c r="AA66" s="32"/>
      <c r="AB66" s="32"/>
      <c r="AC66" s="32"/>
      <c r="AD66" s="125"/>
      <c r="AE66" s="16"/>
      <c r="AF66" s="16"/>
      <c r="AG66" s="16"/>
      <c r="AH66" s="13"/>
      <c r="AI66" s="32"/>
      <c r="AJ66" s="24"/>
      <c r="AK66" s="16"/>
      <c r="AL66" s="16"/>
      <c r="AM66" s="16"/>
      <c r="AN66" s="13"/>
      <c r="AO66" s="32"/>
      <c r="AZ66" s="24"/>
      <c r="BA66" s="16"/>
      <c r="BB66" s="16"/>
      <c r="BC66" s="16"/>
      <c r="BD66" s="13"/>
      <c r="BE66" s="32"/>
    </row>
    <row r="67" spans="3:57" x14ac:dyDescent="0.3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20"/>
      <c r="P67" s="6"/>
      <c r="Q67" s="6"/>
      <c r="R67" s="3"/>
      <c r="S67" s="3"/>
      <c r="T67" s="20"/>
      <c r="U67" s="6"/>
      <c r="V67" s="6"/>
      <c r="W67" s="3"/>
      <c r="X67" s="3"/>
      <c r="Y67" s="20"/>
      <c r="Z67" s="34"/>
      <c r="AA67" s="32"/>
      <c r="AB67" s="32"/>
      <c r="AC67" s="32"/>
      <c r="AD67" s="125"/>
      <c r="AE67" s="32"/>
      <c r="AF67" s="32"/>
      <c r="AG67" s="32"/>
      <c r="AH67" s="32"/>
      <c r="AI67" s="32"/>
      <c r="AJ67" s="20"/>
      <c r="AK67" s="32"/>
      <c r="AL67" s="32"/>
      <c r="AM67" s="32"/>
      <c r="AN67" s="32"/>
      <c r="AO67" s="32"/>
      <c r="AZ67" s="20"/>
      <c r="BA67" s="32"/>
      <c r="BB67" s="32"/>
      <c r="BC67" s="32"/>
      <c r="BD67" s="32"/>
      <c r="BE67" s="32"/>
    </row>
    <row r="68" spans="3:57" x14ac:dyDescent="0.3">
      <c r="C68" s="3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42"/>
      <c r="P68" s="6"/>
      <c r="Q68" s="6"/>
      <c r="R68" s="39"/>
      <c r="S68" s="39"/>
      <c r="T68" s="42"/>
      <c r="U68" s="6"/>
      <c r="V68" s="6"/>
      <c r="W68" s="39"/>
      <c r="X68" s="39"/>
      <c r="Y68" s="42"/>
      <c r="Z68" s="34"/>
      <c r="AA68" s="34"/>
      <c r="AB68" s="34"/>
      <c r="AC68" s="34"/>
      <c r="AD68" s="125"/>
      <c r="AE68" s="34"/>
      <c r="AF68" s="34"/>
      <c r="AG68" s="34"/>
      <c r="AH68" s="34"/>
      <c r="AI68" s="32"/>
      <c r="AJ68" s="42"/>
      <c r="AK68" s="34"/>
      <c r="AL68" s="34"/>
      <c r="AM68" s="34"/>
      <c r="AN68" s="34"/>
      <c r="AO68" s="32"/>
      <c r="AZ68" s="42"/>
      <c r="BA68" s="34"/>
      <c r="BB68" s="34"/>
      <c r="BC68" s="34"/>
      <c r="BD68" s="34"/>
      <c r="BE68" s="32"/>
    </row>
    <row r="69" spans="3:57" x14ac:dyDescent="0.3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20"/>
      <c r="P69" s="6"/>
      <c r="Q69" s="6"/>
      <c r="R69" s="3"/>
      <c r="S69" s="3"/>
      <c r="T69" s="20"/>
      <c r="U69" s="6"/>
      <c r="V69" s="6"/>
      <c r="W69" s="3"/>
      <c r="X69" s="3"/>
      <c r="Y69" s="20"/>
      <c r="Z69" s="32"/>
      <c r="AA69" s="32"/>
      <c r="AB69" s="32"/>
      <c r="AC69" s="32"/>
      <c r="AD69" s="125"/>
      <c r="AE69" s="32"/>
      <c r="AF69" s="32"/>
      <c r="AG69" s="32"/>
      <c r="AH69" s="32"/>
      <c r="AI69" s="32"/>
      <c r="AJ69" s="20"/>
      <c r="AK69" s="32"/>
      <c r="AL69" s="32"/>
      <c r="AM69" s="32"/>
      <c r="AN69" s="32"/>
      <c r="AO69" s="32"/>
      <c r="AZ69" s="20"/>
      <c r="BA69" s="32"/>
      <c r="BB69" s="32"/>
      <c r="BC69" s="32"/>
      <c r="BD69" s="32"/>
      <c r="BE69" s="32"/>
    </row>
    <row r="70" spans="3:57" ht="15.6" x14ac:dyDescent="0.35">
      <c r="C70" s="3"/>
      <c r="D70" s="9"/>
      <c r="E70" s="3"/>
      <c r="F70" s="3"/>
      <c r="G70" s="3"/>
      <c r="H70" s="3"/>
      <c r="I70" s="3"/>
      <c r="J70" s="3"/>
      <c r="K70" s="3"/>
      <c r="L70" s="3"/>
      <c r="M70" s="3"/>
      <c r="N70" s="3"/>
      <c r="O70" s="20"/>
      <c r="P70" s="6"/>
      <c r="Q70" s="6"/>
      <c r="R70" s="47"/>
      <c r="S70" s="47"/>
      <c r="T70" s="20"/>
      <c r="U70" s="6"/>
      <c r="V70" s="6"/>
      <c r="W70" s="9"/>
      <c r="X70" s="9"/>
      <c r="Y70" s="156" t="s">
        <v>52</v>
      </c>
      <c r="Z70" s="157"/>
      <c r="AA70" s="157"/>
      <c r="AB70" s="157"/>
      <c r="AC70" s="157"/>
      <c r="AD70" s="125"/>
      <c r="AE70" s="157"/>
      <c r="AF70" s="157"/>
      <c r="AG70" s="157"/>
      <c r="AH70" s="157"/>
      <c r="AI70" s="157"/>
      <c r="AJ70" s="156"/>
      <c r="AK70" s="157"/>
      <c r="AL70" s="157"/>
      <c r="AM70" s="157"/>
      <c r="AN70" s="157"/>
      <c r="AO70" s="157"/>
      <c r="AZ70" s="156"/>
      <c r="BA70" s="157"/>
      <c r="BB70" s="157"/>
      <c r="BC70" s="157"/>
      <c r="BD70" s="157"/>
      <c r="BE70" s="157"/>
    </row>
    <row r="71" spans="3:57" ht="15" thickBot="1" x14ac:dyDescent="0.35">
      <c r="C71" s="3"/>
      <c r="D71" s="9"/>
      <c r="E71" s="3"/>
      <c r="F71" s="3"/>
      <c r="G71" s="3"/>
      <c r="H71" s="3"/>
      <c r="I71" s="3"/>
      <c r="J71" s="3"/>
      <c r="K71" s="3"/>
      <c r="L71" s="3"/>
      <c r="M71" s="3"/>
      <c r="N71" s="3"/>
      <c r="O71" s="20"/>
      <c r="P71" s="6"/>
      <c r="Q71" s="6"/>
      <c r="R71" s="47"/>
      <c r="S71" s="47"/>
      <c r="T71" s="20"/>
      <c r="U71" s="6"/>
      <c r="V71" s="6"/>
      <c r="W71" s="9"/>
      <c r="X71" s="9"/>
      <c r="Y71" s="25"/>
      <c r="Z71" s="9"/>
      <c r="AA71" s="9"/>
      <c r="AB71" s="9"/>
      <c r="AC71" s="9"/>
      <c r="AD71" s="125"/>
      <c r="AE71" s="9"/>
      <c r="AF71" s="9"/>
      <c r="AG71" s="9"/>
      <c r="AH71" s="9"/>
      <c r="AI71" s="3"/>
      <c r="AJ71" s="25"/>
      <c r="AK71" s="47"/>
      <c r="AL71" s="47"/>
      <c r="AM71" s="47"/>
      <c r="AN71" s="47"/>
      <c r="AO71" s="3"/>
      <c r="AZ71" s="25"/>
      <c r="BA71" s="9"/>
      <c r="BB71" s="9"/>
      <c r="BC71" s="9"/>
      <c r="BD71" s="9"/>
      <c r="BE71" s="3"/>
    </row>
    <row r="72" spans="3:57" ht="15" thickTop="1" x14ac:dyDescent="0.3">
      <c r="C72" s="3"/>
      <c r="D72" s="9"/>
      <c r="E72" s="3"/>
      <c r="F72" s="3"/>
      <c r="G72" s="3"/>
      <c r="H72" s="3"/>
      <c r="I72" s="3"/>
      <c r="J72" s="3"/>
      <c r="K72" s="3"/>
      <c r="L72" s="3"/>
      <c r="M72" s="3"/>
      <c r="N72" s="3"/>
      <c r="O72" s="20"/>
      <c r="P72" s="6"/>
      <c r="Q72" s="6"/>
      <c r="R72" s="6"/>
      <c r="S72" s="6"/>
      <c r="T72" s="20"/>
      <c r="U72" s="6"/>
      <c r="V72" s="6"/>
      <c r="W72" s="6"/>
      <c r="X72" s="6"/>
      <c r="Y72" s="25"/>
      <c r="Z72" s="32" t="s">
        <v>53</v>
      </c>
      <c r="AA72" s="158">
        <f>2.44*10^-4*AA23+1.66*10^-3</f>
        <v>3.124E-3</v>
      </c>
      <c r="AB72" s="159"/>
      <c r="AC72" s="6" t="s">
        <v>50</v>
      </c>
      <c r="AD72" s="125"/>
      <c r="AE72" s="34"/>
      <c r="AF72" s="34"/>
      <c r="AG72" s="34"/>
      <c r="AH72" s="34"/>
      <c r="AI72" s="3"/>
      <c r="AJ72" s="25"/>
      <c r="AK72" s="34"/>
      <c r="AL72" s="34"/>
      <c r="AM72" s="34"/>
      <c r="AN72" s="34"/>
      <c r="AO72" s="3"/>
      <c r="AZ72" s="25"/>
      <c r="BA72" s="34"/>
      <c r="BB72" s="34"/>
      <c r="BC72" s="34"/>
      <c r="BD72" s="34"/>
      <c r="BE72" s="3"/>
    </row>
    <row r="73" spans="3:57" ht="15" thickBot="1" x14ac:dyDescent="0.35">
      <c r="C73" s="3"/>
      <c r="D73" s="9"/>
      <c r="E73" s="3"/>
      <c r="F73" s="3"/>
      <c r="G73" s="3"/>
      <c r="H73" s="3"/>
      <c r="I73" s="3"/>
      <c r="J73" s="3"/>
      <c r="K73" s="3"/>
      <c r="L73" s="3"/>
      <c r="M73" s="3"/>
      <c r="N73" s="3"/>
      <c r="O73" s="20"/>
      <c r="P73" s="6"/>
      <c r="Q73" s="6"/>
      <c r="R73" s="3"/>
      <c r="S73" s="3"/>
      <c r="T73" s="20"/>
      <c r="U73" s="6"/>
      <c r="V73" s="6"/>
      <c r="W73" s="3"/>
      <c r="X73" s="3"/>
      <c r="Y73" s="25"/>
      <c r="Z73" s="32"/>
      <c r="AA73" s="10"/>
      <c r="AB73" s="10"/>
      <c r="AC73" s="3"/>
      <c r="AD73" s="125"/>
      <c r="AE73" s="34"/>
      <c r="AF73" s="34"/>
      <c r="AG73" s="34"/>
      <c r="AH73" s="34"/>
      <c r="AI73" s="3"/>
      <c r="AJ73" s="25"/>
      <c r="AK73" s="34"/>
      <c r="AL73" s="34"/>
      <c r="AM73" s="34"/>
      <c r="AN73" s="34"/>
      <c r="AO73" s="3"/>
      <c r="AZ73" s="25"/>
      <c r="BA73" s="34"/>
      <c r="BB73" s="34"/>
      <c r="BC73" s="34"/>
      <c r="BD73" s="34"/>
      <c r="BE73" s="3"/>
    </row>
    <row r="74" spans="3:57" ht="15" thickTop="1" x14ac:dyDescent="0.3">
      <c r="C74" s="3"/>
      <c r="D74" s="9"/>
      <c r="E74" s="3"/>
      <c r="F74" s="3"/>
      <c r="G74" s="3"/>
      <c r="H74" s="3"/>
      <c r="I74" s="3"/>
      <c r="J74" s="3"/>
      <c r="K74" s="3"/>
      <c r="L74" s="3"/>
      <c r="M74" s="3"/>
      <c r="N74" s="3"/>
      <c r="O74" s="20"/>
      <c r="P74" s="6"/>
      <c r="Q74" s="6"/>
      <c r="R74" s="6"/>
      <c r="S74" s="6"/>
      <c r="T74" s="20"/>
      <c r="U74" s="6"/>
      <c r="V74" s="6"/>
      <c r="W74" s="6"/>
      <c r="X74" s="6"/>
      <c r="Y74" s="25"/>
      <c r="Z74" s="32" t="s">
        <v>54</v>
      </c>
      <c r="AA74" s="158">
        <f>6.16*10^-7*AA23+4.08*10^-6</f>
        <v>7.7759999999999997E-6</v>
      </c>
      <c r="AB74" s="159"/>
      <c r="AC74" s="6" t="s">
        <v>50</v>
      </c>
      <c r="AD74" s="125"/>
      <c r="AE74" s="34"/>
      <c r="AF74" s="34"/>
      <c r="AG74" s="34"/>
      <c r="AH74" s="34"/>
      <c r="AI74" s="3"/>
      <c r="AJ74" s="25"/>
      <c r="AK74" s="34"/>
      <c r="AL74" s="34"/>
      <c r="AM74" s="34"/>
      <c r="AN74" s="34"/>
      <c r="AO74" s="3"/>
      <c r="AZ74" s="25"/>
      <c r="BA74" s="34"/>
      <c r="BB74" s="34"/>
      <c r="BC74" s="34"/>
      <c r="BD74" s="34"/>
      <c r="BE74" s="3"/>
    </row>
    <row r="75" spans="3:57" ht="15" thickBot="1" x14ac:dyDescent="0.35">
      <c r="C75" s="3"/>
      <c r="D75" s="9"/>
      <c r="E75" s="3"/>
      <c r="F75" s="3"/>
      <c r="G75" s="3"/>
      <c r="H75" s="3"/>
      <c r="I75" s="3"/>
      <c r="J75" s="3"/>
      <c r="K75" s="3"/>
      <c r="L75" s="3"/>
      <c r="M75" s="3"/>
      <c r="N75" s="3"/>
      <c r="O75" s="20"/>
      <c r="P75" s="6"/>
      <c r="Q75" s="6"/>
      <c r="R75" s="3"/>
      <c r="S75" s="3"/>
      <c r="T75" s="20"/>
      <c r="U75" s="6"/>
      <c r="V75" s="6"/>
      <c r="W75" s="3"/>
      <c r="X75" s="3"/>
      <c r="Y75" s="25"/>
      <c r="Z75" s="32"/>
      <c r="AA75" s="3"/>
      <c r="AB75" s="3"/>
      <c r="AC75" s="3"/>
      <c r="AD75" s="125"/>
      <c r="AE75" s="34"/>
      <c r="AF75" s="34"/>
      <c r="AG75" s="34"/>
      <c r="AH75" s="34"/>
      <c r="AI75" s="3"/>
      <c r="AJ75" s="25"/>
      <c r="AK75" s="34"/>
      <c r="AL75" s="34"/>
      <c r="AM75" s="34"/>
      <c r="AN75" s="34"/>
      <c r="AO75" s="3"/>
      <c r="AZ75" s="25"/>
      <c r="BA75" s="34"/>
      <c r="BB75" s="34"/>
      <c r="BC75" s="34"/>
      <c r="BD75" s="34"/>
      <c r="BE75" s="3"/>
    </row>
    <row r="76" spans="3:57" ht="16.8" thickTop="1" thickBot="1" x14ac:dyDescent="0.4">
      <c r="C76" s="3"/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18"/>
      <c r="P76" s="6"/>
      <c r="Q76" s="6"/>
      <c r="R76" s="6"/>
      <c r="S76" s="6"/>
      <c r="T76" s="18"/>
      <c r="U76" s="6"/>
      <c r="V76" s="6"/>
      <c r="W76" s="6"/>
      <c r="X76" s="6"/>
      <c r="Y76" s="25"/>
      <c r="Z76" s="32" t="s">
        <v>51</v>
      </c>
      <c r="AA76" s="152">
        <f>(G29*G21*(1-AA72*(0.7*AA64)+AA74*(0.7*AA64)^2))*0.2248089431</f>
        <v>44488.954634170317</v>
      </c>
      <c r="AB76" s="153"/>
      <c r="AC76" s="6" t="s">
        <v>64</v>
      </c>
      <c r="AD76" s="125"/>
      <c r="AE76" s="34"/>
      <c r="AF76" s="34"/>
      <c r="AG76" s="34"/>
      <c r="AH76" s="34"/>
      <c r="AI76" s="3"/>
      <c r="AJ76" s="25"/>
      <c r="AK76" s="34"/>
      <c r="AL76" s="34"/>
      <c r="AM76" s="34"/>
      <c r="AN76" s="34"/>
      <c r="AO76" s="3"/>
      <c r="AZ76" s="25"/>
      <c r="BA76" s="34"/>
      <c r="BB76" s="34"/>
      <c r="BC76" s="34"/>
      <c r="BD76" s="34"/>
      <c r="BE76" s="3"/>
    </row>
    <row r="77" spans="3:57" ht="16.8" thickTop="1" thickBot="1" x14ac:dyDescent="0.4">
      <c r="C77" s="3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25"/>
      <c r="P77" s="47"/>
      <c r="Q77" s="47"/>
      <c r="R77" s="47"/>
      <c r="S77" s="47"/>
      <c r="T77" s="25"/>
      <c r="U77" s="9"/>
      <c r="V77" s="9"/>
      <c r="W77" s="9"/>
      <c r="X77" s="9"/>
      <c r="Y77" s="25"/>
      <c r="Z77" s="54"/>
      <c r="AA77" s="54"/>
      <c r="AB77" s="9"/>
      <c r="AC77" s="9"/>
      <c r="AD77" s="125"/>
      <c r="AE77" s="34"/>
      <c r="AF77" s="34"/>
      <c r="AG77" s="34"/>
      <c r="AH77" s="34"/>
      <c r="AI77" s="3"/>
      <c r="AJ77" s="25"/>
      <c r="AK77" s="32" t="s">
        <v>51</v>
      </c>
      <c r="AL77" s="152">
        <f>AA76</f>
        <v>44488.954634170317</v>
      </c>
      <c r="AM77" s="153"/>
      <c r="AN77" s="6" t="s">
        <v>64</v>
      </c>
      <c r="AO77" s="3"/>
      <c r="AZ77" s="25"/>
      <c r="BA77" s="34"/>
      <c r="BB77" s="34"/>
      <c r="BC77" s="34"/>
      <c r="BD77" s="34"/>
      <c r="BE77" s="3"/>
    </row>
    <row r="78" spans="3:57" ht="16.2" thickTop="1" x14ac:dyDescent="0.35">
      <c r="C78" s="3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25"/>
      <c r="P78" s="47"/>
      <c r="Q78" s="47"/>
      <c r="R78" s="47"/>
      <c r="S78" s="47"/>
      <c r="T78" s="25"/>
      <c r="U78" s="9"/>
      <c r="V78" s="9"/>
      <c r="W78" s="9"/>
      <c r="X78" s="9"/>
      <c r="Y78" s="25"/>
      <c r="Z78" s="32" t="s">
        <v>127</v>
      </c>
      <c r="AA78" s="152">
        <f>AA21*AA29</f>
        <v>53009.962200000002</v>
      </c>
      <c r="AB78" s="153"/>
      <c r="AC78" s="6" t="s">
        <v>64</v>
      </c>
      <c r="AD78" s="125"/>
      <c r="AE78" s="34"/>
      <c r="AF78" s="34"/>
      <c r="AG78" s="34"/>
      <c r="AH78" s="34"/>
      <c r="AI78" s="3"/>
      <c r="AJ78" s="25"/>
      <c r="AK78" s="34"/>
      <c r="AL78" s="34"/>
      <c r="AM78" s="34"/>
      <c r="AN78" s="34"/>
      <c r="AO78" s="3"/>
      <c r="AZ78" s="25"/>
      <c r="BA78" s="34"/>
      <c r="BB78" s="34"/>
      <c r="BC78" s="34"/>
      <c r="BD78" s="34"/>
      <c r="BE78" s="3"/>
    </row>
    <row r="79" spans="3:57" x14ac:dyDescent="0.3">
      <c r="C79" s="3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25"/>
      <c r="P79" s="47"/>
      <c r="Q79" s="47"/>
      <c r="R79" s="47"/>
      <c r="S79" s="47"/>
      <c r="T79" s="25"/>
      <c r="U79" s="9"/>
      <c r="V79" s="9"/>
      <c r="W79" s="9"/>
      <c r="X79" s="9"/>
      <c r="Y79" s="25"/>
      <c r="Z79" s="32"/>
      <c r="AA79" s="14"/>
      <c r="AB79" s="14"/>
      <c r="AC79" s="6"/>
      <c r="AD79" s="125"/>
      <c r="AE79" s="34"/>
      <c r="AF79" s="34"/>
      <c r="AG79" s="34"/>
      <c r="AH79" s="34"/>
      <c r="AI79" s="3"/>
      <c r="AJ79" s="25"/>
      <c r="AK79" s="34"/>
      <c r="AL79" s="34"/>
      <c r="AM79" s="34"/>
      <c r="AN79" s="34"/>
      <c r="AO79" s="3"/>
      <c r="AZ79" s="25"/>
      <c r="BA79" s="34"/>
      <c r="BB79" s="34"/>
      <c r="BC79" s="34"/>
      <c r="BD79" s="34"/>
      <c r="BE79" s="3"/>
    </row>
    <row r="80" spans="3:57" x14ac:dyDescent="0.3">
      <c r="C80" s="3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25"/>
      <c r="P80" s="47"/>
      <c r="Q80" s="47"/>
      <c r="R80" s="47"/>
      <c r="S80" s="47"/>
      <c r="T80" s="25"/>
      <c r="U80" s="9"/>
      <c r="V80" s="9"/>
      <c r="W80" s="9"/>
      <c r="X80" s="9"/>
      <c r="Y80" s="25"/>
      <c r="Z80" s="32"/>
      <c r="AA80" s="32"/>
      <c r="AB80" s="32"/>
      <c r="AC80" s="32"/>
      <c r="AD80" s="125"/>
      <c r="AE80" s="34"/>
      <c r="AF80" s="34"/>
      <c r="AG80" s="34"/>
      <c r="AH80" s="34"/>
      <c r="AI80" s="3"/>
      <c r="AJ80" s="25"/>
      <c r="AK80" s="34"/>
      <c r="AL80" s="34"/>
      <c r="AM80" s="34"/>
      <c r="AN80" s="34"/>
      <c r="AO80" s="3"/>
      <c r="AZ80" s="25"/>
      <c r="BA80" s="34"/>
      <c r="BB80" s="34"/>
      <c r="BC80" s="34"/>
      <c r="BD80" s="34"/>
      <c r="BE80" s="3"/>
    </row>
    <row r="81" spans="3:57" ht="21" x14ac:dyDescent="0.4">
      <c r="C81" s="3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25"/>
      <c r="P81" s="47"/>
      <c r="Q81" s="140" t="s">
        <v>147</v>
      </c>
      <c r="R81" s="140"/>
      <c r="S81" s="28"/>
      <c r="T81" s="25"/>
      <c r="U81" s="9"/>
      <c r="V81" s="140" t="s">
        <v>67</v>
      </c>
      <c r="W81" s="140"/>
      <c r="X81" s="28"/>
      <c r="Y81" s="154" t="s">
        <v>68</v>
      </c>
      <c r="Z81" s="155"/>
      <c r="AA81" s="140"/>
      <c r="AB81" s="140"/>
      <c r="AC81" s="140"/>
      <c r="AD81" s="135"/>
      <c r="AE81" s="155" t="s">
        <v>107</v>
      </c>
      <c r="AF81" s="140"/>
      <c r="AG81" s="140"/>
      <c r="AH81" s="140"/>
      <c r="AI81" s="3"/>
      <c r="AJ81" s="154" t="s">
        <v>107</v>
      </c>
      <c r="AK81" s="155"/>
      <c r="AL81" s="140"/>
      <c r="AM81" s="140"/>
      <c r="AN81" s="140"/>
      <c r="AO81" s="3"/>
      <c r="AZ81" s="154" t="s">
        <v>69</v>
      </c>
      <c r="BA81" s="155"/>
      <c r="BB81" s="140"/>
      <c r="BC81" s="140"/>
      <c r="BD81" s="140"/>
      <c r="BE81" s="4"/>
    </row>
    <row r="82" spans="3:57" x14ac:dyDescent="0.3">
      <c r="C82" s="3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41"/>
      <c r="P82" s="38"/>
      <c r="Q82" s="38"/>
      <c r="R82" s="38"/>
      <c r="S82" s="38"/>
      <c r="T82" s="41"/>
      <c r="U82" s="38"/>
      <c r="V82" s="38"/>
      <c r="W82" s="38"/>
      <c r="X82" s="38"/>
      <c r="Y82" s="41"/>
      <c r="Z82" s="38"/>
      <c r="AA82" s="55"/>
      <c r="AB82" s="38"/>
      <c r="AC82" s="38"/>
      <c r="AD82" s="125"/>
      <c r="AE82" s="38"/>
      <c r="AF82" s="38"/>
      <c r="AG82" s="38"/>
      <c r="AH82" s="38"/>
      <c r="AI82" s="3"/>
      <c r="AJ82" s="41"/>
      <c r="AK82" s="38"/>
      <c r="AL82" s="38"/>
      <c r="AM82" s="38"/>
      <c r="AN82" s="38"/>
      <c r="AO82" s="3"/>
      <c r="AZ82" s="41"/>
      <c r="BA82" s="38"/>
      <c r="BB82" s="38"/>
      <c r="BC82" s="38"/>
      <c r="BD82" s="38"/>
      <c r="BE82" s="3"/>
    </row>
    <row r="83" spans="3:57" x14ac:dyDescent="0.3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40"/>
      <c r="P83" s="49"/>
      <c r="Q83" s="49"/>
      <c r="R83" s="49"/>
      <c r="S83" s="49"/>
      <c r="T83" s="40"/>
      <c r="U83" s="49"/>
      <c r="V83" s="49"/>
      <c r="W83" s="49"/>
      <c r="X83" s="49"/>
      <c r="Y83" s="40"/>
      <c r="Z83" s="49"/>
      <c r="AA83" s="49"/>
      <c r="AB83" s="49"/>
      <c r="AC83" s="49"/>
      <c r="AD83" s="125"/>
      <c r="AE83" s="49"/>
      <c r="AF83" s="49"/>
      <c r="AG83" s="49"/>
      <c r="AH83" s="49"/>
      <c r="AI83" s="3"/>
      <c r="AJ83" s="40"/>
      <c r="AK83" s="49"/>
      <c r="AL83" s="49"/>
      <c r="AM83" s="49"/>
      <c r="AN83" s="49"/>
      <c r="AO83" s="3"/>
      <c r="AZ83" s="40"/>
      <c r="BA83" s="49"/>
      <c r="BB83" s="49"/>
      <c r="BC83" s="49"/>
      <c r="BD83" s="49"/>
      <c r="BE83" s="3"/>
    </row>
    <row r="84" spans="3:57" ht="15" thickBot="1" x14ac:dyDescent="0.3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20"/>
      <c r="P84" s="141" t="s">
        <v>44</v>
      </c>
      <c r="Q84" s="141"/>
      <c r="R84" s="141"/>
      <c r="S84" s="141"/>
      <c r="T84" s="20"/>
      <c r="U84" s="141" t="s">
        <v>44</v>
      </c>
      <c r="V84" s="141"/>
      <c r="W84" s="141"/>
      <c r="X84" s="141"/>
      <c r="Y84" s="20"/>
      <c r="Z84" s="141" t="s">
        <v>44</v>
      </c>
      <c r="AA84" s="141"/>
      <c r="AB84" s="141"/>
      <c r="AC84" s="141"/>
      <c r="AD84" s="125"/>
      <c r="AE84" s="141" t="s">
        <v>44</v>
      </c>
      <c r="AF84" s="141"/>
      <c r="AG84" s="141"/>
      <c r="AH84" s="141"/>
      <c r="AI84" s="32"/>
      <c r="AJ84" s="20"/>
      <c r="AK84" s="141" t="s">
        <v>44</v>
      </c>
      <c r="AL84" s="141"/>
      <c r="AM84" s="141"/>
      <c r="AN84" s="141"/>
      <c r="AO84" s="32"/>
      <c r="AZ84" s="20"/>
      <c r="BA84" s="141" t="s">
        <v>44</v>
      </c>
      <c r="BB84" s="141"/>
      <c r="BC84" s="141"/>
      <c r="BD84" s="141"/>
      <c r="BE84" s="32"/>
    </row>
    <row r="85" spans="3:57" ht="17.399999999999999" thickTop="1" x14ac:dyDescent="0.3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20"/>
      <c r="P85" s="30" t="s">
        <v>62</v>
      </c>
      <c r="Q85" s="142">
        <f>1/(V43*V56)  *  (V47/V51)</f>
        <v>992.22982018106416</v>
      </c>
      <c r="R85" s="143"/>
      <c r="S85" s="6" t="s">
        <v>106</v>
      </c>
      <c r="T85" s="20"/>
      <c r="U85" s="30" t="s">
        <v>62</v>
      </c>
      <c r="V85" s="142">
        <f>1/(V43*V56)  *  (V47/V51)</f>
        <v>992.22982018106416</v>
      </c>
      <c r="W85" s="143"/>
      <c r="X85" s="6" t="s">
        <v>106</v>
      </c>
      <c r="Y85" s="24"/>
      <c r="Z85" s="56" t="s">
        <v>49</v>
      </c>
      <c r="AA85" s="142">
        <f>AA15^2   /    (AA43*AA56*AA13*AA76)</f>
        <v>242.14808041190355</v>
      </c>
      <c r="AB85" s="143"/>
      <c r="AC85" s="6" t="s">
        <v>103</v>
      </c>
      <c r="AD85" s="125"/>
      <c r="AE85" s="56" t="s">
        <v>76</v>
      </c>
      <c r="AF85" s="142">
        <f>AF47*9.80665   /    (AF43*AF56*AF51)</f>
        <v>9730.4505660786326</v>
      </c>
      <c r="AG85" s="143"/>
      <c r="AH85" s="6" t="s">
        <v>129</v>
      </c>
      <c r="AI85" s="32"/>
      <c r="AJ85" s="24"/>
      <c r="AK85" s="56" t="s">
        <v>76</v>
      </c>
      <c r="AL85" s="142">
        <f>AL47   /    (AL43*AL56*AL51)</f>
        <v>203.22464034110106</v>
      </c>
      <c r="AM85" s="143"/>
      <c r="AN85" s="6" t="s">
        <v>103</v>
      </c>
      <c r="AO85" s="32"/>
      <c r="AZ85" s="24"/>
      <c r="BA85" s="56" t="s">
        <v>76</v>
      </c>
      <c r="BB85" s="142">
        <f>BB47   /    (BB43*BB56*BB51)</f>
        <v>97.943697012000214</v>
      </c>
      <c r="BC85" s="143"/>
      <c r="BD85" s="6" t="s">
        <v>103</v>
      </c>
      <c r="BE85" s="32"/>
    </row>
    <row r="86" spans="3:57" x14ac:dyDescent="0.3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20"/>
      <c r="P86" s="3"/>
      <c r="Q86" s="3"/>
      <c r="R86" s="3"/>
      <c r="S86" s="3"/>
      <c r="T86" s="20"/>
      <c r="U86" s="3"/>
      <c r="V86" s="3"/>
      <c r="W86" s="3"/>
      <c r="X86" s="3"/>
      <c r="Y86" s="20"/>
      <c r="Z86" s="32"/>
      <c r="AA86" s="3"/>
      <c r="AB86" s="3"/>
      <c r="AC86" s="3"/>
      <c r="AD86" s="125"/>
      <c r="AE86" s="32"/>
      <c r="AF86" s="3"/>
      <c r="AG86" s="3"/>
      <c r="AH86" s="3"/>
      <c r="AI86" s="32"/>
      <c r="AJ86" s="20"/>
      <c r="AK86" s="32"/>
      <c r="AL86" s="3"/>
      <c r="AM86" s="3"/>
      <c r="AN86" s="3"/>
      <c r="AO86" s="32"/>
      <c r="AZ86" s="20"/>
      <c r="BA86" s="32"/>
      <c r="BB86" s="3"/>
      <c r="BC86" s="3"/>
      <c r="BD86" s="3"/>
      <c r="BE86" s="32"/>
    </row>
    <row r="87" spans="3:57" x14ac:dyDescent="0.3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20"/>
      <c r="P87" s="3"/>
      <c r="Q87" s="38"/>
      <c r="R87" s="38"/>
      <c r="S87" s="38"/>
      <c r="T87" s="20"/>
      <c r="U87" s="3"/>
      <c r="V87" s="38"/>
      <c r="W87" s="38"/>
      <c r="X87" s="38"/>
      <c r="Y87" s="41"/>
      <c r="Z87" s="38"/>
      <c r="AA87" s="38"/>
      <c r="AB87" s="38"/>
      <c r="AC87" s="38"/>
      <c r="AD87" s="125"/>
      <c r="AE87" s="38"/>
      <c r="AF87" s="38"/>
      <c r="AG87" s="38"/>
      <c r="AH87" s="38"/>
      <c r="AI87" s="32"/>
      <c r="AJ87" s="41"/>
      <c r="AK87" s="38"/>
      <c r="AL87" s="38"/>
      <c r="AM87" s="38"/>
      <c r="AN87" s="38"/>
      <c r="AO87" s="32"/>
      <c r="AZ87" s="41"/>
      <c r="BA87" s="38"/>
      <c r="BB87" s="38"/>
      <c r="BC87" s="38"/>
      <c r="BD87" s="38"/>
      <c r="BE87" s="32"/>
    </row>
    <row r="88" spans="3:57" ht="15" thickBot="1" x14ac:dyDescent="0.35">
      <c r="C88" s="3"/>
      <c r="D88" s="3"/>
      <c r="E88" s="9"/>
      <c r="F88" s="9"/>
      <c r="G88" s="3"/>
      <c r="H88" s="9"/>
      <c r="I88" s="9"/>
      <c r="J88" s="9"/>
      <c r="K88" s="9"/>
      <c r="L88" s="9"/>
      <c r="M88" s="9"/>
      <c r="N88" s="9"/>
      <c r="O88" s="25"/>
      <c r="P88" s="144" t="s">
        <v>47</v>
      </c>
      <c r="Q88" s="144"/>
      <c r="R88" s="144"/>
      <c r="S88" s="145"/>
      <c r="T88" s="25"/>
      <c r="U88" s="144" t="s">
        <v>47</v>
      </c>
      <c r="V88" s="144"/>
      <c r="W88" s="144"/>
      <c r="X88" s="145"/>
      <c r="Y88" s="25"/>
      <c r="Z88" s="144" t="s">
        <v>47</v>
      </c>
      <c r="AA88" s="144"/>
      <c r="AB88" s="144"/>
      <c r="AC88" s="144"/>
      <c r="AD88" s="125"/>
      <c r="AE88" s="144" t="s">
        <v>47</v>
      </c>
      <c r="AF88" s="144"/>
      <c r="AG88" s="144"/>
      <c r="AH88" s="144"/>
      <c r="AI88" s="32"/>
      <c r="AJ88" s="25"/>
      <c r="AK88" s="144" t="s">
        <v>47</v>
      </c>
      <c r="AL88" s="144"/>
      <c r="AM88" s="144"/>
      <c r="AN88" s="144"/>
      <c r="AO88" s="32"/>
      <c r="AZ88" s="25"/>
      <c r="BA88" s="144" t="s">
        <v>47</v>
      </c>
      <c r="BB88" s="144"/>
      <c r="BC88" s="144"/>
      <c r="BD88" s="144"/>
      <c r="BE88" s="32"/>
    </row>
    <row r="89" spans="3:57" ht="19.2" thickTop="1" thickBot="1" x14ac:dyDescent="0.4">
      <c r="C89" s="3"/>
      <c r="D89" s="11"/>
      <c r="E89" s="9"/>
      <c r="F89" s="9"/>
      <c r="G89" s="3"/>
      <c r="H89" s="9"/>
      <c r="I89" s="6"/>
      <c r="J89" s="6"/>
      <c r="K89" s="6"/>
      <c r="L89" s="6"/>
      <c r="M89" s="6"/>
      <c r="N89" s="6"/>
      <c r="O89" s="25"/>
      <c r="P89" s="3" t="s">
        <v>48</v>
      </c>
      <c r="Q89" s="146">
        <f>Q90*1/0.3048</f>
        <v>7889.4460061012987</v>
      </c>
      <c r="R89" s="147"/>
      <c r="S89" s="6" t="s">
        <v>101</v>
      </c>
      <c r="T89" s="25"/>
      <c r="U89" s="3" t="s">
        <v>48</v>
      </c>
      <c r="V89" s="138">
        <f>V90*1/0.3048</f>
        <v>7617.5123990278544</v>
      </c>
      <c r="W89" s="139"/>
      <c r="X89" s="6" t="s">
        <v>101</v>
      </c>
      <c r="Y89" s="25"/>
      <c r="Z89" s="3" t="s">
        <v>48</v>
      </c>
      <c r="AA89" s="138">
        <f>IF(AA29=2,   857.4  +28.43*AA85   +0.0185*AA85^2,
IF(AA29=3,     667.9  +29.91*AA85   +0.123*AA85^2,
IF(AA29=4,    486.7   +26.2*AA85     +0.0093*AA85^2,
1)))</f>
        <v>8826.4302437830574</v>
      </c>
      <c r="AB89" s="139"/>
      <c r="AC89" s="6" t="s">
        <v>101</v>
      </c>
      <c r="AD89" s="125"/>
      <c r="AE89" s="3" t="s">
        <v>48</v>
      </c>
      <c r="AF89" s="146">
        <f>IF(AA29=2,   37.5*AF85,
IF(AA29=3,     28.5*AF85,
IF(AA29=4,     25.1*AF85,
1)))</f>
        <v>364891.89622794872</v>
      </c>
      <c r="AG89" s="147"/>
      <c r="AH89" s="6" t="s">
        <v>101</v>
      </c>
      <c r="AI89" s="32"/>
      <c r="AJ89" s="25"/>
      <c r="AK89" s="3" t="s">
        <v>48</v>
      </c>
      <c r="AL89" s="146">
        <f>IF(AA29=2,   37.7*AL85,
IF(AA29=3,     28.5*AL85,
IF(AA29=4,     25.1*AL85,
1)))</f>
        <v>7661.5689408595108</v>
      </c>
      <c r="AM89" s="147"/>
      <c r="AN89" s="6" t="s">
        <v>101</v>
      </c>
      <c r="AO89" s="32"/>
      <c r="AZ89" s="25"/>
      <c r="BA89" s="3" t="s">
        <v>48</v>
      </c>
      <c r="BB89" s="138">
        <f>37.5*BB85</f>
        <v>3672.8886379500082</v>
      </c>
      <c r="BC89" s="139"/>
      <c r="BD89" s="6" t="s">
        <v>101</v>
      </c>
      <c r="BE89" s="32"/>
    </row>
    <row r="90" spans="3:57" ht="18.600000000000001" thickTop="1" x14ac:dyDescent="0.35">
      <c r="C90" s="3"/>
      <c r="D90" s="11"/>
      <c r="E90" s="9"/>
      <c r="F90" s="9"/>
      <c r="G90" s="3"/>
      <c r="H90" s="9"/>
      <c r="I90" s="6"/>
      <c r="J90" s="6"/>
      <c r="K90" s="6"/>
      <c r="L90" s="6"/>
      <c r="M90" s="6"/>
      <c r="N90" s="6"/>
      <c r="O90" s="25"/>
      <c r="P90" s="3"/>
      <c r="Q90" s="138">
        <f>IF(O100="x",   1.876*Q85+543.28,           1.908*Q85+515.34    )</f>
        <v>2404.7031426596759</v>
      </c>
      <c r="R90" s="139"/>
      <c r="S90" s="6" t="s">
        <v>102</v>
      </c>
      <c r="T90" s="25"/>
      <c r="U90" s="3"/>
      <c r="V90" s="138">
        <f>IF(V56="","",$V$31* V85  )</f>
        <v>2321.8177792236902</v>
      </c>
      <c r="W90" s="139"/>
      <c r="X90" s="6" t="s">
        <v>102</v>
      </c>
      <c r="Y90" s="25"/>
      <c r="Z90" s="3"/>
      <c r="AA90" s="138">
        <f>AA89*0.3048</f>
        <v>2690.2959383050761</v>
      </c>
      <c r="AB90" s="139"/>
      <c r="AC90" s="6" t="s">
        <v>102</v>
      </c>
      <c r="AD90" s="125"/>
      <c r="AE90" s="3"/>
      <c r="AF90" s="138">
        <f>IF(AA29=2,         1.44/(0.5*9.80665*1.225)     *AF85,
IF(AA29=3,           1.44/(0.66*9.80665*1.225)   *AF85,
IF(AA29=4,           1.44/(0.75*9.80665*1.225)   *AF85,
1)))</f>
        <v>2332.7525568338488</v>
      </c>
      <c r="AG90" s="139"/>
      <c r="AH90" s="6" t="s">
        <v>102</v>
      </c>
      <c r="AI90" s="32"/>
      <c r="AJ90" s="25"/>
      <c r="AK90" s="3"/>
      <c r="AL90" s="138">
        <f>AL89*0.3048</f>
        <v>2335.246213173979</v>
      </c>
      <c r="AM90" s="139"/>
      <c r="AN90" s="6" t="s">
        <v>102</v>
      </c>
      <c r="AO90" s="32"/>
      <c r="AZ90" s="25"/>
      <c r="BA90" s="3"/>
      <c r="BB90" s="138">
        <f>BB89*0.3048</f>
        <v>1119.4964568471626</v>
      </c>
      <c r="BC90" s="139"/>
      <c r="BD90" s="6" t="s">
        <v>102</v>
      </c>
      <c r="BE90" s="32"/>
    </row>
    <row r="91" spans="3:57" x14ac:dyDescent="0.3">
      <c r="C91" s="3"/>
      <c r="D91" s="3"/>
      <c r="E91" s="9"/>
      <c r="F91" s="9"/>
      <c r="G91" s="9"/>
      <c r="H91" s="9"/>
      <c r="I91" s="3"/>
      <c r="J91" s="3"/>
      <c r="K91" s="3"/>
      <c r="L91" s="3"/>
      <c r="M91" s="3"/>
      <c r="N91" s="3"/>
      <c r="O91" s="20"/>
      <c r="P91" s="3"/>
      <c r="Q91" s="3"/>
      <c r="R91" s="3"/>
      <c r="S91" s="3"/>
      <c r="T91" s="20"/>
      <c r="U91" s="3"/>
      <c r="V91" s="3"/>
      <c r="W91" s="3"/>
      <c r="X91" s="3"/>
      <c r="Y91" s="20"/>
      <c r="Z91" s="32"/>
      <c r="AA91" s="3"/>
      <c r="AB91" s="3"/>
      <c r="AC91" s="3"/>
      <c r="AD91" s="125"/>
      <c r="AE91" s="32"/>
      <c r="AF91" s="3"/>
      <c r="AG91" s="3"/>
      <c r="AH91" s="3"/>
      <c r="AI91" s="3"/>
      <c r="AJ91" s="20"/>
      <c r="AK91" s="32"/>
      <c r="AL91" s="3"/>
      <c r="AM91" s="3"/>
      <c r="AN91" s="3"/>
      <c r="AO91" s="3"/>
      <c r="AZ91" s="20"/>
      <c r="BA91" s="32"/>
      <c r="BB91" s="3"/>
      <c r="BC91" s="3"/>
      <c r="BD91" s="3"/>
      <c r="BE91" s="3"/>
    </row>
    <row r="92" spans="3:57" x14ac:dyDescent="0.3">
      <c r="O92" s="26"/>
      <c r="P92" s="33"/>
      <c r="T92" s="26"/>
    </row>
    <row r="93" spans="3:57" x14ac:dyDescent="0.3">
      <c r="O93" s="26"/>
      <c r="P93" s="33"/>
      <c r="T93" s="26"/>
    </row>
    <row r="94" spans="3:57" x14ac:dyDescent="0.3">
      <c r="O94" s="26"/>
      <c r="P94" s="33"/>
      <c r="T94" s="26"/>
    </row>
    <row r="95" spans="3:57" x14ac:dyDescent="0.3">
      <c r="O95" s="26"/>
      <c r="P95" s="33"/>
      <c r="T95" s="26"/>
    </row>
    <row r="96" spans="3:57" x14ac:dyDescent="0.3">
      <c r="O96" s="26"/>
      <c r="P96" s="33"/>
      <c r="T96" s="26"/>
    </row>
    <row r="97" spans="15:40" x14ac:dyDescent="0.3">
      <c r="O97" s="26"/>
      <c r="P97" s="33"/>
      <c r="T97" s="26"/>
    </row>
    <row r="98" spans="15:40" x14ac:dyDescent="0.3">
      <c r="O98" s="26"/>
      <c r="P98" s="33"/>
      <c r="T98" s="26"/>
    </row>
    <row r="99" spans="15:40" ht="15" thickBot="1" x14ac:dyDescent="0.35">
      <c r="O99" s="26"/>
      <c r="P99" s="33"/>
      <c r="T99" s="26"/>
    </row>
    <row r="100" spans="15:40" ht="15" thickBot="1" x14ac:dyDescent="0.35">
      <c r="O100" s="188" t="s">
        <v>62</v>
      </c>
      <c r="P100" t="s">
        <v>146</v>
      </c>
      <c r="T100" s="26"/>
    </row>
    <row r="101" spans="15:40" x14ac:dyDescent="0.3">
      <c r="O101" s="26"/>
      <c r="T101" s="26"/>
    </row>
    <row r="102" spans="15:40" x14ac:dyDescent="0.3">
      <c r="O102" s="26"/>
      <c r="T102" s="26"/>
    </row>
    <row r="103" spans="15:40" x14ac:dyDescent="0.3">
      <c r="O103" s="26"/>
      <c r="T103" s="26"/>
    </row>
    <row r="104" spans="15:40" x14ac:dyDescent="0.3">
      <c r="O104" s="26"/>
      <c r="T104" s="26"/>
    </row>
    <row r="105" spans="15:40" x14ac:dyDescent="0.3">
      <c r="O105" s="26"/>
      <c r="P105" s="33"/>
      <c r="T105" s="26"/>
    </row>
    <row r="106" spans="15:40" x14ac:dyDescent="0.3">
      <c r="O106" s="26"/>
      <c r="T106" s="26"/>
    </row>
    <row r="107" spans="15:40" x14ac:dyDescent="0.3">
      <c r="O107" s="26"/>
      <c r="T107" s="26"/>
      <c r="Y107" s="85" t="s">
        <v>110</v>
      </c>
      <c r="AC107" t="s">
        <v>119</v>
      </c>
      <c r="AH107" t="s">
        <v>119</v>
      </c>
      <c r="AJ107" s="85" t="s">
        <v>111</v>
      </c>
      <c r="AN107" t="s">
        <v>119</v>
      </c>
    </row>
    <row r="108" spans="15:40" x14ac:dyDescent="0.3">
      <c r="O108" s="26"/>
      <c r="T108" s="26"/>
      <c r="AH108" t="s">
        <v>119</v>
      </c>
      <c r="AJ108" s="85" t="s">
        <v>118</v>
      </c>
      <c r="AN108" t="s">
        <v>119</v>
      </c>
    </row>
    <row r="109" spans="15:40" x14ac:dyDescent="0.3">
      <c r="O109" s="26"/>
      <c r="T109" s="26"/>
    </row>
    <row r="110" spans="15:40" x14ac:dyDescent="0.3">
      <c r="O110" s="26"/>
      <c r="P110" s="33"/>
      <c r="T110" s="26"/>
      <c r="Y110" s="86" t="s">
        <v>120</v>
      </c>
      <c r="Z110" s="88">
        <v>456</v>
      </c>
      <c r="AE110" s="101"/>
      <c r="AJ110" s="86" t="s">
        <v>120</v>
      </c>
      <c r="AK110" s="101">
        <v>376</v>
      </c>
    </row>
    <row r="111" spans="15:40" x14ac:dyDescent="0.3">
      <c r="O111" s="26"/>
      <c r="P111" s="33"/>
      <c r="T111" s="26"/>
      <c r="Z111" s="87"/>
    </row>
    <row r="112" spans="15:40" x14ac:dyDescent="0.3">
      <c r="O112" s="26"/>
      <c r="P112" s="33"/>
      <c r="T112" s="26"/>
      <c r="Y112" s="86" t="s">
        <v>112</v>
      </c>
      <c r="Z112" s="87"/>
      <c r="AJ112" s="86" t="s">
        <v>116</v>
      </c>
    </row>
    <row r="113" spans="15:36" x14ac:dyDescent="0.3">
      <c r="O113" s="26"/>
      <c r="P113" s="33"/>
      <c r="T113" s="26"/>
      <c r="Y113" s="86" t="s">
        <v>115</v>
      </c>
      <c r="Z113" s="87"/>
      <c r="AJ113" s="86" t="s">
        <v>117</v>
      </c>
    </row>
    <row r="114" spans="15:36" x14ac:dyDescent="0.3">
      <c r="O114" s="26"/>
      <c r="P114" s="33"/>
      <c r="T114" s="26"/>
      <c r="Y114" s="86" t="s">
        <v>113</v>
      </c>
      <c r="Z114" s="87"/>
    </row>
    <row r="115" spans="15:36" x14ac:dyDescent="0.3">
      <c r="O115" s="26"/>
      <c r="P115" s="33"/>
      <c r="T115" s="26"/>
      <c r="Y115" s="86" t="s">
        <v>114</v>
      </c>
      <c r="Z115" s="87"/>
    </row>
    <row r="116" spans="15:36" x14ac:dyDescent="0.3">
      <c r="O116" s="26"/>
      <c r="P116" s="33"/>
      <c r="T116" s="26"/>
    </row>
    <row r="117" spans="15:36" x14ac:dyDescent="0.3">
      <c r="O117" s="26"/>
      <c r="P117" s="33"/>
      <c r="T117" s="26"/>
    </row>
    <row r="118" spans="15:36" x14ac:dyDescent="0.3">
      <c r="O118" s="26"/>
      <c r="P118" s="33"/>
      <c r="T118" s="26"/>
    </row>
    <row r="119" spans="15:36" x14ac:dyDescent="0.3">
      <c r="O119" s="26"/>
      <c r="P119" s="33"/>
      <c r="T119" s="26"/>
    </row>
    <row r="120" spans="15:36" x14ac:dyDescent="0.3">
      <c r="T120" s="26"/>
    </row>
  </sheetData>
  <mergeCells count="144">
    <mergeCell ref="Q8:R8"/>
    <mergeCell ref="Q17:R17"/>
    <mergeCell ref="Q19:R19"/>
    <mergeCell ref="Q51:R51"/>
    <mergeCell ref="Q56:R56"/>
    <mergeCell ref="Q81:R81"/>
    <mergeCell ref="P84:S84"/>
    <mergeCell ref="Q85:R85"/>
    <mergeCell ref="P88:S88"/>
    <mergeCell ref="BB90:BC90"/>
    <mergeCell ref="U84:X84"/>
    <mergeCell ref="AZ81:BD81"/>
    <mergeCell ref="K11:L11"/>
    <mergeCell ref="K21:L21"/>
    <mergeCell ref="G49:H49"/>
    <mergeCell ref="K49:L49"/>
    <mergeCell ref="K40:L40"/>
    <mergeCell ref="G40:H40"/>
    <mergeCell ref="K47:L47"/>
    <mergeCell ref="K13:L13"/>
    <mergeCell ref="K15:L15"/>
    <mergeCell ref="K17:L17"/>
    <mergeCell ref="K19:L19"/>
    <mergeCell ref="G19:H19"/>
    <mergeCell ref="BB19:BC19"/>
    <mergeCell ref="G17:H17"/>
    <mergeCell ref="V17:W17"/>
    <mergeCell ref="V19:W19"/>
    <mergeCell ref="BA84:BD84"/>
    <mergeCell ref="BB85:BC85"/>
    <mergeCell ref="BA88:BD88"/>
    <mergeCell ref="AF13:AG13"/>
    <mergeCell ref="AF15:AG15"/>
    <mergeCell ref="BB89:BC89"/>
    <mergeCell ref="AA78:AB78"/>
    <mergeCell ref="BB51:BC51"/>
    <mergeCell ref="BB47:BC47"/>
    <mergeCell ref="BB29:BC29"/>
    <mergeCell ref="BB43:BC43"/>
    <mergeCell ref="BB56:BC56"/>
    <mergeCell ref="AZ70:BE70"/>
    <mergeCell ref="AL56:AM56"/>
    <mergeCell ref="AJ70:AO70"/>
    <mergeCell ref="AJ81:AN81"/>
    <mergeCell ref="AK84:AN84"/>
    <mergeCell ref="AL85:AM85"/>
    <mergeCell ref="AK88:AN88"/>
    <mergeCell ref="AL89:AM89"/>
    <mergeCell ref="AF29:AG29"/>
    <mergeCell ref="AF85:AG85"/>
    <mergeCell ref="AE88:AH88"/>
    <mergeCell ref="AF89:AG89"/>
    <mergeCell ref="Y81:AC81"/>
    <mergeCell ref="AF43:AG43"/>
    <mergeCell ref="AF47:AG47"/>
    <mergeCell ref="AF51:AG51"/>
    <mergeCell ref="AF56:AG56"/>
    <mergeCell ref="AZ8:BD8"/>
    <mergeCell ref="BB13:BC13"/>
    <mergeCell ref="BB15:BC15"/>
    <mergeCell ref="BB21:BC21"/>
    <mergeCell ref="U88:X88"/>
    <mergeCell ref="Z88:AC88"/>
    <mergeCell ref="Z84:AC84"/>
    <mergeCell ref="AA64:AB64"/>
    <mergeCell ref="AA72:AB72"/>
    <mergeCell ref="V25:W25"/>
    <mergeCell ref="V27:W27"/>
    <mergeCell ref="V31:W31"/>
    <mergeCell ref="AA85:AB85"/>
    <mergeCell ref="Y8:AC8"/>
    <mergeCell ref="AA74:AB74"/>
    <mergeCell ref="AA23:AB23"/>
    <mergeCell ref="V8:W8"/>
    <mergeCell ref="AA76:AB76"/>
    <mergeCell ref="G64:H64"/>
    <mergeCell ref="AE8:AH8"/>
    <mergeCell ref="AF19:AG19"/>
    <mergeCell ref="AF21:AG21"/>
    <mergeCell ref="K64:L64"/>
    <mergeCell ref="V90:W90"/>
    <mergeCell ref="G58:H58"/>
    <mergeCell ref="G62:H62"/>
    <mergeCell ref="AA56:AB56"/>
    <mergeCell ref="V56:W56"/>
    <mergeCell ref="K62:L62"/>
    <mergeCell ref="G41:H41"/>
    <mergeCell ref="G43:H43"/>
    <mergeCell ref="G47:H47"/>
    <mergeCell ref="G51:H51"/>
    <mergeCell ref="AA43:AB43"/>
    <mergeCell ref="V85:W85"/>
    <mergeCell ref="Q43:R43"/>
    <mergeCell ref="Q47:R47"/>
    <mergeCell ref="AA89:AB89"/>
    <mergeCell ref="K66:L66"/>
    <mergeCell ref="V89:W89"/>
    <mergeCell ref="Q89:R89"/>
    <mergeCell ref="G56:H56"/>
    <mergeCell ref="V81:W81"/>
    <mergeCell ref="AA90:AB90"/>
    <mergeCell ref="G66:H66"/>
    <mergeCell ref="Q90:R90"/>
    <mergeCell ref="G13:H13"/>
    <mergeCell ref="G15:H15"/>
    <mergeCell ref="AA13:AB13"/>
    <mergeCell ref="AA15:AB15"/>
    <mergeCell ref="V13:W13"/>
    <mergeCell ref="V15:W15"/>
    <mergeCell ref="V29:W29"/>
    <mergeCell ref="V51:W51"/>
    <mergeCell ref="V47:W47"/>
    <mergeCell ref="V43:W43"/>
    <mergeCell ref="Q13:R13"/>
    <mergeCell ref="Q15:R15"/>
    <mergeCell ref="G21:H21"/>
    <mergeCell ref="G27:H27"/>
    <mergeCell ref="G29:H29"/>
    <mergeCell ref="G31:H31"/>
    <mergeCell ref="AA21:AB21"/>
    <mergeCell ref="AA29:AB29"/>
    <mergeCell ref="G23:H23"/>
    <mergeCell ref="V21:W21"/>
    <mergeCell ref="Q21:R21"/>
    <mergeCell ref="Q25:R25"/>
    <mergeCell ref="Q27:R27"/>
    <mergeCell ref="Q29:R29"/>
    <mergeCell ref="AL90:AM90"/>
    <mergeCell ref="AL77:AM77"/>
    <mergeCell ref="Y70:AC70"/>
    <mergeCell ref="AJ8:AN8"/>
    <mergeCell ref="AL13:AM13"/>
    <mergeCell ref="AL15:AM15"/>
    <mergeCell ref="AL19:AM19"/>
    <mergeCell ref="AL21:AM21"/>
    <mergeCell ref="AL29:AM29"/>
    <mergeCell ref="AL43:AM43"/>
    <mergeCell ref="AL47:AM47"/>
    <mergeCell ref="AL51:AM51"/>
    <mergeCell ref="AA19:AB19"/>
    <mergeCell ref="AF90:AG90"/>
    <mergeCell ref="AE70:AI70"/>
    <mergeCell ref="AE84:AH84"/>
    <mergeCell ref="AE81:AH81"/>
  </mergeCells>
  <phoneticPr fontId="22" type="noConversion"/>
  <hyperlinks>
    <hyperlink ref="Y107" r:id="rId1" xr:uid="{806FE59E-C172-4FFB-B890-9352DAAA4968}"/>
    <hyperlink ref="AJ107" r:id="rId2" xr:uid="{27F602DE-D7F7-4C84-887F-64A998B9752F}"/>
    <hyperlink ref="AJ108" r:id="rId3" xr:uid="{2AC729B3-D33A-4433-99EB-9A1C22A94ED5}"/>
  </hyperlinks>
  <pageMargins left="0.7" right="0.7" top="0.78740157499999996" bottom="0.78740157499999996" header="0.3" footer="0.3"/>
  <pageSetup paperSize="9" orientation="portrait" horizontalDpi="4294967293" verticalDpi="4294967293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8CFAE-6344-4BEE-A4E3-6A48544FA7E5}">
  <dimension ref="C1:AW170"/>
  <sheetViews>
    <sheetView showGridLines="0" zoomScale="70" zoomScaleNormal="70" workbookViewId="0">
      <selection activeCell="N5" sqref="N5"/>
    </sheetView>
  </sheetViews>
  <sheetFormatPr baseColWidth="10" defaultRowHeight="14.4" x14ac:dyDescent="0.3"/>
  <cols>
    <col min="1" max="1" width="2.88671875" customWidth="1"/>
    <col min="2" max="2" width="2.33203125" customWidth="1"/>
    <col min="3" max="3" width="5.44140625" customWidth="1"/>
    <col min="4" max="4" width="30.33203125" customWidth="1"/>
    <col min="10" max="10" width="4.77734375" customWidth="1"/>
    <col min="15" max="15" width="4.21875" customWidth="1"/>
    <col min="20" max="20" width="4.21875" customWidth="1"/>
    <col min="25" max="25" width="3.77734375" style="26" customWidth="1"/>
    <col min="26" max="26" width="11.5546875" style="33"/>
    <col min="27" max="27" width="13.77734375" bestFit="1" customWidth="1"/>
    <col min="29" max="29" width="12.6640625" customWidth="1"/>
    <col min="30" max="30" width="4.6640625" customWidth="1"/>
    <col min="31" max="31" width="4.88671875" style="131" customWidth="1"/>
    <col min="32" max="32" width="3.33203125" style="33" customWidth="1"/>
    <col min="33" max="33" width="8.77734375" style="33" bestFit="1" customWidth="1"/>
    <col min="34" max="34" width="4" bestFit="1" customWidth="1"/>
    <col min="36" max="36" width="8.77734375" bestFit="1" customWidth="1"/>
    <col min="37" max="37" width="1.44140625" bestFit="1" customWidth="1"/>
    <col min="38" max="38" width="3.33203125" style="33" customWidth="1"/>
    <col min="39" max="39" width="8.77734375" style="33" bestFit="1" customWidth="1"/>
    <col min="40" max="40" width="4" bestFit="1" customWidth="1"/>
    <col min="42" max="42" width="8.77734375" bestFit="1" customWidth="1"/>
    <col min="43" max="43" width="1.44140625" customWidth="1"/>
    <col min="44" max="44" width="4.88671875" style="26" customWidth="1"/>
    <col min="45" max="45" width="8.77734375" style="33" bestFit="1" customWidth="1"/>
    <col min="47" max="47" width="11.6640625" customWidth="1"/>
    <col min="48" max="48" width="9.6640625" bestFit="1" customWidth="1"/>
    <col min="49" max="49" width="2.88671875" customWidth="1"/>
  </cols>
  <sheetData>
    <row r="1" spans="3:49" ht="15" thickBot="1" x14ac:dyDescent="0.35">
      <c r="D1" s="183" t="s">
        <v>142</v>
      </c>
      <c r="Y1" s="33"/>
      <c r="AE1" s="132"/>
      <c r="AR1" s="33"/>
    </row>
    <row r="2" spans="3:49" x14ac:dyDescent="0.3">
      <c r="D2" s="178"/>
      <c r="E2" s="181" t="s">
        <v>143</v>
      </c>
      <c r="G2" s="178"/>
      <c r="H2" s="178"/>
      <c r="I2" s="181" t="s">
        <v>143</v>
      </c>
      <c r="Y2" s="33"/>
      <c r="AE2" s="132"/>
      <c r="AR2" s="33"/>
    </row>
    <row r="3" spans="3:49" ht="15" thickBot="1" x14ac:dyDescent="0.35">
      <c r="C3" s="33"/>
      <c r="D3" s="179" t="s">
        <v>144</v>
      </c>
      <c r="E3" s="92">
        <f>AH89</f>
        <v>2293.2489890735637</v>
      </c>
      <c r="F3" s="33"/>
      <c r="G3" s="180" t="str">
        <f>"Analytical Kunduu ("&amp;I5&amp;")"</f>
        <v>Analytical Kunduu (0.57)</v>
      </c>
      <c r="H3" s="180"/>
      <c r="I3" s="182">
        <f>AN89</f>
        <v>3017.4328803599524</v>
      </c>
      <c r="Y3" s="33"/>
      <c r="AE3" s="132"/>
      <c r="AR3" s="33"/>
    </row>
    <row r="4" spans="3:49" ht="15" thickBot="1" x14ac:dyDescent="0.35">
      <c r="C4" s="33"/>
      <c r="D4" s="179" t="s">
        <v>139</v>
      </c>
      <c r="E4" s="92">
        <f>V89</f>
        <v>3423.7490766559226</v>
      </c>
      <c r="F4" s="33"/>
      <c r="Y4" s="33"/>
      <c r="AE4" s="132"/>
      <c r="AR4" s="33"/>
    </row>
    <row r="5" spans="3:49" ht="15" thickBot="1" x14ac:dyDescent="0.35">
      <c r="C5" s="33"/>
      <c r="D5" s="179" t="s">
        <v>140</v>
      </c>
      <c r="E5" s="92">
        <f>AA89</f>
        <v>3437.3993224826581</v>
      </c>
      <c r="F5" s="33"/>
      <c r="G5" t="s">
        <v>149</v>
      </c>
      <c r="I5" s="189">
        <v>0.56999999999999995</v>
      </c>
      <c r="K5" t="s">
        <v>150</v>
      </c>
      <c r="L5" t="s">
        <v>151</v>
      </c>
      <c r="Y5" s="33"/>
      <c r="AE5" s="132"/>
      <c r="AR5" s="33"/>
    </row>
    <row r="6" spans="3:49" ht="15" thickBot="1" x14ac:dyDescent="0.35">
      <c r="C6" s="33"/>
      <c r="D6" s="180" t="s">
        <v>152</v>
      </c>
      <c r="E6" s="182">
        <f>Q89</f>
        <v>3288.1318238489366</v>
      </c>
      <c r="F6" s="33"/>
      <c r="Y6" s="33"/>
      <c r="AE6" s="132"/>
      <c r="AR6" s="33"/>
    </row>
    <row r="7" spans="3:49" x14ac:dyDescent="0.3">
      <c r="F7" s="33"/>
      <c r="Y7" s="33"/>
      <c r="AE7" s="132"/>
      <c r="AR7" s="33"/>
    </row>
    <row r="8" spans="3:49" ht="21" x14ac:dyDescent="0.4">
      <c r="C8" s="1"/>
      <c r="D8" s="5"/>
      <c r="E8" s="173"/>
      <c r="F8" s="173"/>
      <c r="G8" s="173" t="s">
        <v>71</v>
      </c>
      <c r="H8" s="173"/>
      <c r="I8" s="28"/>
      <c r="J8" s="28"/>
      <c r="K8" s="28"/>
      <c r="L8" s="28"/>
      <c r="M8" s="28"/>
      <c r="N8" s="28"/>
      <c r="O8" s="37"/>
      <c r="P8" s="35"/>
      <c r="Q8" s="140" t="s">
        <v>147</v>
      </c>
      <c r="R8" s="140"/>
      <c r="S8" s="28"/>
      <c r="T8" s="37"/>
      <c r="U8" s="35"/>
      <c r="V8" s="190" t="s">
        <v>148</v>
      </c>
      <c r="W8" s="190"/>
      <c r="X8" s="28"/>
      <c r="Y8" s="154" t="s">
        <v>68</v>
      </c>
      <c r="Z8" s="155"/>
      <c r="AA8" s="140"/>
      <c r="AB8" s="140"/>
      <c r="AC8" s="140"/>
      <c r="AD8" s="4"/>
      <c r="AF8" s="115"/>
      <c r="AG8" s="155" t="s">
        <v>107</v>
      </c>
      <c r="AH8" s="155"/>
      <c r="AI8" s="155"/>
      <c r="AJ8" s="155"/>
      <c r="AK8" s="4"/>
      <c r="AL8" s="115"/>
      <c r="AM8" s="155" t="s">
        <v>107</v>
      </c>
      <c r="AN8" s="155"/>
      <c r="AO8" s="155"/>
      <c r="AP8" s="155"/>
      <c r="AQ8" s="4"/>
      <c r="AR8" s="154" t="s">
        <v>107</v>
      </c>
      <c r="AS8" s="155"/>
      <c r="AT8" s="140"/>
      <c r="AU8" s="140"/>
      <c r="AV8" s="140"/>
      <c r="AW8" s="4"/>
    </row>
    <row r="9" spans="3:49" x14ac:dyDescent="0.3">
      <c r="C9" s="1"/>
      <c r="D9" s="5"/>
      <c r="E9" s="5"/>
      <c r="F9" s="5"/>
      <c r="G9" s="5"/>
      <c r="H9" s="5"/>
      <c r="I9" s="2"/>
      <c r="J9" s="2"/>
      <c r="K9" s="2"/>
      <c r="L9" s="2"/>
      <c r="M9" s="2"/>
      <c r="N9" s="2"/>
      <c r="O9" s="17"/>
      <c r="P9" s="36"/>
      <c r="Q9" s="5"/>
      <c r="R9" s="5"/>
      <c r="S9" s="2"/>
      <c r="T9" s="17"/>
      <c r="U9" s="36"/>
      <c r="V9" s="5"/>
      <c r="W9" s="5"/>
      <c r="X9" s="2"/>
      <c r="Y9" s="17"/>
      <c r="Z9" s="29"/>
      <c r="AA9" s="2"/>
      <c r="AB9" s="2"/>
      <c r="AC9" s="5"/>
      <c r="AD9" s="4"/>
      <c r="AE9" s="118"/>
      <c r="AF9" s="29"/>
      <c r="AG9" s="29"/>
      <c r="AH9" s="2"/>
      <c r="AI9" s="2"/>
      <c r="AJ9" s="5"/>
      <c r="AK9" s="4"/>
      <c r="AL9" s="29"/>
      <c r="AM9" s="29"/>
      <c r="AN9" s="2"/>
      <c r="AO9" s="2"/>
      <c r="AP9" s="5"/>
      <c r="AQ9" s="4"/>
      <c r="AR9" s="17"/>
      <c r="AS9" s="29"/>
      <c r="AT9" s="2"/>
      <c r="AU9" s="2"/>
      <c r="AV9" s="5"/>
      <c r="AW9" s="4"/>
    </row>
    <row r="10" spans="3:49" x14ac:dyDescent="0.3">
      <c r="C10" s="1"/>
      <c r="D10" s="5"/>
      <c r="E10" s="5"/>
      <c r="F10" s="27"/>
      <c r="G10" s="5"/>
      <c r="H10" s="5"/>
      <c r="I10" s="2"/>
      <c r="J10" s="2"/>
      <c r="K10" s="2"/>
      <c r="L10" s="2"/>
      <c r="M10" s="2"/>
      <c r="N10" s="2"/>
      <c r="O10" s="17"/>
      <c r="P10" s="30"/>
      <c r="Q10" s="5"/>
      <c r="R10" s="5"/>
      <c r="S10" s="2"/>
      <c r="T10" s="17"/>
      <c r="U10" s="30"/>
      <c r="V10" s="5"/>
      <c r="W10" s="5"/>
      <c r="X10" s="2"/>
      <c r="Y10" s="17"/>
      <c r="Z10" s="29"/>
      <c r="AA10" s="2"/>
      <c r="AB10" s="2"/>
      <c r="AC10" s="5"/>
      <c r="AD10" s="4"/>
      <c r="AE10" s="118"/>
      <c r="AF10" s="29"/>
      <c r="AG10" s="29"/>
      <c r="AH10" s="2"/>
      <c r="AI10" s="2"/>
      <c r="AJ10" s="5"/>
      <c r="AK10" s="4"/>
      <c r="AL10" s="29"/>
      <c r="AM10" s="29"/>
      <c r="AN10" s="2"/>
      <c r="AO10" s="2"/>
      <c r="AP10" s="5"/>
      <c r="AQ10" s="4"/>
      <c r="AR10" s="17"/>
      <c r="AS10" s="29"/>
      <c r="AT10" s="2"/>
      <c r="AU10" s="2"/>
      <c r="AV10" s="5"/>
      <c r="AW10" s="4"/>
    </row>
    <row r="11" spans="3:49" x14ac:dyDescent="0.3">
      <c r="C11" s="1"/>
      <c r="D11" s="5"/>
      <c r="E11" s="5"/>
      <c r="F11" s="58" t="s">
        <v>65</v>
      </c>
      <c r="G11" s="59"/>
      <c r="H11" s="59"/>
      <c r="I11" s="83" t="s">
        <v>66</v>
      </c>
      <c r="J11" s="83"/>
      <c r="K11" s="166" t="s">
        <v>91</v>
      </c>
      <c r="L11" s="166"/>
      <c r="M11" s="83" t="s">
        <v>66</v>
      </c>
      <c r="N11" s="83"/>
      <c r="O11" s="61"/>
      <c r="P11" s="62" t="s">
        <v>65</v>
      </c>
      <c r="Q11" s="59"/>
      <c r="R11" s="59"/>
      <c r="S11" s="83" t="s">
        <v>66</v>
      </c>
      <c r="T11" s="61"/>
      <c r="U11" s="62" t="s">
        <v>65</v>
      </c>
      <c r="V11" s="59"/>
      <c r="W11" s="59"/>
      <c r="X11" s="83" t="s">
        <v>66</v>
      </c>
      <c r="Y11" s="17"/>
      <c r="Z11" s="62" t="s">
        <v>65</v>
      </c>
      <c r="AA11" s="2"/>
      <c r="AB11" s="2"/>
      <c r="AC11" s="83" t="s">
        <v>66</v>
      </c>
      <c r="AD11" s="4"/>
      <c r="AE11" s="118"/>
      <c r="AF11" s="29"/>
      <c r="AG11" s="62" t="s">
        <v>65</v>
      </c>
      <c r="AH11" s="2"/>
      <c r="AI11" s="2"/>
      <c r="AJ11" s="83" t="s">
        <v>66</v>
      </c>
      <c r="AK11" s="4"/>
      <c r="AL11" s="29"/>
      <c r="AM11" s="62" t="s">
        <v>65</v>
      </c>
      <c r="AN11" s="2"/>
      <c r="AO11" s="2"/>
      <c r="AP11" s="99" t="s">
        <v>66</v>
      </c>
      <c r="AQ11" s="4"/>
      <c r="AR11" s="17"/>
      <c r="AS11" s="62" t="s">
        <v>65</v>
      </c>
      <c r="AT11" s="2"/>
      <c r="AU11" s="2"/>
      <c r="AV11" s="83" t="s">
        <v>66</v>
      </c>
      <c r="AW11" s="4"/>
    </row>
    <row r="12" spans="3:49" ht="15" thickBot="1" x14ac:dyDescent="0.35">
      <c r="C12" s="1"/>
      <c r="D12" s="2"/>
      <c r="E12" s="5"/>
      <c r="F12" s="2"/>
      <c r="G12" s="2"/>
      <c r="H12" s="2"/>
      <c r="I12" s="2"/>
      <c r="J12" s="2"/>
      <c r="K12" s="2"/>
      <c r="L12" s="2"/>
      <c r="M12" s="2"/>
      <c r="N12" s="2"/>
      <c r="O12" s="17"/>
      <c r="P12" s="29"/>
      <c r="Q12" s="2"/>
      <c r="R12" s="2"/>
      <c r="S12" s="2"/>
      <c r="T12" s="17"/>
      <c r="U12" s="29"/>
      <c r="V12" s="2"/>
      <c r="W12" s="2"/>
      <c r="X12" s="2"/>
      <c r="Y12" s="17"/>
      <c r="Z12" s="29"/>
      <c r="AA12" s="2"/>
      <c r="AB12" s="2"/>
      <c r="AC12" s="2"/>
      <c r="AD12" s="2"/>
      <c r="AE12" s="118"/>
      <c r="AF12" s="29"/>
      <c r="AG12" s="29"/>
      <c r="AH12" s="2"/>
      <c r="AI12" s="2"/>
      <c r="AJ12" s="2"/>
      <c r="AK12" s="2"/>
      <c r="AL12" s="29"/>
      <c r="AM12" s="29"/>
      <c r="AN12" s="2"/>
      <c r="AO12" s="2"/>
      <c r="AP12" s="2"/>
      <c r="AQ12" s="2"/>
      <c r="AR12" s="17"/>
      <c r="AS12" s="29"/>
      <c r="AT12" s="2"/>
      <c r="AU12" s="2"/>
      <c r="AV12" s="2"/>
      <c r="AW12" s="2"/>
    </row>
    <row r="13" spans="3:49" ht="17.399999999999999" thickTop="1" x14ac:dyDescent="0.35">
      <c r="C13" s="7"/>
      <c r="D13" s="5" t="s">
        <v>3</v>
      </c>
      <c r="E13" s="5"/>
      <c r="F13" s="27" t="s">
        <v>4</v>
      </c>
      <c r="G13" s="167">
        <v>363.1</v>
      </c>
      <c r="H13" s="168"/>
      <c r="I13" s="6" t="s">
        <v>5</v>
      </c>
      <c r="J13" s="18"/>
      <c r="K13" s="152">
        <f>G13*10.7639</f>
        <v>3908.3720900000003</v>
      </c>
      <c r="L13" s="153"/>
      <c r="M13" s="6" t="s">
        <v>58</v>
      </c>
      <c r="N13" s="6"/>
      <c r="O13" s="18"/>
      <c r="P13" s="30" t="s">
        <v>4</v>
      </c>
      <c r="Q13" s="148">
        <f>G13</f>
        <v>363.1</v>
      </c>
      <c r="R13" s="149"/>
      <c r="S13" s="6" t="s">
        <v>5</v>
      </c>
      <c r="T13" s="18"/>
      <c r="U13" s="30" t="s">
        <v>4</v>
      </c>
      <c r="V13" s="148">
        <f>G13</f>
        <v>363.1</v>
      </c>
      <c r="W13" s="149"/>
      <c r="X13" s="6" t="s">
        <v>5</v>
      </c>
      <c r="Y13" s="17"/>
      <c r="Z13" s="30" t="s">
        <v>4</v>
      </c>
      <c r="AA13" s="142">
        <f>G13*10.7639</f>
        <v>3908.3720900000003</v>
      </c>
      <c r="AB13" s="143"/>
      <c r="AC13" s="6" t="s">
        <v>58</v>
      </c>
      <c r="AD13" s="6"/>
      <c r="AE13" s="118"/>
      <c r="AF13" s="29"/>
      <c r="AG13" s="30" t="s">
        <v>4</v>
      </c>
      <c r="AH13" s="142">
        <f>G13</f>
        <v>363.1</v>
      </c>
      <c r="AI13" s="143"/>
      <c r="AJ13" s="6" t="s">
        <v>5</v>
      </c>
      <c r="AK13" s="6"/>
      <c r="AL13" s="29"/>
      <c r="AM13" s="30" t="s">
        <v>4</v>
      </c>
      <c r="AN13" s="142">
        <f>AH13</f>
        <v>363.1</v>
      </c>
      <c r="AO13" s="143"/>
      <c r="AP13" s="6" t="s">
        <v>5</v>
      </c>
      <c r="AQ13" s="6"/>
      <c r="AR13" s="17"/>
      <c r="AS13" s="30" t="s">
        <v>4</v>
      </c>
      <c r="AT13" s="142">
        <f>AA13</f>
        <v>3908.3720900000003</v>
      </c>
      <c r="AU13" s="143"/>
      <c r="AV13" s="6" t="s">
        <v>58</v>
      </c>
      <c r="AW13" s="6"/>
    </row>
    <row r="14" spans="3:49" ht="15" thickBot="1" x14ac:dyDescent="0.35">
      <c r="C14" s="7"/>
      <c r="D14" s="5"/>
      <c r="E14" s="5"/>
      <c r="F14" s="27"/>
      <c r="G14" s="5"/>
      <c r="H14" s="6"/>
      <c r="I14" s="6"/>
      <c r="J14" s="18"/>
      <c r="K14" s="5"/>
      <c r="L14" s="6"/>
      <c r="M14" s="6"/>
      <c r="N14" s="6"/>
      <c r="O14" s="18"/>
      <c r="P14" s="30"/>
      <c r="Q14" s="5"/>
      <c r="R14" s="6"/>
      <c r="S14" s="6"/>
      <c r="T14" s="18"/>
      <c r="U14" s="30"/>
      <c r="V14" s="5"/>
      <c r="W14" s="6"/>
      <c r="X14" s="6"/>
      <c r="Y14" s="17"/>
      <c r="Z14" s="29"/>
      <c r="AA14" s="6"/>
      <c r="AB14" s="6"/>
      <c r="AC14" s="6"/>
      <c r="AD14" s="6"/>
      <c r="AE14" s="118"/>
      <c r="AF14" s="29"/>
      <c r="AG14" s="29"/>
      <c r="AH14" s="57"/>
      <c r="AI14" s="57"/>
      <c r="AJ14" s="6"/>
      <c r="AK14" s="6"/>
      <c r="AL14" s="29"/>
      <c r="AM14" s="29"/>
      <c r="AN14" s="57"/>
      <c r="AO14" s="57"/>
      <c r="AP14" s="6"/>
      <c r="AQ14" s="6"/>
      <c r="AR14" s="17"/>
      <c r="AS14" s="29"/>
      <c r="AT14" s="6"/>
      <c r="AU14" s="6"/>
      <c r="AV14" s="6"/>
      <c r="AW14" s="6"/>
    </row>
    <row r="15" spans="3:49" ht="16.2" thickTop="1" x14ac:dyDescent="0.35">
      <c r="C15" s="7"/>
      <c r="D15" s="5" t="s">
        <v>6</v>
      </c>
      <c r="E15" s="5"/>
      <c r="F15" s="27" t="s">
        <v>80</v>
      </c>
      <c r="G15" s="167">
        <v>271000</v>
      </c>
      <c r="H15" s="168"/>
      <c r="I15" s="6" t="s">
        <v>8</v>
      </c>
      <c r="J15" s="18"/>
      <c r="K15" s="152">
        <f>G15*2.20462</f>
        <v>597452.0199999999</v>
      </c>
      <c r="L15" s="153"/>
      <c r="M15" s="6" t="s">
        <v>57</v>
      </c>
      <c r="N15" s="6"/>
      <c r="O15" s="18"/>
      <c r="P15" s="27" t="s">
        <v>80</v>
      </c>
      <c r="Q15" s="148">
        <f>G15</f>
        <v>271000</v>
      </c>
      <c r="R15" s="149"/>
      <c r="S15" s="6" t="s">
        <v>8</v>
      </c>
      <c r="T15" s="18"/>
      <c r="U15" s="27" t="s">
        <v>80</v>
      </c>
      <c r="V15" s="148">
        <f>G15</f>
        <v>271000</v>
      </c>
      <c r="W15" s="149"/>
      <c r="X15" s="6" t="s">
        <v>8</v>
      </c>
      <c r="Y15" s="17"/>
      <c r="Z15" s="27" t="s">
        <v>80</v>
      </c>
      <c r="AA15" s="152">
        <f>V15*2.20462</f>
        <v>597452.0199999999</v>
      </c>
      <c r="AB15" s="153"/>
      <c r="AC15" s="6" t="s">
        <v>57</v>
      </c>
      <c r="AD15" s="6"/>
      <c r="AE15" s="118"/>
      <c r="AF15" s="29"/>
      <c r="AG15" s="27" t="s">
        <v>80</v>
      </c>
      <c r="AH15" s="152">
        <f>G15</f>
        <v>271000</v>
      </c>
      <c r="AI15" s="153"/>
      <c r="AJ15" s="6" t="s">
        <v>8</v>
      </c>
      <c r="AK15" s="6"/>
      <c r="AL15" s="29"/>
      <c r="AM15" s="27" t="s">
        <v>80</v>
      </c>
      <c r="AN15" s="152">
        <f>AH15</f>
        <v>271000</v>
      </c>
      <c r="AO15" s="153"/>
      <c r="AP15" s="6" t="s">
        <v>8</v>
      </c>
      <c r="AQ15" s="6"/>
      <c r="AR15" s="17"/>
      <c r="AS15" s="27" t="s">
        <v>80</v>
      </c>
      <c r="AT15" s="152">
        <f>AA15</f>
        <v>597452.0199999999</v>
      </c>
      <c r="AU15" s="153"/>
      <c r="AV15" s="6" t="s">
        <v>57</v>
      </c>
      <c r="AW15" s="6"/>
    </row>
    <row r="16" spans="3:49" ht="15" thickBot="1" x14ac:dyDescent="0.35">
      <c r="C16" s="7"/>
      <c r="D16" s="5"/>
      <c r="E16" s="5"/>
      <c r="F16" s="27"/>
      <c r="G16" s="5"/>
      <c r="H16" s="6"/>
      <c r="I16" s="6"/>
      <c r="J16" s="18"/>
      <c r="K16" s="5"/>
      <c r="L16" s="6"/>
      <c r="M16" s="6"/>
      <c r="N16" s="6"/>
      <c r="O16" s="18"/>
      <c r="P16" s="30"/>
      <c r="Q16" s="5"/>
      <c r="R16" s="6"/>
      <c r="S16" s="6"/>
      <c r="T16" s="18"/>
      <c r="U16" s="30"/>
      <c r="V16" s="5"/>
      <c r="W16" s="6"/>
      <c r="X16" s="6"/>
      <c r="Y16" s="17"/>
      <c r="Z16" s="29"/>
      <c r="AA16" s="57"/>
      <c r="AB16" s="57"/>
      <c r="AC16" s="6"/>
      <c r="AD16" s="6"/>
      <c r="AE16" s="118"/>
      <c r="AF16" s="29"/>
      <c r="AG16" s="29"/>
      <c r="AH16" s="6"/>
      <c r="AI16" s="6"/>
      <c r="AJ16" s="6"/>
      <c r="AK16" s="6"/>
      <c r="AL16" s="29"/>
      <c r="AM16" s="29"/>
      <c r="AN16" s="57"/>
      <c r="AO16" s="57"/>
      <c r="AP16" s="6"/>
      <c r="AQ16" s="6"/>
      <c r="AR16" s="17"/>
      <c r="AS16" s="29"/>
      <c r="AT16" s="6"/>
      <c r="AU16" s="6"/>
      <c r="AV16" s="6"/>
      <c r="AW16" s="6"/>
    </row>
    <row r="17" spans="3:49" ht="16.8" thickTop="1" x14ac:dyDescent="0.3">
      <c r="C17" s="7"/>
      <c r="D17" s="5" t="s">
        <v>94</v>
      </c>
      <c r="E17" s="5"/>
      <c r="F17" s="27" t="s">
        <v>93</v>
      </c>
      <c r="G17" s="148">
        <v>9.8066499999999994</v>
      </c>
      <c r="H17" s="149"/>
      <c r="I17" s="6" t="s">
        <v>96</v>
      </c>
      <c r="J17" s="18"/>
      <c r="K17" s="148">
        <v>32.200000000000003</v>
      </c>
      <c r="L17" s="149"/>
      <c r="M17" s="6" t="s">
        <v>130</v>
      </c>
      <c r="N17" s="6"/>
      <c r="O17" s="18"/>
      <c r="P17" s="27" t="s">
        <v>93</v>
      </c>
      <c r="Q17" s="148">
        <f>G17</f>
        <v>9.8066499999999994</v>
      </c>
      <c r="R17" s="149"/>
      <c r="S17" s="6" t="s">
        <v>96</v>
      </c>
      <c r="T17" s="18"/>
      <c r="U17" s="27" t="s">
        <v>93</v>
      </c>
      <c r="V17" s="148">
        <f>G17</f>
        <v>9.8066499999999994</v>
      </c>
      <c r="W17" s="149"/>
      <c r="X17" s="6" t="s">
        <v>96</v>
      </c>
      <c r="Y17" s="17"/>
      <c r="Z17" s="57"/>
      <c r="AA17" s="57"/>
      <c r="AB17" s="57"/>
      <c r="AC17" s="57"/>
      <c r="AD17" s="6"/>
      <c r="AE17" s="118"/>
      <c r="AF17" s="29"/>
      <c r="AG17" s="29"/>
      <c r="AH17" s="29"/>
      <c r="AI17" s="29"/>
      <c r="AJ17" s="6" t="s">
        <v>96</v>
      </c>
      <c r="AK17" s="6"/>
      <c r="AL17" s="29"/>
      <c r="AM17" s="29"/>
      <c r="AN17" s="186"/>
      <c r="AO17" s="186"/>
      <c r="AP17" s="6" t="s">
        <v>96</v>
      </c>
      <c r="AQ17" s="6"/>
      <c r="AR17" s="17"/>
      <c r="AS17" s="29"/>
      <c r="AT17" s="29"/>
      <c r="AU17" s="29"/>
      <c r="AV17" s="29"/>
      <c r="AW17" s="6"/>
    </row>
    <row r="18" spans="3:49" ht="15" thickBot="1" x14ac:dyDescent="0.35">
      <c r="C18" s="7"/>
      <c r="D18" s="5"/>
      <c r="E18" s="5"/>
      <c r="F18" s="27"/>
      <c r="G18" s="5"/>
      <c r="H18" s="6"/>
      <c r="I18" s="6"/>
      <c r="J18" s="18"/>
      <c r="K18" s="5"/>
      <c r="L18" s="6"/>
      <c r="M18" s="6"/>
      <c r="N18" s="6"/>
      <c r="O18" s="18"/>
      <c r="P18" s="30"/>
      <c r="Q18" s="5"/>
      <c r="R18" s="6"/>
      <c r="S18" s="6"/>
      <c r="T18" s="18"/>
      <c r="U18" s="30"/>
      <c r="V18" s="5"/>
      <c r="W18" s="6"/>
      <c r="X18" s="6"/>
      <c r="Y18" s="17"/>
      <c r="Z18" s="57"/>
      <c r="AA18" s="57"/>
      <c r="AB18" s="57"/>
      <c r="AC18" s="57"/>
      <c r="AD18" s="6"/>
      <c r="AE18" s="118"/>
      <c r="AF18" s="29"/>
      <c r="AG18" s="29"/>
      <c r="AH18" s="6"/>
      <c r="AI18" s="6"/>
      <c r="AJ18" s="6"/>
      <c r="AK18" s="6"/>
      <c r="AL18" s="29"/>
      <c r="AM18" s="29"/>
      <c r="AN18" s="57"/>
      <c r="AO18" s="57"/>
      <c r="AP18" s="6"/>
      <c r="AQ18" s="6"/>
      <c r="AR18" s="17"/>
      <c r="AS18" s="29"/>
      <c r="AT18" s="6"/>
      <c r="AU18" s="6"/>
      <c r="AV18" s="6"/>
      <c r="AW18" s="6"/>
    </row>
    <row r="19" spans="3:49" ht="16.2" thickTop="1" x14ac:dyDescent="0.35">
      <c r="C19" s="7"/>
      <c r="D19" s="5" t="s">
        <v>78</v>
      </c>
      <c r="E19" s="5"/>
      <c r="F19" s="27" t="s">
        <v>79</v>
      </c>
      <c r="G19" s="152">
        <f>G15*G17</f>
        <v>2657602.15</v>
      </c>
      <c r="H19" s="153"/>
      <c r="I19" s="6" t="s">
        <v>10</v>
      </c>
      <c r="J19" s="18"/>
      <c r="K19" s="152">
        <f>V19*0.224809</f>
        <v>597452.88173935004</v>
      </c>
      <c r="L19" s="153"/>
      <c r="M19" s="6" t="s">
        <v>59</v>
      </c>
      <c r="N19" s="6"/>
      <c r="O19" s="18"/>
      <c r="P19" s="27" t="s">
        <v>79</v>
      </c>
      <c r="Q19" s="148">
        <f>G19</f>
        <v>2657602.15</v>
      </c>
      <c r="R19" s="149"/>
      <c r="S19" s="6" t="s">
        <v>10</v>
      </c>
      <c r="T19" s="18"/>
      <c r="U19" s="27" t="s">
        <v>79</v>
      </c>
      <c r="V19" s="152">
        <f>G19</f>
        <v>2657602.15</v>
      </c>
      <c r="W19" s="153"/>
      <c r="X19" s="6" t="s">
        <v>10</v>
      </c>
      <c r="Y19" s="17"/>
      <c r="Z19" s="27" t="s">
        <v>79</v>
      </c>
      <c r="AA19" s="152">
        <f>V19*0.224809</f>
        <v>597452.88173935004</v>
      </c>
      <c r="AB19" s="153"/>
      <c r="AC19" s="6" t="s">
        <v>59</v>
      </c>
      <c r="AD19" s="6"/>
      <c r="AE19" s="118"/>
      <c r="AF19" s="29"/>
      <c r="AG19" s="27" t="s">
        <v>79</v>
      </c>
      <c r="AH19" s="152">
        <f>AH15*9.80665</f>
        <v>2657602.15</v>
      </c>
      <c r="AI19" s="153"/>
      <c r="AJ19" s="6" t="s">
        <v>10</v>
      </c>
      <c r="AK19" s="6"/>
      <c r="AL19" s="29"/>
      <c r="AM19" s="27" t="s">
        <v>79</v>
      </c>
      <c r="AN19" s="152">
        <f>AH19</f>
        <v>2657602.15</v>
      </c>
      <c r="AO19" s="153"/>
      <c r="AP19" s="6" t="s">
        <v>10</v>
      </c>
      <c r="AQ19" s="6"/>
      <c r="AR19" s="17"/>
      <c r="AS19" s="27" t="s">
        <v>79</v>
      </c>
      <c r="AT19" s="152">
        <f>AA19</f>
        <v>597452.88173935004</v>
      </c>
      <c r="AU19" s="153"/>
      <c r="AV19" s="6" t="s">
        <v>59</v>
      </c>
      <c r="AW19" s="6"/>
    </row>
    <row r="20" spans="3:49" ht="15" thickBot="1" x14ac:dyDescent="0.35">
      <c r="C20" s="7"/>
      <c r="D20" s="5"/>
      <c r="E20" s="5"/>
      <c r="F20" s="27"/>
      <c r="G20" s="5"/>
      <c r="H20" s="6"/>
      <c r="I20" s="6"/>
      <c r="J20" s="18"/>
      <c r="K20" s="6"/>
      <c r="L20" s="6"/>
      <c r="M20" s="6"/>
      <c r="N20" s="6"/>
      <c r="O20" s="18"/>
      <c r="P20" s="30"/>
      <c r="Q20" s="6"/>
      <c r="R20" s="6"/>
      <c r="S20" s="6"/>
      <c r="T20" s="18"/>
      <c r="U20" s="30"/>
      <c r="V20" s="6"/>
      <c r="W20" s="6"/>
      <c r="X20" s="6"/>
      <c r="Y20" s="17"/>
      <c r="Z20" s="29"/>
      <c r="AA20" s="100"/>
      <c r="AB20" s="57"/>
      <c r="AC20" s="6"/>
      <c r="AD20" s="6"/>
      <c r="AE20" s="118"/>
      <c r="AF20" s="29"/>
      <c r="AG20" s="29"/>
      <c r="AH20" s="57"/>
      <c r="AI20" s="57"/>
      <c r="AJ20" s="6"/>
      <c r="AK20" s="6"/>
      <c r="AL20" s="29"/>
      <c r="AM20" s="29"/>
      <c r="AN20" s="57"/>
      <c r="AO20" s="57"/>
      <c r="AP20" s="6"/>
      <c r="AQ20" s="6"/>
      <c r="AR20" s="17"/>
      <c r="AS20" s="29"/>
      <c r="AT20" s="6"/>
      <c r="AU20" s="6"/>
      <c r="AV20" s="6"/>
      <c r="AW20" s="6"/>
    </row>
    <row r="21" spans="3:49" ht="16.2" thickTop="1" x14ac:dyDescent="0.35">
      <c r="C21" s="7"/>
      <c r="D21" s="5" t="s">
        <v>9</v>
      </c>
      <c r="E21" s="5"/>
      <c r="F21" s="27" t="s">
        <v>72</v>
      </c>
      <c r="G21" s="167">
        <v>151300</v>
      </c>
      <c r="H21" s="168"/>
      <c r="I21" s="6" t="s">
        <v>10</v>
      </c>
      <c r="J21" s="18"/>
      <c r="K21" s="152">
        <f>V21*0.224809</f>
        <v>34013.601699999999</v>
      </c>
      <c r="L21" s="153"/>
      <c r="M21" s="6" t="s">
        <v>59</v>
      </c>
      <c r="N21" s="6"/>
      <c r="O21" s="18"/>
      <c r="P21" s="27" t="s">
        <v>72</v>
      </c>
      <c r="Q21" s="148">
        <f>G21</f>
        <v>151300</v>
      </c>
      <c r="R21" s="149"/>
      <c r="S21" s="6" t="s">
        <v>10</v>
      </c>
      <c r="T21" s="18"/>
      <c r="U21" s="27" t="s">
        <v>72</v>
      </c>
      <c r="V21" s="148">
        <f>G21</f>
        <v>151300</v>
      </c>
      <c r="W21" s="149"/>
      <c r="X21" s="6" t="s">
        <v>10</v>
      </c>
      <c r="Y21" s="17"/>
      <c r="Z21" s="27" t="s">
        <v>72</v>
      </c>
      <c r="AA21" s="152">
        <f>G21*0.2248089431</f>
        <v>34013.593091030001</v>
      </c>
      <c r="AB21" s="153"/>
      <c r="AC21" s="6" t="s">
        <v>59</v>
      </c>
      <c r="AD21" s="6"/>
      <c r="AE21" s="118"/>
      <c r="AF21" s="29"/>
      <c r="AG21" s="27" t="s">
        <v>72</v>
      </c>
      <c r="AH21" s="152">
        <f>G21</f>
        <v>151300</v>
      </c>
      <c r="AI21" s="153"/>
      <c r="AJ21" s="6" t="s">
        <v>10</v>
      </c>
      <c r="AK21" s="6"/>
      <c r="AL21" s="29"/>
      <c r="AM21" s="27" t="s">
        <v>72</v>
      </c>
      <c r="AN21" s="152">
        <f>AH21</f>
        <v>151300</v>
      </c>
      <c r="AO21" s="153"/>
      <c r="AP21" s="6" t="s">
        <v>10</v>
      </c>
      <c r="AQ21" s="6"/>
      <c r="AR21" s="17"/>
      <c r="AS21" s="27" t="s">
        <v>72</v>
      </c>
      <c r="AT21" s="152">
        <f>AA21</f>
        <v>34013.593091030001</v>
      </c>
      <c r="AU21" s="153"/>
      <c r="AV21" s="6" t="s">
        <v>59</v>
      </c>
      <c r="AW21" s="6"/>
    </row>
    <row r="22" spans="3:49" ht="15" thickBot="1" x14ac:dyDescent="0.35">
      <c r="C22" s="7"/>
      <c r="D22" s="5"/>
      <c r="E22" s="5"/>
      <c r="F22" s="27"/>
      <c r="G22" s="5"/>
      <c r="H22" s="6"/>
      <c r="I22" s="6"/>
      <c r="J22" s="6"/>
      <c r="K22" s="6"/>
      <c r="L22" s="6"/>
      <c r="M22" s="6"/>
      <c r="N22" s="6"/>
      <c r="O22" s="18"/>
      <c r="P22" s="30"/>
      <c r="Q22" s="5"/>
      <c r="R22" s="6"/>
      <c r="S22" s="6"/>
      <c r="T22" s="18"/>
      <c r="U22" s="30"/>
      <c r="V22" s="5"/>
      <c r="W22" s="6"/>
      <c r="X22" s="6"/>
      <c r="Y22" s="17"/>
      <c r="Z22" s="29"/>
      <c r="AA22" s="2"/>
      <c r="AB22" s="2"/>
      <c r="AC22" s="6"/>
      <c r="AD22" s="6"/>
      <c r="AE22" s="118"/>
      <c r="AF22" s="29"/>
      <c r="AG22" s="29"/>
      <c r="AH22" s="2"/>
      <c r="AI22" s="2"/>
      <c r="AJ22" s="6"/>
      <c r="AK22" s="6"/>
      <c r="AL22" s="29"/>
      <c r="AM22" s="29"/>
      <c r="AN22" s="187"/>
      <c r="AO22" s="187"/>
      <c r="AP22" s="6"/>
      <c r="AQ22" s="6"/>
      <c r="AR22" s="17"/>
      <c r="AS22" s="29"/>
      <c r="AT22" s="2"/>
      <c r="AU22" s="2"/>
      <c r="AV22" s="6"/>
      <c r="AW22" s="6"/>
    </row>
    <row r="23" spans="3:49" ht="15" thickTop="1" x14ac:dyDescent="0.3">
      <c r="C23" s="7"/>
      <c r="D23" s="5" t="s">
        <v>55</v>
      </c>
      <c r="E23" s="5"/>
      <c r="F23" s="27" t="s">
        <v>56</v>
      </c>
      <c r="G23" s="167">
        <v>6.5</v>
      </c>
      <c r="H23" s="168"/>
      <c r="I23" s="6" t="s">
        <v>2</v>
      </c>
      <c r="J23" s="6"/>
      <c r="K23" s="6"/>
      <c r="L23" s="6"/>
      <c r="M23" s="6"/>
      <c r="N23" s="6"/>
      <c r="O23" s="18"/>
      <c r="P23" s="30"/>
      <c r="Q23" s="5"/>
      <c r="R23" s="6"/>
      <c r="S23" s="6"/>
      <c r="T23" s="18"/>
      <c r="U23" s="30"/>
      <c r="V23" s="5"/>
      <c r="W23" s="6"/>
      <c r="X23" s="6"/>
      <c r="Y23" s="17"/>
      <c r="Z23" s="30" t="s">
        <v>56</v>
      </c>
      <c r="AA23" s="148">
        <f>G23</f>
        <v>6.5</v>
      </c>
      <c r="AB23" s="149"/>
      <c r="AC23" s="6" t="s">
        <v>2</v>
      </c>
      <c r="AD23" s="6"/>
      <c r="AE23" s="118"/>
      <c r="AF23" s="29"/>
      <c r="AG23" s="2"/>
      <c r="AH23" s="2"/>
      <c r="AI23" s="2"/>
      <c r="AJ23" s="2"/>
      <c r="AK23" s="6"/>
      <c r="AL23" s="29"/>
      <c r="AM23" s="2"/>
      <c r="AN23" s="187"/>
      <c r="AO23" s="187"/>
      <c r="AP23" s="2"/>
      <c r="AQ23" s="6"/>
      <c r="AR23" s="17"/>
      <c r="AS23" s="2"/>
      <c r="AT23" s="2"/>
      <c r="AU23" s="2"/>
      <c r="AV23" s="2"/>
      <c r="AW23" s="6"/>
    </row>
    <row r="24" spans="3:49" ht="15" thickBot="1" x14ac:dyDescent="0.35">
      <c r="C24" s="7"/>
      <c r="D24" s="5"/>
      <c r="E24" s="5"/>
      <c r="F24" s="27"/>
      <c r="G24" s="5"/>
      <c r="H24" s="6"/>
      <c r="I24" s="6"/>
      <c r="J24" s="6"/>
      <c r="K24" s="6"/>
      <c r="L24" s="6"/>
      <c r="M24" s="6"/>
      <c r="N24" s="6"/>
      <c r="O24" s="18"/>
      <c r="P24" s="30"/>
      <c r="Q24" s="5"/>
      <c r="R24" s="6"/>
      <c r="S24" s="6"/>
      <c r="T24" s="18"/>
      <c r="U24" s="30"/>
      <c r="V24" s="5"/>
      <c r="W24" s="6"/>
      <c r="X24" s="6"/>
      <c r="Y24" s="17"/>
      <c r="Z24" s="29"/>
      <c r="AA24" s="2"/>
      <c r="AB24" s="2"/>
      <c r="AC24" s="6"/>
      <c r="AD24" s="6"/>
      <c r="AE24" s="118"/>
      <c r="AF24" s="29"/>
      <c r="AG24" s="29"/>
      <c r="AH24" s="2"/>
      <c r="AI24" s="2"/>
      <c r="AJ24" s="6"/>
      <c r="AK24" s="6"/>
      <c r="AL24" s="29"/>
      <c r="AM24" s="29"/>
      <c r="AN24" s="187"/>
      <c r="AO24" s="187"/>
      <c r="AP24" s="6"/>
      <c r="AQ24" s="6"/>
      <c r="AR24" s="17"/>
      <c r="AS24" s="29"/>
      <c r="AT24" s="2"/>
      <c r="AU24" s="2"/>
      <c r="AV24" s="6"/>
      <c r="AW24" s="6"/>
    </row>
    <row r="25" spans="3:49" ht="15" thickTop="1" x14ac:dyDescent="0.3">
      <c r="C25" s="7"/>
      <c r="D25" s="5" t="s">
        <v>14</v>
      </c>
      <c r="E25" s="5"/>
      <c r="F25" s="27" t="s">
        <v>15</v>
      </c>
      <c r="G25" s="167">
        <v>0</v>
      </c>
      <c r="H25" s="168"/>
      <c r="I25" s="6" t="s">
        <v>61</v>
      </c>
      <c r="J25" s="6"/>
      <c r="K25" s="6"/>
      <c r="L25" s="6"/>
      <c r="M25" s="6"/>
      <c r="N25" s="6"/>
      <c r="O25" s="18"/>
      <c r="P25" s="30" t="s">
        <v>15</v>
      </c>
      <c r="Q25" s="148">
        <f>G25</f>
        <v>0</v>
      </c>
      <c r="R25" s="149"/>
      <c r="S25" s="6" t="s">
        <v>61</v>
      </c>
      <c r="T25" s="18"/>
      <c r="U25" s="30" t="s">
        <v>15</v>
      </c>
      <c r="V25" s="148">
        <f>G25</f>
        <v>0</v>
      </c>
      <c r="W25" s="149"/>
      <c r="X25" s="6" t="s">
        <v>61</v>
      </c>
      <c r="Y25" s="17"/>
      <c r="Z25" s="29"/>
      <c r="AA25" s="2"/>
      <c r="AB25" s="2"/>
      <c r="AC25" s="6"/>
      <c r="AD25" s="6"/>
      <c r="AE25" s="118"/>
      <c r="AF25" s="29"/>
      <c r="AG25" s="29"/>
      <c r="AH25" s="2"/>
      <c r="AI25" s="2"/>
      <c r="AJ25" s="6"/>
      <c r="AK25" s="6"/>
      <c r="AL25" s="29"/>
      <c r="AM25" s="29"/>
      <c r="AN25" s="187"/>
      <c r="AO25" s="187"/>
      <c r="AP25" s="6"/>
      <c r="AQ25" s="6"/>
      <c r="AR25" s="17"/>
      <c r="AS25" s="29"/>
      <c r="AT25" s="2"/>
      <c r="AU25" s="2"/>
      <c r="AV25" s="6"/>
      <c r="AW25" s="6"/>
    </row>
    <row r="26" spans="3:49" ht="15" thickBot="1" x14ac:dyDescent="0.35">
      <c r="C26" s="7"/>
      <c r="D26" s="5"/>
      <c r="E26" s="5"/>
      <c r="F26" s="27"/>
      <c r="G26" s="5"/>
      <c r="H26" s="6"/>
      <c r="I26" s="6"/>
      <c r="J26" s="6"/>
      <c r="K26" s="6"/>
      <c r="L26" s="6"/>
      <c r="M26" s="6"/>
      <c r="N26" s="6"/>
      <c r="O26" s="18"/>
      <c r="P26" s="30"/>
      <c r="Q26" s="5"/>
      <c r="R26" s="6"/>
      <c r="S26" s="6"/>
      <c r="T26" s="18"/>
      <c r="U26" s="30"/>
      <c r="V26" s="5"/>
      <c r="W26" s="6"/>
      <c r="X26" s="6"/>
      <c r="Y26" s="17"/>
      <c r="Z26" s="29"/>
      <c r="AA26" s="2"/>
      <c r="AB26" s="2"/>
      <c r="AC26" s="6"/>
      <c r="AD26" s="6"/>
      <c r="AE26" s="118"/>
      <c r="AF26" s="29"/>
      <c r="AG26" s="29"/>
      <c r="AH26" s="2"/>
      <c r="AI26" s="2"/>
      <c r="AJ26" s="6"/>
      <c r="AK26" s="6"/>
      <c r="AL26" s="29"/>
      <c r="AM26" s="29"/>
      <c r="AN26" s="187"/>
      <c r="AO26" s="187"/>
      <c r="AP26" s="6"/>
      <c r="AQ26" s="6"/>
      <c r="AR26" s="17"/>
      <c r="AS26" s="29"/>
      <c r="AT26" s="2"/>
      <c r="AU26" s="2"/>
      <c r="AV26" s="6"/>
      <c r="AW26" s="6"/>
    </row>
    <row r="27" spans="3:49" ht="15" thickTop="1" x14ac:dyDescent="0.3">
      <c r="C27" s="7"/>
      <c r="D27" s="5" t="s">
        <v>16</v>
      </c>
      <c r="E27" s="5"/>
      <c r="F27" s="27" t="s">
        <v>17</v>
      </c>
      <c r="G27" s="167">
        <v>4</v>
      </c>
      <c r="H27" s="168"/>
      <c r="I27" s="6" t="s">
        <v>2</v>
      </c>
      <c r="J27" s="6"/>
      <c r="K27" s="6"/>
      <c r="L27" s="6"/>
      <c r="M27" s="6"/>
      <c r="N27" s="6"/>
      <c r="O27" s="18"/>
      <c r="P27" s="27" t="s">
        <v>17</v>
      </c>
      <c r="Q27" s="148">
        <f>G27</f>
        <v>4</v>
      </c>
      <c r="R27" s="149"/>
      <c r="S27" s="30"/>
      <c r="T27" s="18"/>
      <c r="U27" s="27" t="s">
        <v>17</v>
      </c>
      <c r="V27" s="148">
        <f>G27</f>
        <v>4</v>
      </c>
      <c r="W27" s="149"/>
      <c r="X27" s="30"/>
      <c r="Y27" s="17"/>
      <c r="Z27" s="29" t="s">
        <v>17</v>
      </c>
      <c r="AA27" s="148">
        <f>G27</f>
        <v>4</v>
      </c>
      <c r="AB27" s="149"/>
      <c r="AC27" s="6" t="s">
        <v>2</v>
      </c>
      <c r="AD27" s="6"/>
      <c r="AE27" s="118"/>
      <c r="AF27" s="29"/>
      <c r="AG27" s="29" t="s">
        <v>17</v>
      </c>
      <c r="AH27" s="152">
        <f>G27</f>
        <v>4</v>
      </c>
      <c r="AI27" s="153"/>
      <c r="AJ27" s="6" t="s">
        <v>2</v>
      </c>
      <c r="AK27" s="6"/>
      <c r="AL27" s="29"/>
      <c r="AM27" s="29" t="s">
        <v>17</v>
      </c>
      <c r="AN27" s="152">
        <f>AH27</f>
        <v>4</v>
      </c>
      <c r="AO27" s="153"/>
      <c r="AP27" s="6" t="s">
        <v>2</v>
      </c>
      <c r="AQ27" s="6"/>
      <c r="AR27" s="17"/>
      <c r="AS27" s="29" t="s">
        <v>17</v>
      </c>
      <c r="AT27" s="148">
        <f>G27</f>
        <v>4</v>
      </c>
      <c r="AU27" s="149"/>
      <c r="AV27" s="6" t="s">
        <v>2</v>
      </c>
      <c r="AW27" s="6"/>
    </row>
    <row r="28" spans="3:49" ht="15" thickBot="1" x14ac:dyDescent="0.35">
      <c r="C28" s="7"/>
      <c r="D28" s="5"/>
      <c r="E28" s="5"/>
      <c r="F28" s="27"/>
      <c r="G28" s="5"/>
      <c r="H28" s="6"/>
      <c r="I28" s="6"/>
      <c r="J28" s="6"/>
      <c r="K28" s="6"/>
      <c r="L28" s="6"/>
      <c r="M28" s="6"/>
      <c r="N28" s="6"/>
      <c r="O28" s="18"/>
      <c r="P28" s="30"/>
      <c r="Q28" s="5"/>
      <c r="R28" s="6"/>
      <c r="S28" s="6"/>
      <c r="T28" s="18"/>
      <c r="U28" s="30"/>
      <c r="V28" s="5"/>
      <c r="W28" s="6"/>
      <c r="X28" s="6"/>
      <c r="Y28" s="17"/>
      <c r="Z28" s="29"/>
      <c r="AA28" s="2"/>
      <c r="AB28" s="2"/>
      <c r="AC28" s="6"/>
      <c r="AD28" s="6"/>
      <c r="AE28" s="118"/>
      <c r="AF28" s="29"/>
      <c r="AG28" s="29"/>
      <c r="AH28" s="2"/>
      <c r="AI28" s="2"/>
      <c r="AJ28" s="6"/>
      <c r="AK28" s="6"/>
      <c r="AL28" s="29"/>
      <c r="AM28" s="29"/>
      <c r="AN28" s="2"/>
      <c r="AO28" s="2"/>
      <c r="AP28" s="6"/>
      <c r="AQ28" s="6"/>
      <c r="AR28" s="17"/>
      <c r="AS28" s="29"/>
      <c r="AT28" s="2"/>
      <c r="AU28" s="2"/>
      <c r="AV28" s="6"/>
      <c r="AW28" s="6"/>
    </row>
    <row r="29" spans="3:49" ht="17.399999999999999" thickTop="1" x14ac:dyDescent="0.35">
      <c r="C29" s="7"/>
      <c r="D29" s="5" t="s">
        <v>122</v>
      </c>
      <c r="E29" s="5"/>
      <c r="F29" s="27" t="s">
        <v>121</v>
      </c>
      <c r="G29" s="167">
        <v>2.2400000000000002</v>
      </c>
      <c r="H29" s="168"/>
      <c r="I29" s="6" t="s">
        <v>2</v>
      </c>
      <c r="J29" s="6"/>
      <c r="K29" s="6"/>
      <c r="L29" s="6"/>
      <c r="M29" s="6"/>
      <c r="N29" s="6"/>
      <c r="O29" s="18"/>
      <c r="P29" s="30"/>
      <c r="Q29" s="30"/>
      <c r="R29" s="30"/>
      <c r="S29" s="30"/>
      <c r="T29" s="18"/>
      <c r="U29" s="30" t="s">
        <v>19</v>
      </c>
      <c r="V29" s="167">
        <v>2.34</v>
      </c>
      <c r="W29" s="168"/>
      <c r="X29" s="6" t="s">
        <v>106</v>
      </c>
      <c r="Y29" s="17"/>
      <c r="Z29" s="29"/>
      <c r="AA29" s="2"/>
      <c r="AB29" s="2"/>
      <c r="AC29" s="6"/>
      <c r="AD29" s="6"/>
      <c r="AE29" s="118"/>
      <c r="AF29" s="29"/>
      <c r="AG29" s="29"/>
      <c r="AH29" s="29"/>
      <c r="AI29" s="29"/>
      <c r="AJ29" s="29"/>
      <c r="AK29" s="6"/>
      <c r="AL29" s="29"/>
      <c r="AM29" s="29"/>
      <c r="AN29" s="29"/>
      <c r="AO29" s="29"/>
      <c r="AP29" s="29"/>
      <c r="AQ29" s="6"/>
      <c r="AR29" s="17"/>
      <c r="AS29" s="29"/>
      <c r="AT29" s="2"/>
      <c r="AU29" s="2"/>
      <c r="AV29" s="6"/>
      <c r="AW29" s="6"/>
    </row>
    <row r="30" spans="3:49" x14ac:dyDescent="0.3">
      <c r="C30" s="7"/>
      <c r="D30" s="5"/>
      <c r="E30" s="5"/>
      <c r="F30" s="27"/>
      <c r="G30" s="5"/>
      <c r="H30" s="6"/>
      <c r="I30" s="6"/>
      <c r="J30" s="6"/>
      <c r="K30" s="6"/>
      <c r="L30" s="6"/>
      <c r="M30" s="6"/>
      <c r="N30" s="6"/>
      <c r="O30" s="18"/>
      <c r="P30" s="30"/>
      <c r="Q30" s="30"/>
      <c r="R30" s="30"/>
      <c r="S30" s="30"/>
      <c r="T30" s="18"/>
      <c r="U30" s="13"/>
      <c r="V30" s="6"/>
      <c r="W30" s="6"/>
      <c r="X30" s="6"/>
      <c r="Y30" s="18"/>
      <c r="Z30" s="13"/>
      <c r="AA30" s="13"/>
      <c r="AB30" s="13"/>
      <c r="AC30" s="13"/>
      <c r="AD30" s="13"/>
      <c r="AE30" s="118"/>
      <c r="AF30" s="29"/>
      <c r="AG30" s="29"/>
      <c r="AH30" s="2"/>
      <c r="AI30" s="2"/>
      <c r="AJ30" s="6"/>
      <c r="AK30" s="6"/>
      <c r="AL30" s="29"/>
      <c r="AM30" s="29"/>
      <c r="AN30" s="2"/>
      <c r="AO30" s="2"/>
      <c r="AP30" s="6"/>
      <c r="AQ30" s="6"/>
      <c r="AR30" s="18"/>
      <c r="AS30" s="13"/>
      <c r="AT30" s="13"/>
      <c r="AU30" s="13"/>
      <c r="AV30" s="13"/>
      <c r="AW30" s="13"/>
    </row>
    <row r="31" spans="3:49" x14ac:dyDescent="0.3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8"/>
      <c r="P31" s="30"/>
      <c r="Q31" s="30"/>
      <c r="R31" s="30"/>
      <c r="S31" s="30"/>
      <c r="T31" s="18"/>
      <c r="U31" s="13"/>
      <c r="V31" s="5" t="s">
        <v>18</v>
      </c>
      <c r="W31" s="6"/>
      <c r="X31" s="6"/>
      <c r="Y31" s="18"/>
      <c r="Z31" s="13"/>
      <c r="AA31" s="13"/>
      <c r="AB31" s="13"/>
      <c r="AC31" s="13"/>
      <c r="AD31" s="13"/>
      <c r="AE31" s="118"/>
      <c r="AF31" s="29"/>
      <c r="AG31" s="29"/>
      <c r="AH31" s="2"/>
      <c r="AI31" s="2"/>
      <c r="AJ31" s="6"/>
      <c r="AK31" s="6"/>
      <c r="AL31" s="29"/>
      <c r="AM31" s="29"/>
      <c r="AN31" s="2"/>
      <c r="AO31" s="2"/>
      <c r="AP31" s="6"/>
      <c r="AQ31" s="6"/>
      <c r="AR31" s="18"/>
      <c r="AS31" s="13"/>
      <c r="AT31" s="13"/>
      <c r="AU31" s="13"/>
      <c r="AV31" s="13"/>
      <c r="AW31" s="13"/>
    </row>
    <row r="32" spans="3:49" x14ac:dyDescent="0.3">
      <c r="C32" s="36"/>
      <c r="D32" s="5"/>
      <c r="E32" s="5"/>
      <c r="F32" s="27"/>
      <c r="G32" s="5"/>
      <c r="H32" s="6"/>
      <c r="I32" s="6"/>
      <c r="J32" s="6"/>
      <c r="K32" s="6"/>
      <c r="L32" s="6"/>
      <c r="M32" s="6"/>
      <c r="N32" s="6"/>
      <c r="O32" s="18"/>
      <c r="P32" s="13"/>
      <c r="Q32" s="6"/>
      <c r="R32" s="6"/>
      <c r="S32" s="6"/>
      <c r="T32" s="18"/>
      <c r="U32" s="13"/>
      <c r="V32" s="6"/>
      <c r="W32" s="6"/>
      <c r="X32" s="6"/>
      <c r="Y32" s="18"/>
      <c r="Z32" s="13"/>
      <c r="AA32" s="13"/>
      <c r="AB32" s="13"/>
      <c r="AC32" s="13"/>
      <c r="AD32" s="13"/>
      <c r="AE32" s="120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8"/>
      <c r="AS32" s="13"/>
      <c r="AT32" s="13"/>
      <c r="AU32" s="13"/>
      <c r="AV32" s="13"/>
      <c r="AW32" s="13"/>
    </row>
    <row r="33" spans="3:49" x14ac:dyDescent="0.3"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18"/>
      <c r="P33" s="6"/>
      <c r="Q33" s="6"/>
      <c r="R33" s="6"/>
      <c r="S33" s="6"/>
      <c r="T33" s="18"/>
      <c r="U33" s="6"/>
      <c r="V33" s="6"/>
      <c r="W33" s="6"/>
      <c r="X33" s="6"/>
      <c r="Y33" s="18"/>
      <c r="Z33" s="13"/>
      <c r="AA33" s="13"/>
      <c r="AB33" s="13"/>
      <c r="AC33" s="13"/>
      <c r="AD33" s="13"/>
      <c r="AE33" s="120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8"/>
      <c r="AS33" s="13"/>
      <c r="AT33" s="13"/>
      <c r="AU33" s="13"/>
      <c r="AV33" s="13"/>
      <c r="AW33" s="13"/>
    </row>
    <row r="34" spans="3:49" ht="21" x14ac:dyDescent="0.4">
      <c r="C34" s="44" t="s">
        <v>20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5"/>
      <c r="P34" s="44"/>
      <c r="Q34" s="44"/>
      <c r="R34" s="44"/>
      <c r="S34" s="44"/>
      <c r="T34" s="45"/>
      <c r="U34" s="44"/>
      <c r="V34" s="44"/>
      <c r="W34" s="44"/>
      <c r="X34" s="44"/>
      <c r="Y34" s="45"/>
      <c r="Z34" s="44"/>
      <c r="AA34" s="44"/>
      <c r="AB34" s="44"/>
      <c r="AC34" s="44"/>
      <c r="AD34" s="115"/>
      <c r="AE34" s="120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45"/>
      <c r="AS34" s="44"/>
      <c r="AT34" s="44"/>
      <c r="AU34" s="44"/>
      <c r="AV34" s="44"/>
      <c r="AW34" s="44"/>
    </row>
    <row r="35" spans="3:49" x14ac:dyDescent="0.3"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43"/>
      <c r="P35" s="6"/>
      <c r="Q35" s="6"/>
      <c r="R35" s="6"/>
      <c r="S35" s="6"/>
      <c r="T35" s="43"/>
      <c r="U35" s="6"/>
      <c r="V35" s="6"/>
      <c r="W35" s="6"/>
      <c r="X35" s="6"/>
      <c r="Y35" s="18"/>
      <c r="Z35" s="13"/>
      <c r="AA35" s="13"/>
      <c r="AB35" s="13"/>
      <c r="AC35" s="13"/>
      <c r="AD35" s="13"/>
      <c r="AE35" s="120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8"/>
      <c r="AS35" s="13"/>
      <c r="AT35" s="13"/>
      <c r="AU35" s="13"/>
      <c r="AV35" s="13"/>
      <c r="AW35" s="13"/>
    </row>
    <row r="36" spans="3:49" ht="21" x14ac:dyDescent="0.4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P36" s="8"/>
      <c r="Q36" s="8"/>
      <c r="R36" s="8"/>
      <c r="S36" s="8"/>
      <c r="T36" s="19"/>
      <c r="U36" s="8"/>
      <c r="V36" s="8"/>
      <c r="W36" s="8"/>
      <c r="X36" s="8"/>
      <c r="Y36" s="19"/>
      <c r="Z36" s="31"/>
      <c r="AA36" s="31"/>
      <c r="AB36" s="31"/>
      <c r="AC36" s="31"/>
      <c r="AD36" s="31"/>
      <c r="AE36" s="121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115"/>
      <c r="AR36" s="19"/>
      <c r="AS36" s="31"/>
      <c r="AT36" s="31"/>
      <c r="AU36" s="31"/>
      <c r="AV36" s="31"/>
      <c r="AW36" s="31"/>
    </row>
    <row r="37" spans="3:49" x14ac:dyDescent="0.3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P37" s="8"/>
      <c r="Q37" s="8"/>
      <c r="R37" s="8"/>
      <c r="S37" s="8"/>
      <c r="T37" s="19"/>
      <c r="U37" s="8"/>
      <c r="V37" s="8"/>
      <c r="W37" s="8"/>
      <c r="X37" s="8"/>
      <c r="Y37" s="19"/>
      <c r="Z37" s="31"/>
      <c r="AA37" s="31"/>
      <c r="AB37" s="31"/>
      <c r="AC37" s="31"/>
      <c r="AD37" s="31"/>
      <c r="AE37" s="120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9"/>
      <c r="AS37" s="31"/>
      <c r="AT37" s="31"/>
      <c r="AU37" s="31"/>
      <c r="AV37" s="31"/>
      <c r="AW37" s="31"/>
    </row>
    <row r="38" spans="3:49" x14ac:dyDescent="0.3">
      <c r="C38" s="3"/>
      <c r="D38" s="38" t="s">
        <v>21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41"/>
      <c r="P38" s="38"/>
      <c r="Q38" s="38"/>
      <c r="R38" s="38"/>
      <c r="S38" s="38"/>
      <c r="T38" s="41"/>
      <c r="U38" s="38"/>
      <c r="V38" s="38"/>
      <c r="W38" s="38"/>
      <c r="X38" s="38"/>
      <c r="Y38" s="41"/>
      <c r="Z38" s="38"/>
      <c r="AA38" s="38"/>
      <c r="AB38" s="38"/>
      <c r="AC38" s="38"/>
      <c r="AD38" s="32"/>
      <c r="AE38" s="122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41"/>
      <c r="AS38" s="38"/>
      <c r="AT38" s="38"/>
      <c r="AU38" s="38"/>
      <c r="AV38" s="38"/>
      <c r="AW38" s="32"/>
    </row>
    <row r="39" spans="3:49" ht="15" thickBot="1" x14ac:dyDescent="0.35">
      <c r="C39" s="3"/>
      <c r="D39" s="3"/>
      <c r="E39" s="3"/>
      <c r="F39" s="3"/>
      <c r="G39" s="166" t="s">
        <v>99</v>
      </c>
      <c r="H39" s="166"/>
      <c r="I39" s="83" t="s">
        <v>66</v>
      </c>
      <c r="J39" s="3"/>
      <c r="K39" s="166" t="s">
        <v>91</v>
      </c>
      <c r="L39" s="166"/>
      <c r="M39" s="83" t="s">
        <v>66</v>
      </c>
      <c r="N39" s="3"/>
      <c r="O39" s="40"/>
      <c r="P39" s="3"/>
      <c r="Q39" s="3"/>
      <c r="R39" s="3"/>
      <c r="S39" s="3"/>
      <c r="T39" s="40"/>
      <c r="U39" s="3"/>
      <c r="V39" s="3"/>
      <c r="W39" s="3"/>
      <c r="X39" s="3"/>
      <c r="Y39" s="20"/>
      <c r="Z39" s="32"/>
      <c r="AA39" s="32"/>
      <c r="AB39" s="32"/>
      <c r="AC39" s="32"/>
      <c r="AD39" s="32"/>
      <c r="AE39" s="124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20"/>
      <c r="AS39" s="32"/>
      <c r="AT39" s="32"/>
      <c r="AU39" s="32"/>
      <c r="AV39" s="32"/>
      <c r="AW39" s="32"/>
    </row>
    <row r="40" spans="3:49" ht="16.8" thickTop="1" x14ac:dyDescent="0.3">
      <c r="C40" s="3"/>
      <c r="D40" s="3" t="s">
        <v>22</v>
      </c>
      <c r="E40" s="3" t="s">
        <v>23</v>
      </c>
      <c r="F40" s="6"/>
      <c r="G40" s="160">
        <f>1.225*(1-6.5*10^-3*(G25*0.3048)/288.15)^(9.80665/(287.058*6.5*10^-3)-1)</f>
        <v>1.2250000000000001</v>
      </c>
      <c r="H40" s="161"/>
      <c r="I40" s="6" t="s">
        <v>24</v>
      </c>
      <c r="J40" s="6"/>
      <c r="K40" s="6"/>
      <c r="L40" s="6"/>
      <c r="M40" s="6"/>
      <c r="N40" s="6"/>
      <c r="O40" s="18"/>
      <c r="P40" s="3"/>
      <c r="Q40" s="3"/>
      <c r="R40" s="3"/>
      <c r="S40" s="6"/>
      <c r="T40" s="18"/>
      <c r="U40" s="3"/>
      <c r="V40" s="3"/>
      <c r="W40" s="3"/>
      <c r="X40" s="6"/>
      <c r="Y40" s="21"/>
      <c r="Z40" s="12"/>
      <c r="AA40" s="32"/>
      <c r="AB40" s="32"/>
      <c r="AC40" s="13"/>
      <c r="AD40" s="32"/>
      <c r="AE40" s="126"/>
      <c r="AF40" s="12"/>
      <c r="AG40" s="12"/>
      <c r="AH40" s="32"/>
      <c r="AI40" s="32"/>
      <c r="AJ40" s="13"/>
      <c r="AK40" s="32"/>
      <c r="AL40" s="12"/>
      <c r="AM40" s="12"/>
      <c r="AN40" s="32"/>
      <c r="AO40" s="32"/>
      <c r="AP40" s="13"/>
      <c r="AQ40" s="32"/>
      <c r="AR40" s="21"/>
      <c r="AS40" s="12"/>
      <c r="AT40" s="32"/>
      <c r="AU40" s="32"/>
      <c r="AV40" s="13"/>
      <c r="AW40" s="32"/>
    </row>
    <row r="41" spans="3:49" ht="15" thickBot="1" x14ac:dyDescent="0.35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20"/>
      <c r="P41" s="3"/>
      <c r="Q41" s="3"/>
      <c r="R41" s="3"/>
      <c r="S41" s="3"/>
      <c r="T41" s="20"/>
      <c r="U41" s="3"/>
      <c r="V41" s="3"/>
      <c r="W41" s="3"/>
      <c r="X41" s="3"/>
      <c r="Y41" s="20"/>
      <c r="Z41" s="32"/>
      <c r="AA41" s="32"/>
      <c r="AB41" s="32"/>
      <c r="AC41" s="32"/>
      <c r="AD41" s="32"/>
      <c r="AE41" s="124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0"/>
      <c r="AS41" s="32"/>
      <c r="AT41" s="32"/>
      <c r="AU41" s="32"/>
      <c r="AV41" s="32"/>
      <c r="AW41" s="32"/>
    </row>
    <row r="42" spans="3:49" ht="15" thickTop="1" x14ac:dyDescent="0.3">
      <c r="C42" s="3"/>
      <c r="D42" s="3" t="s">
        <v>25</v>
      </c>
      <c r="E42" s="3" t="s">
        <v>26</v>
      </c>
      <c r="F42" s="6"/>
      <c r="G42" s="148">
        <f>G40/1.225</f>
        <v>1</v>
      </c>
      <c r="H42" s="149"/>
      <c r="I42" s="6" t="s">
        <v>2</v>
      </c>
      <c r="J42" s="6"/>
      <c r="K42" s="6"/>
      <c r="L42" s="6"/>
      <c r="M42" s="6"/>
      <c r="N42" s="6"/>
      <c r="O42" s="18"/>
      <c r="P42" s="3" t="s">
        <v>26</v>
      </c>
      <c r="Q42" s="148">
        <f>G42</f>
        <v>1</v>
      </c>
      <c r="R42" s="149"/>
      <c r="S42" s="6" t="s">
        <v>2</v>
      </c>
      <c r="T42" s="18"/>
      <c r="U42" s="3" t="s">
        <v>26</v>
      </c>
      <c r="V42" s="148">
        <f>G42</f>
        <v>1</v>
      </c>
      <c r="W42" s="149"/>
      <c r="X42" s="6" t="s">
        <v>2</v>
      </c>
      <c r="Y42" s="20"/>
      <c r="Z42" s="32" t="s">
        <v>26</v>
      </c>
      <c r="AA42" s="148">
        <f>G42</f>
        <v>1</v>
      </c>
      <c r="AB42" s="149"/>
      <c r="AC42" s="13" t="s">
        <v>2</v>
      </c>
      <c r="AD42" s="32"/>
      <c r="AE42" s="124"/>
      <c r="AF42" s="32"/>
      <c r="AG42" s="32" t="s">
        <v>26</v>
      </c>
      <c r="AH42" s="152">
        <f>AA42</f>
        <v>1</v>
      </c>
      <c r="AI42" s="153"/>
      <c r="AJ42" s="13" t="s">
        <v>2</v>
      </c>
      <c r="AK42" s="32"/>
      <c r="AL42" s="32"/>
      <c r="AM42" s="32" t="s">
        <v>26</v>
      </c>
      <c r="AN42" s="152">
        <f>AH42</f>
        <v>1</v>
      </c>
      <c r="AO42" s="153"/>
      <c r="AP42" s="13" t="s">
        <v>2</v>
      </c>
      <c r="AQ42" s="32"/>
      <c r="AR42" s="20"/>
      <c r="AS42" s="32" t="s">
        <v>26</v>
      </c>
      <c r="AT42" s="148">
        <f>AA42</f>
        <v>1</v>
      </c>
      <c r="AU42" s="149"/>
      <c r="AV42" s="13" t="s">
        <v>2</v>
      </c>
      <c r="AW42" s="32"/>
    </row>
    <row r="43" spans="3:49" x14ac:dyDescent="0.3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20"/>
      <c r="P43" s="3"/>
      <c r="Q43" s="3"/>
      <c r="R43" s="3"/>
      <c r="S43" s="3"/>
      <c r="T43" s="20"/>
      <c r="U43" s="3"/>
      <c r="V43" s="3"/>
      <c r="W43" s="3"/>
      <c r="X43" s="3"/>
      <c r="Y43" s="20"/>
      <c r="Z43" s="32"/>
      <c r="AA43" s="32"/>
      <c r="AB43" s="32"/>
      <c r="AC43" s="32"/>
      <c r="AD43" s="32"/>
      <c r="AE43" s="124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20"/>
      <c r="AS43" s="32"/>
      <c r="AT43" s="32"/>
      <c r="AU43" s="32"/>
      <c r="AV43" s="32"/>
      <c r="AW43" s="32"/>
    </row>
    <row r="44" spans="3:49" x14ac:dyDescent="0.3">
      <c r="C44" s="3"/>
      <c r="D44" s="38" t="s">
        <v>27</v>
      </c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41"/>
      <c r="P44" s="38"/>
      <c r="Q44" s="38"/>
      <c r="R44" s="38"/>
      <c r="S44" s="38"/>
      <c r="T44" s="41"/>
      <c r="U44" s="38"/>
      <c r="V44" s="38"/>
      <c r="W44" s="38"/>
      <c r="X44" s="38"/>
      <c r="Y44" s="41"/>
      <c r="Z44" s="38"/>
      <c r="AA44" s="38"/>
      <c r="AB44" s="38"/>
      <c r="AC44" s="38"/>
      <c r="AD44" s="32"/>
      <c r="AE44" s="127"/>
      <c r="AF44" s="38"/>
      <c r="AG44" s="38"/>
      <c r="AH44" s="38"/>
      <c r="AI44" s="38"/>
      <c r="AJ44" s="38"/>
      <c r="AK44" s="32"/>
      <c r="AL44" s="38"/>
      <c r="AM44" s="38"/>
      <c r="AN44" s="38"/>
      <c r="AO44" s="38"/>
      <c r="AP44" s="38"/>
      <c r="AQ44" s="32"/>
      <c r="AR44" s="41"/>
      <c r="AS44" s="38"/>
      <c r="AT44" s="38"/>
      <c r="AU44" s="38"/>
      <c r="AV44" s="38"/>
      <c r="AW44" s="32"/>
    </row>
    <row r="45" spans="3:49" ht="15" thickBot="1" x14ac:dyDescent="0.35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20"/>
      <c r="P45" s="3"/>
      <c r="Q45" s="3"/>
      <c r="R45" s="3"/>
      <c r="S45" s="3"/>
      <c r="T45" s="20"/>
      <c r="U45" s="3"/>
      <c r="V45" s="3"/>
      <c r="W45" s="3"/>
      <c r="X45" s="3"/>
      <c r="Y45" s="20"/>
      <c r="Z45" s="32"/>
      <c r="AA45" s="32"/>
      <c r="AB45" s="32"/>
      <c r="AC45" s="32"/>
      <c r="AD45" s="32"/>
      <c r="AE45" s="124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20"/>
      <c r="AS45" s="32"/>
      <c r="AT45" s="32"/>
      <c r="AU45" s="32"/>
      <c r="AV45" s="32"/>
      <c r="AW45" s="32"/>
    </row>
    <row r="46" spans="3:49" ht="17.399999999999999" thickTop="1" x14ac:dyDescent="0.35">
      <c r="C46" s="3"/>
      <c r="D46" s="3" t="s">
        <v>28</v>
      </c>
      <c r="E46" s="3" t="s">
        <v>77</v>
      </c>
      <c r="F46" s="6"/>
      <c r="G46" s="164">
        <f>G15/G13</f>
        <v>746.35086752960615</v>
      </c>
      <c r="H46" s="165"/>
      <c r="I46" s="6" t="s">
        <v>29</v>
      </c>
      <c r="J46" s="6"/>
      <c r="K46" s="164">
        <f>G46*convert!E8</f>
        <v>152.86467261616332</v>
      </c>
      <c r="L46" s="165"/>
      <c r="M46" s="6" t="s">
        <v>100</v>
      </c>
      <c r="N46" s="6"/>
      <c r="O46" s="18"/>
      <c r="P46" s="3" t="s">
        <v>77</v>
      </c>
      <c r="Q46" s="164">
        <f>Q15/Q13</f>
        <v>746.35086752960615</v>
      </c>
      <c r="R46" s="165"/>
      <c r="S46" s="6" t="s">
        <v>29</v>
      </c>
      <c r="T46" s="18"/>
      <c r="U46" s="3" t="s">
        <v>77</v>
      </c>
      <c r="V46" s="164">
        <f>G46</f>
        <v>746.35086752960615</v>
      </c>
      <c r="W46" s="165"/>
      <c r="X46" s="6" t="s">
        <v>29</v>
      </c>
      <c r="Y46" s="22"/>
      <c r="Z46" s="32"/>
      <c r="AA46" s="32"/>
      <c r="AB46" s="32"/>
      <c r="AC46" s="32"/>
      <c r="AD46" s="32"/>
      <c r="AE46" s="128"/>
      <c r="AF46" s="14"/>
      <c r="AG46" s="3" t="s">
        <v>77</v>
      </c>
      <c r="AH46" s="164">
        <f>G46</f>
        <v>746.35086752960615</v>
      </c>
      <c r="AI46" s="165"/>
      <c r="AJ46" s="13" t="s">
        <v>128</v>
      </c>
      <c r="AK46" s="32"/>
      <c r="AL46" s="14"/>
      <c r="AM46" s="3" t="s">
        <v>77</v>
      </c>
      <c r="AN46" s="142">
        <f>AH46</f>
        <v>746.35086752960615</v>
      </c>
      <c r="AO46" s="143"/>
      <c r="AP46" s="13" t="s">
        <v>128</v>
      </c>
      <c r="AQ46" s="32"/>
      <c r="AR46" s="22"/>
      <c r="AS46" s="3" t="s">
        <v>77</v>
      </c>
      <c r="AT46" s="164">
        <f>AT15/AT13</f>
        <v>152.86467261616329</v>
      </c>
      <c r="AU46" s="165"/>
      <c r="AV46" s="13" t="s">
        <v>75</v>
      </c>
      <c r="AW46" s="32"/>
    </row>
    <row r="47" spans="3:49" ht="15" thickBot="1" x14ac:dyDescent="0.35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20"/>
      <c r="P47" s="3"/>
      <c r="Q47" s="3"/>
      <c r="R47" s="3"/>
      <c r="S47" s="3"/>
      <c r="T47" s="20"/>
      <c r="U47" s="3"/>
      <c r="V47" s="3"/>
      <c r="W47" s="3"/>
      <c r="X47" s="3"/>
      <c r="Y47" s="20"/>
      <c r="Z47" s="32"/>
      <c r="AA47" s="32"/>
      <c r="AB47" s="32"/>
      <c r="AC47" s="32"/>
      <c r="AD47" s="32"/>
      <c r="AE47" s="124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20"/>
      <c r="AS47" s="32"/>
      <c r="AT47" s="32"/>
      <c r="AU47" s="32"/>
      <c r="AV47" s="32"/>
      <c r="AW47" s="32"/>
    </row>
    <row r="48" spans="3:49" ht="17.399999999999999" thickTop="1" x14ac:dyDescent="0.35">
      <c r="C48" s="3"/>
      <c r="D48" s="3" t="s">
        <v>28</v>
      </c>
      <c r="E48" s="3" t="s">
        <v>73</v>
      </c>
      <c r="F48" s="3"/>
      <c r="G48" s="152">
        <f>G19/G13</f>
        <v>7319.2017350592114</v>
      </c>
      <c r="H48" s="153"/>
      <c r="I48" s="6" t="s">
        <v>97</v>
      </c>
      <c r="J48" s="3"/>
      <c r="K48" s="152">
        <f>K19/K13</f>
        <v>152.86489310165706</v>
      </c>
      <c r="L48" s="153"/>
      <c r="M48" s="6" t="s">
        <v>98</v>
      </c>
      <c r="N48" s="3"/>
      <c r="O48" s="20"/>
      <c r="P48" s="3"/>
      <c r="Q48" s="3"/>
      <c r="R48" s="3"/>
      <c r="S48" s="3"/>
      <c r="T48" s="20"/>
      <c r="U48" s="3"/>
      <c r="V48" s="3"/>
      <c r="W48" s="3"/>
      <c r="X48" s="3"/>
      <c r="Y48" s="20"/>
      <c r="Z48" s="32"/>
      <c r="AA48" s="32"/>
      <c r="AB48" s="32"/>
      <c r="AC48" s="32"/>
      <c r="AD48" s="32"/>
      <c r="AE48" s="124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20"/>
      <c r="AS48" s="32"/>
      <c r="AT48" s="32"/>
      <c r="AU48" s="32"/>
      <c r="AV48" s="32"/>
      <c r="AW48" s="32"/>
    </row>
    <row r="49" spans="3:49" ht="15" thickBot="1" x14ac:dyDescent="0.3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20"/>
      <c r="P49" s="3"/>
      <c r="Q49" s="3"/>
      <c r="R49" s="3"/>
      <c r="S49" s="3"/>
      <c r="T49" s="20"/>
      <c r="U49" s="3"/>
      <c r="V49" s="3"/>
      <c r="W49" s="3"/>
      <c r="X49" s="3"/>
      <c r="Y49" s="20"/>
      <c r="Z49" s="32"/>
      <c r="AA49" s="32"/>
      <c r="AB49" s="32"/>
      <c r="AC49" s="32"/>
      <c r="AD49" s="32"/>
      <c r="AE49" s="124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20"/>
      <c r="AS49" s="32"/>
      <c r="AT49" s="32"/>
      <c r="AU49" s="32"/>
      <c r="AV49" s="32"/>
      <c r="AW49" s="32"/>
    </row>
    <row r="50" spans="3:49" ht="16.2" thickTop="1" x14ac:dyDescent="0.35">
      <c r="C50" s="3"/>
      <c r="D50" s="3" t="s">
        <v>30</v>
      </c>
      <c r="E50" s="3" t="s">
        <v>74</v>
      </c>
      <c r="F50" s="6"/>
      <c r="G50" s="162">
        <f>G27*G21/(9.80665*G15)</f>
        <v>0.22772407826355801</v>
      </c>
      <c r="H50" s="163"/>
      <c r="I50" s="6" t="s">
        <v>2</v>
      </c>
      <c r="J50" s="6"/>
      <c r="K50" s="3"/>
      <c r="L50" s="3"/>
      <c r="M50" s="3"/>
      <c r="N50" s="6"/>
      <c r="O50" s="18"/>
      <c r="P50" s="3" t="s">
        <v>74</v>
      </c>
      <c r="Q50" s="162">
        <f>Q27*Q21/Q19</f>
        <v>0.22772407826355801</v>
      </c>
      <c r="R50" s="163"/>
      <c r="S50" s="6" t="s">
        <v>2</v>
      </c>
      <c r="T50" s="18"/>
      <c r="U50" s="3" t="s">
        <v>74</v>
      </c>
      <c r="V50" s="162">
        <f>V27*V21/V19</f>
        <v>0.22772407826355801</v>
      </c>
      <c r="W50" s="163"/>
      <c r="X50" s="6" t="s">
        <v>2</v>
      </c>
      <c r="Y50" s="23"/>
      <c r="Z50" s="32"/>
      <c r="AA50" s="32"/>
      <c r="AB50" s="32"/>
      <c r="AC50" s="32"/>
      <c r="AD50" s="32"/>
      <c r="AE50" s="129"/>
      <c r="AF50" s="15"/>
      <c r="AG50" s="3" t="s">
        <v>74</v>
      </c>
      <c r="AH50" s="162">
        <f>G50</f>
        <v>0.22772407826355801</v>
      </c>
      <c r="AI50" s="163"/>
      <c r="AJ50" s="6" t="s">
        <v>2</v>
      </c>
      <c r="AK50" s="32"/>
      <c r="AL50" s="15"/>
      <c r="AM50" s="3" t="s">
        <v>74</v>
      </c>
      <c r="AN50" s="162">
        <f>AH50</f>
        <v>0.22772407826355801</v>
      </c>
      <c r="AO50" s="163"/>
      <c r="AP50" s="6" t="s">
        <v>2</v>
      </c>
      <c r="AQ50" s="32"/>
      <c r="AR50" s="23"/>
      <c r="AS50" s="3" t="s">
        <v>74</v>
      </c>
      <c r="AT50" s="162">
        <f>AT27*AT21/AT19</f>
        <v>0.22772402062574076</v>
      </c>
      <c r="AU50" s="163"/>
      <c r="AV50" s="6" t="s">
        <v>2</v>
      </c>
      <c r="AW50" s="32"/>
    </row>
    <row r="51" spans="3:49" x14ac:dyDescent="0.3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20"/>
      <c r="P51" s="3"/>
      <c r="Q51" s="3"/>
      <c r="R51" s="3"/>
      <c r="S51" s="3"/>
      <c r="T51" s="20"/>
      <c r="U51" s="3"/>
      <c r="V51" s="3"/>
      <c r="W51" s="3"/>
      <c r="X51" s="3"/>
      <c r="Y51" s="20"/>
      <c r="Z51" s="32"/>
      <c r="AA51" s="32"/>
      <c r="AB51" s="32"/>
      <c r="AC51" s="32"/>
      <c r="AD51" s="32"/>
      <c r="AE51" s="124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20"/>
      <c r="AS51" s="32"/>
      <c r="AT51" s="32"/>
      <c r="AU51" s="32"/>
      <c r="AV51" s="32"/>
      <c r="AW51" s="32"/>
    </row>
    <row r="52" spans="3:49" x14ac:dyDescent="0.3">
      <c r="C52" s="3"/>
      <c r="D52" s="38" t="s">
        <v>31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41"/>
      <c r="P52" s="38"/>
      <c r="Q52" s="38"/>
      <c r="R52" s="38"/>
      <c r="S52" s="38"/>
      <c r="T52" s="41"/>
      <c r="U52" s="38"/>
      <c r="V52" s="38"/>
      <c r="W52" s="38"/>
      <c r="X52" s="38"/>
      <c r="Y52" s="41"/>
      <c r="Z52" s="38"/>
      <c r="AA52" s="38"/>
      <c r="AB52" s="38"/>
      <c r="AC52" s="38"/>
      <c r="AD52" s="32"/>
      <c r="AE52" s="127"/>
      <c r="AF52" s="38"/>
      <c r="AG52" s="38"/>
      <c r="AH52" s="38"/>
      <c r="AI52" s="38"/>
      <c r="AJ52" s="38"/>
      <c r="AK52" s="32"/>
      <c r="AL52" s="38"/>
      <c r="AM52" s="38"/>
      <c r="AN52" s="38"/>
      <c r="AO52" s="38"/>
      <c r="AP52" s="38"/>
      <c r="AQ52" s="32"/>
      <c r="AR52" s="41"/>
      <c r="AS52" s="38"/>
      <c r="AT52" s="38"/>
      <c r="AU52" s="38"/>
      <c r="AV52" s="38"/>
      <c r="AW52" s="32"/>
    </row>
    <row r="53" spans="3:49" x14ac:dyDescent="0.3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20"/>
      <c r="P53" s="3"/>
      <c r="Q53" s="3"/>
      <c r="R53" s="3"/>
      <c r="S53" s="3"/>
      <c r="T53" s="20"/>
      <c r="U53" s="3"/>
      <c r="V53" s="3"/>
      <c r="W53" s="3"/>
      <c r="X53" s="3"/>
      <c r="Y53" s="20"/>
      <c r="Z53" s="32"/>
      <c r="AA53" s="32"/>
      <c r="AB53" s="32"/>
      <c r="AC53" s="32"/>
      <c r="AD53" s="32"/>
      <c r="AE53" s="124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20"/>
      <c r="AS53" s="32"/>
      <c r="AT53" s="32"/>
      <c r="AU53" s="32"/>
      <c r="AV53" s="32"/>
      <c r="AW53" s="32"/>
    </row>
    <row r="54" spans="3:49" ht="15" thickBot="1" x14ac:dyDescent="0.3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18"/>
      <c r="P54" s="3"/>
      <c r="Q54" s="3"/>
      <c r="R54" s="3"/>
      <c r="S54" s="3"/>
      <c r="T54" s="18"/>
      <c r="U54" s="3"/>
      <c r="V54" s="3"/>
      <c r="W54" s="3"/>
      <c r="X54" s="3"/>
      <c r="Y54" s="20"/>
      <c r="Z54" s="32"/>
      <c r="AA54" s="32"/>
      <c r="AB54" s="32"/>
      <c r="AC54" s="32"/>
      <c r="AD54" s="32"/>
      <c r="AE54" s="124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20"/>
      <c r="AS54" s="32"/>
      <c r="AT54" s="32"/>
      <c r="AU54" s="32"/>
      <c r="AV54" s="32"/>
      <c r="AW54" s="32"/>
    </row>
    <row r="55" spans="3:49" ht="16.2" thickTop="1" x14ac:dyDescent="0.35">
      <c r="C55" s="3"/>
      <c r="D55" s="5" t="s">
        <v>122</v>
      </c>
      <c r="E55" s="3" t="s">
        <v>35</v>
      </c>
      <c r="F55" s="3"/>
      <c r="G55" s="160">
        <f>G29</f>
        <v>2.2400000000000002</v>
      </c>
      <c r="H55" s="161"/>
      <c r="I55" s="6" t="s">
        <v>2</v>
      </c>
      <c r="J55" s="3"/>
      <c r="K55" s="6"/>
      <c r="L55" s="6"/>
      <c r="M55" s="6"/>
      <c r="N55" s="6"/>
      <c r="O55" s="18"/>
      <c r="P55" s="3" t="s">
        <v>35</v>
      </c>
      <c r="Q55" s="160">
        <f>G55</f>
        <v>2.2400000000000002</v>
      </c>
      <c r="R55" s="161"/>
      <c r="S55" s="6"/>
      <c r="T55" s="18"/>
      <c r="U55" s="3" t="s">
        <v>35</v>
      </c>
      <c r="V55" s="160">
        <f>G55</f>
        <v>2.2400000000000002</v>
      </c>
      <c r="W55" s="161"/>
      <c r="X55" s="6"/>
      <c r="Y55" s="21"/>
      <c r="Z55" s="3" t="s">
        <v>35</v>
      </c>
      <c r="AA55" s="160">
        <f>V55</f>
        <v>2.2400000000000002</v>
      </c>
      <c r="AB55" s="161"/>
      <c r="AC55" s="13"/>
      <c r="AD55" s="32"/>
      <c r="AE55" s="126"/>
      <c r="AF55" s="12"/>
      <c r="AG55" s="3" t="s">
        <v>35</v>
      </c>
      <c r="AH55" s="160">
        <f>G55</f>
        <v>2.2400000000000002</v>
      </c>
      <c r="AI55" s="161"/>
      <c r="AJ55" s="6" t="s">
        <v>2</v>
      </c>
      <c r="AK55" s="84"/>
      <c r="AL55" s="12"/>
      <c r="AM55" s="3" t="s">
        <v>35</v>
      </c>
      <c r="AN55" s="164">
        <f>AH55</f>
        <v>2.2400000000000002</v>
      </c>
      <c r="AO55" s="165"/>
      <c r="AP55" s="6" t="s">
        <v>2</v>
      </c>
      <c r="AQ55" s="84"/>
      <c r="AR55" s="21"/>
      <c r="AS55" s="3" t="s">
        <v>35</v>
      </c>
      <c r="AT55" s="160">
        <f>AH55</f>
        <v>2.2400000000000002</v>
      </c>
      <c r="AU55" s="161"/>
      <c r="AV55" s="6" t="s">
        <v>2</v>
      </c>
      <c r="AW55" s="32"/>
    </row>
    <row r="56" spans="3:49" ht="15" thickBot="1" x14ac:dyDescent="0.3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8"/>
      <c r="P56" s="3"/>
      <c r="Q56" s="3"/>
      <c r="R56" s="3"/>
      <c r="S56" s="3"/>
      <c r="T56" s="18"/>
      <c r="U56" s="3"/>
      <c r="V56" s="3"/>
      <c r="W56" s="3"/>
      <c r="X56" s="3"/>
      <c r="Y56" s="20"/>
      <c r="Z56" s="32"/>
      <c r="AA56" s="32"/>
      <c r="AB56" s="32"/>
      <c r="AC56" s="32"/>
      <c r="AD56" s="32"/>
      <c r="AE56" s="124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20"/>
      <c r="AS56" s="32"/>
      <c r="AT56" s="32"/>
      <c r="AU56" s="32"/>
      <c r="AV56" s="32"/>
      <c r="AW56" s="32"/>
    </row>
    <row r="57" spans="3:49" ht="16.2" thickTop="1" x14ac:dyDescent="0.35">
      <c r="C57" s="3"/>
      <c r="D57" s="3" t="s">
        <v>36</v>
      </c>
      <c r="E57" s="3" t="s">
        <v>37</v>
      </c>
      <c r="F57" s="6"/>
      <c r="G57" s="160">
        <f>G55*SQRT(0.5)</f>
        <v>1.5839191898578666</v>
      </c>
      <c r="H57" s="161"/>
      <c r="I57" s="6" t="s">
        <v>2</v>
      </c>
      <c r="J57" s="6"/>
      <c r="K57" s="6"/>
      <c r="L57" s="6"/>
      <c r="M57" s="6"/>
      <c r="N57" s="6"/>
      <c r="O57" s="20"/>
      <c r="P57" s="3"/>
      <c r="Q57" s="3"/>
      <c r="R57" s="3"/>
      <c r="S57" s="6"/>
      <c r="T57" s="20"/>
      <c r="U57" s="3"/>
      <c r="V57" s="3"/>
      <c r="W57" s="3"/>
      <c r="X57" s="6"/>
      <c r="Y57" s="21"/>
      <c r="Z57" s="12"/>
      <c r="AA57" s="32"/>
      <c r="AB57" s="32"/>
      <c r="AC57" s="13"/>
      <c r="AD57" s="32"/>
      <c r="AE57" s="126"/>
      <c r="AF57" s="12"/>
      <c r="AG57" s="12"/>
      <c r="AH57" s="12"/>
      <c r="AI57" s="12"/>
      <c r="AJ57" s="12"/>
      <c r="AK57" s="32"/>
      <c r="AL57" s="12"/>
      <c r="AM57" s="12"/>
      <c r="AN57" s="12"/>
      <c r="AO57" s="12"/>
      <c r="AP57" s="12"/>
      <c r="AQ57" s="32"/>
      <c r="AR57" s="21"/>
      <c r="AS57" s="12"/>
      <c r="AT57" s="12"/>
      <c r="AU57" s="12"/>
      <c r="AV57" s="12"/>
      <c r="AW57" s="32"/>
    </row>
    <row r="58" spans="3:49" x14ac:dyDescent="0.3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20"/>
      <c r="P58" s="3"/>
      <c r="Q58" s="3"/>
      <c r="R58" s="3"/>
      <c r="S58" s="3"/>
      <c r="T58" s="20"/>
      <c r="U58" s="3"/>
      <c r="V58" s="3"/>
      <c r="W58" s="3"/>
      <c r="X58" s="3"/>
      <c r="Y58" s="20"/>
      <c r="Z58" s="32"/>
      <c r="AA58" s="32"/>
      <c r="AB58" s="32"/>
      <c r="AC58" s="32"/>
      <c r="AD58" s="32"/>
      <c r="AE58" s="124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20"/>
      <c r="AS58" s="32"/>
      <c r="AT58" s="32"/>
      <c r="AU58" s="32"/>
      <c r="AV58" s="32"/>
      <c r="AW58" s="32"/>
    </row>
    <row r="59" spans="3:49" x14ac:dyDescent="0.3">
      <c r="C59" s="3"/>
      <c r="D59" s="38" t="s">
        <v>38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41"/>
      <c r="P59" s="38"/>
      <c r="Q59" s="38"/>
      <c r="R59" s="38"/>
      <c r="S59" s="38"/>
      <c r="T59" s="41"/>
      <c r="U59" s="38"/>
      <c r="V59" s="38"/>
      <c r="W59" s="38"/>
      <c r="X59" s="38"/>
      <c r="Y59" s="41"/>
      <c r="Z59" s="38"/>
      <c r="AA59" s="38"/>
      <c r="AB59" s="38"/>
      <c r="AC59" s="38"/>
      <c r="AD59" s="32"/>
      <c r="AE59" s="127"/>
      <c r="AF59" s="38"/>
      <c r="AG59" s="38"/>
      <c r="AH59" s="38"/>
      <c r="AI59" s="38"/>
      <c r="AJ59" s="38"/>
      <c r="AK59" s="32"/>
      <c r="AL59" s="38"/>
      <c r="AM59" s="38"/>
      <c r="AN59" s="38"/>
      <c r="AO59" s="38"/>
      <c r="AP59" s="38"/>
      <c r="AQ59" s="32"/>
      <c r="AR59" s="41"/>
      <c r="AS59" s="38"/>
      <c r="AT59" s="38"/>
      <c r="AU59" s="38"/>
      <c r="AV59" s="38"/>
      <c r="AW59" s="32"/>
    </row>
    <row r="60" spans="3:49" ht="15" thickBot="1" x14ac:dyDescent="0.3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20"/>
      <c r="P60" s="3"/>
      <c r="Q60" s="3"/>
      <c r="R60" s="3"/>
      <c r="S60" s="3"/>
      <c r="T60" s="20"/>
      <c r="U60" s="3"/>
      <c r="V60" s="3"/>
      <c r="W60" s="3"/>
      <c r="X60" s="3"/>
      <c r="Y60" s="20"/>
      <c r="Z60" s="32"/>
      <c r="AA60" s="32"/>
      <c r="AB60" s="32"/>
      <c r="AC60" s="32"/>
      <c r="AD60" s="32"/>
      <c r="AE60" s="130"/>
      <c r="AF60" s="16"/>
      <c r="AG60" s="16"/>
      <c r="AH60" s="16"/>
      <c r="AI60" s="16"/>
      <c r="AJ60" s="16"/>
      <c r="AK60" s="32"/>
      <c r="AL60" s="16"/>
      <c r="AM60" s="16"/>
      <c r="AN60" s="16"/>
      <c r="AO60" s="16"/>
      <c r="AP60" s="16"/>
      <c r="AQ60" s="32"/>
      <c r="AR60" s="20"/>
      <c r="AS60" s="32"/>
      <c r="AT60" s="32"/>
      <c r="AU60" s="32"/>
      <c r="AV60" s="32"/>
      <c r="AW60" s="32"/>
    </row>
    <row r="61" spans="3:49" ht="16.2" thickTop="1" x14ac:dyDescent="0.35">
      <c r="C61" s="3"/>
      <c r="D61" s="3" t="s">
        <v>39</v>
      </c>
      <c r="E61" s="3" t="s">
        <v>40</v>
      </c>
      <c r="F61" s="6"/>
      <c r="G61" s="142">
        <f>IF(CLmax_Estimation!E32="","",SQRT(2*G15*9.80665  /  (G13*CLmax_Estimation!E32*G40)))</f>
        <v>78.129326565712248</v>
      </c>
      <c r="H61" s="143"/>
      <c r="I61" s="6" t="s">
        <v>41</v>
      </c>
      <c r="J61" s="6"/>
      <c r="K61" s="142">
        <f>G61*1/0.3048</f>
        <v>256.32981156729738</v>
      </c>
      <c r="L61" s="143"/>
      <c r="M61" s="6" t="s">
        <v>41</v>
      </c>
      <c r="N61" s="6"/>
      <c r="O61" s="18"/>
      <c r="P61" s="6"/>
      <c r="Q61" s="6"/>
      <c r="R61" s="6"/>
      <c r="S61" s="6"/>
      <c r="T61" s="18"/>
      <c r="U61" s="6"/>
      <c r="V61" s="6"/>
      <c r="W61" s="6"/>
      <c r="X61" s="6"/>
      <c r="Y61" s="24"/>
      <c r="Z61" s="16"/>
      <c r="AA61" s="16"/>
      <c r="AB61" s="16"/>
      <c r="AC61" s="13"/>
      <c r="AD61" s="32"/>
      <c r="AE61" s="130"/>
      <c r="AF61" s="16"/>
      <c r="AG61" s="16"/>
      <c r="AH61" s="16"/>
      <c r="AI61" s="16"/>
      <c r="AJ61" s="16"/>
      <c r="AK61" s="32"/>
      <c r="AL61" s="16"/>
      <c r="AM61" s="16"/>
      <c r="AN61" s="16"/>
      <c r="AO61" s="16"/>
      <c r="AP61" s="16"/>
      <c r="AQ61" s="32"/>
      <c r="AR61" s="24"/>
      <c r="AS61" s="16"/>
      <c r="AT61" s="16"/>
      <c r="AU61" s="16"/>
      <c r="AV61" s="13"/>
      <c r="AW61" s="32"/>
    </row>
    <row r="62" spans="3:49" ht="15" thickBot="1" x14ac:dyDescent="0.3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20"/>
      <c r="P62" s="3"/>
      <c r="Q62" s="3"/>
      <c r="R62" s="3"/>
      <c r="S62" s="3"/>
      <c r="T62" s="20"/>
      <c r="U62" s="3"/>
      <c r="V62" s="3"/>
      <c r="W62" s="3"/>
      <c r="X62" s="3"/>
      <c r="Y62" s="20"/>
      <c r="Z62" s="32"/>
      <c r="AA62" s="32"/>
      <c r="AB62" s="32"/>
      <c r="AC62" s="32"/>
      <c r="AD62" s="32"/>
      <c r="AE62" s="130"/>
      <c r="AF62" s="16"/>
      <c r="AG62" s="16"/>
      <c r="AH62" s="16"/>
      <c r="AI62" s="16"/>
      <c r="AJ62" s="16"/>
      <c r="AK62" s="32"/>
      <c r="AL62" s="16"/>
      <c r="AM62" s="16"/>
      <c r="AN62" s="16"/>
      <c r="AO62" s="16"/>
      <c r="AP62" s="16"/>
      <c r="AQ62" s="32"/>
      <c r="AR62" s="20"/>
      <c r="AS62" s="32"/>
      <c r="AT62" s="32"/>
      <c r="AU62" s="32"/>
      <c r="AV62" s="32"/>
      <c r="AW62" s="32"/>
    </row>
    <row r="63" spans="3:49" ht="16.2" thickTop="1" x14ac:dyDescent="0.35">
      <c r="C63" s="3"/>
      <c r="D63" s="3" t="s">
        <v>42</v>
      </c>
      <c r="E63" s="3" t="s">
        <v>43</v>
      </c>
      <c r="F63" s="6"/>
      <c r="G63" s="142">
        <f>IF(CLmax_Estimation!E32="","",1.2*G61)</f>
        <v>93.755191878854689</v>
      </c>
      <c r="H63" s="143"/>
      <c r="I63" s="6" t="s">
        <v>41</v>
      </c>
      <c r="J63" s="6"/>
      <c r="K63" s="142">
        <f>G63*1/0.3048</f>
        <v>307.59577388075684</v>
      </c>
      <c r="L63" s="143"/>
      <c r="M63" s="6" t="s">
        <v>41</v>
      </c>
      <c r="N63" s="6"/>
      <c r="O63" s="18"/>
      <c r="P63" s="6"/>
      <c r="Q63" s="6"/>
      <c r="R63" s="6"/>
      <c r="S63" s="6"/>
      <c r="T63" s="18"/>
      <c r="U63" s="6"/>
      <c r="V63" s="6"/>
      <c r="W63" s="6"/>
      <c r="X63" s="6"/>
      <c r="Y63" s="24"/>
      <c r="Z63" s="3" t="s">
        <v>43</v>
      </c>
      <c r="AA63" s="142">
        <f>G63</f>
        <v>93.755191878854689</v>
      </c>
      <c r="AB63" s="143"/>
      <c r="AC63" s="6" t="s">
        <v>41</v>
      </c>
      <c r="AD63" s="32"/>
      <c r="AE63" s="130"/>
      <c r="AF63" s="16"/>
      <c r="AG63" s="16"/>
      <c r="AH63" s="16"/>
      <c r="AI63" s="16"/>
      <c r="AJ63" s="16"/>
      <c r="AK63" s="32"/>
      <c r="AL63" s="16"/>
      <c r="AM63" s="16"/>
      <c r="AN63" s="16"/>
      <c r="AO63" s="16"/>
      <c r="AP63" s="16"/>
      <c r="AQ63" s="32"/>
      <c r="AR63" s="24"/>
      <c r="AS63" s="16"/>
      <c r="AT63" s="16"/>
      <c r="AU63" s="16"/>
      <c r="AV63" s="16"/>
      <c r="AW63" s="32"/>
    </row>
    <row r="64" spans="3:49" ht="15" thickBot="1" x14ac:dyDescent="0.3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20"/>
      <c r="P64" s="6"/>
      <c r="Q64" s="6"/>
      <c r="R64" s="3"/>
      <c r="S64" s="3"/>
      <c r="T64" s="20"/>
      <c r="U64" s="6"/>
      <c r="V64" s="6"/>
      <c r="W64" s="3"/>
      <c r="X64" s="3"/>
      <c r="Y64" s="20"/>
      <c r="Z64" s="32"/>
      <c r="AA64" s="32"/>
      <c r="AB64" s="32"/>
      <c r="AC64" s="32"/>
      <c r="AD64" s="32"/>
      <c r="AE64" s="124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20"/>
      <c r="AS64" s="32"/>
      <c r="AT64" s="32"/>
      <c r="AU64" s="32"/>
      <c r="AV64" s="32"/>
      <c r="AW64" s="32"/>
    </row>
    <row r="65" spans="3:49" ht="16.2" thickTop="1" x14ac:dyDescent="0.35">
      <c r="C65" s="3"/>
      <c r="D65" s="3" t="s">
        <v>45</v>
      </c>
      <c r="E65" s="3" t="s">
        <v>46</v>
      </c>
      <c r="F65" s="6"/>
      <c r="G65" s="142">
        <f>IF(CLmax_Estimation!E32="","",G63 - 3*0.514444444)</f>
        <v>92.211858546854685</v>
      </c>
      <c r="H65" s="143"/>
      <c r="I65" s="6" t="s">
        <v>41</v>
      </c>
      <c r="J65" s="6"/>
      <c r="K65" s="142">
        <f>G65*1/0.3048</f>
        <v>302.53234431382771</v>
      </c>
      <c r="L65" s="143"/>
      <c r="M65" s="6" t="s">
        <v>41</v>
      </c>
      <c r="N65" s="6"/>
      <c r="O65" s="18"/>
      <c r="P65" s="6"/>
      <c r="Q65" s="6"/>
      <c r="R65" s="6"/>
      <c r="S65" s="6"/>
      <c r="T65" s="18"/>
      <c r="U65" s="6"/>
      <c r="V65" s="6"/>
      <c r="W65" s="6"/>
      <c r="X65" s="6"/>
      <c r="Y65" s="24"/>
      <c r="Z65" s="3" t="s">
        <v>123</v>
      </c>
      <c r="AA65" s="142">
        <f>SQRT(0.5)*AA63</f>
        <v>66.294931948984086</v>
      </c>
      <c r="AB65" s="143"/>
      <c r="AC65" s="6" t="s">
        <v>41</v>
      </c>
      <c r="AD65" s="32"/>
      <c r="AE65" s="130"/>
      <c r="AF65" s="16"/>
      <c r="AG65" s="16"/>
      <c r="AH65" s="16"/>
      <c r="AI65" s="16"/>
      <c r="AJ65" s="16"/>
      <c r="AK65" s="32"/>
      <c r="AL65" s="16"/>
      <c r="AM65" s="16"/>
      <c r="AN65" s="16"/>
      <c r="AO65" s="16"/>
      <c r="AP65" s="16"/>
      <c r="AQ65" s="32"/>
      <c r="AR65" s="24"/>
      <c r="AS65" s="16"/>
      <c r="AT65" s="16"/>
      <c r="AU65" s="16"/>
      <c r="AV65" s="13"/>
      <c r="AW65" s="32"/>
    </row>
    <row r="66" spans="3:49" x14ac:dyDescent="0.3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20"/>
      <c r="P66" s="6"/>
      <c r="Q66" s="6"/>
      <c r="R66" s="3"/>
      <c r="S66" s="3"/>
      <c r="T66" s="20"/>
      <c r="U66" s="6"/>
      <c r="V66" s="6"/>
      <c r="W66" s="3"/>
      <c r="X66" s="3"/>
      <c r="Y66" s="20"/>
      <c r="Z66" s="32"/>
      <c r="AA66" s="32"/>
      <c r="AB66" s="32"/>
      <c r="AC66" s="32"/>
      <c r="AD66" s="32"/>
      <c r="AE66" s="124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20"/>
      <c r="AS66" s="32"/>
      <c r="AT66" s="32"/>
      <c r="AU66" s="32"/>
      <c r="AV66" s="32"/>
      <c r="AW66" s="32"/>
    </row>
    <row r="67" spans="3:49" x14ac:dyDescent="0.3">
      <c r="C67" s="3"/>
      <c r="D67" s="39" t="s">
        <v>70</v>
      </c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42"/>
      <c r="P67" s="6"/>
      <c r="Q67" s="6"/>
      <c r="R67" s="39"/>
      <c r="S67" s="39"/>
      <c r="T67" s="42"/>
      <c r="U67" s="6"/>
      <c r="V67" s="6"/>
      <c r="W67" s="39"/>
      <c r="X67" s="39"/>
      <c r="Y67" s="42"/>
      <c r="Z67" s="34"/>
      <c r="AA67" s="34"/>
      <c r="AB67" s="34"/>
      <c r="AC67" s="34"/>
      <c r="AD67" s="32"/>
      <c r="AE67" s="130"/>
      <c r="AF67" s="16"/>
      <c r="AG67" s="16"/>
      <c r="AH67" s="16"/>
      <c r="AI67" s="16"/>
      <c r="AJ67" s="13"/>
      <c r="AK67" s="32"/>
      <c r="AL67" s="16"/>
      <c r="AM67" s="16"/>
      <c r="AN67" s="16"/>
      <c r="AO67" s="16"/>
      <c r="AP67" s="13"/>
      <c r="AQ67" s="32"/>
      <c r="AR67" s="42"/>
      <c r="AS67" s="34"/>
      <c r="AT67" s="34"/>
      <c r="AU67" s="34"/>
      <c r="AV67" s="34"/>
      <c r="AW67" s="32"/>
    </row>
    <row r="68" spans="3:49" x14ac:dyDescent="0.3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20"/>
      <c r="P68" s="6"/>
      <c r="Q68" s="6"/>
      <c r="R68" s="3"/>
      <c r="S68" s="3"/>
      <c r="T68" s="20"/>
      <c r="U68" s="6"/>
      <c r="V68" s="6"/>
      <c r="W68" s="3"/>
      <c r="X68" s="3"/>
      <c r="Y68" s="20"/>
      <c r="Z68" s="32"/>
      <c r="AA68" s="32"/>
      <c r="AB68" s="32"/>
      <c r="AC68" s="32"/>
      <c r="AD68" s="32"/>
      <c r="AE68" s="130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24"/>
      <c r="AS68" s="16"/>
      <c r="AT68" s="16"/>
      <c r="AU68" s="16"/>
      <c r="AV68" s="16"/>
    </row>
    <row r="69" spans="3:49" ht="15.6" x14ac:dyDescent="0.35">
      <c r="C69" s="3"/>
      <c r="D69" s="47"/>
      <c r="E69" s="3"/>
      <c r="F69" s="3"/>
      <c r="G69" s="3"/>
      <c r="H69" s="3"/>
      <c r="I69" s="3"/>
      <c r="J69" s="3"/>
      <c r="K69" s="3"/>
      <c r="L69" s="3"/>
      <c r="M69" s="3"/>
      <c r="N69" s="3"/>
      <c r="O69" s="20"/>
      <c r="P69" s="6"/>
      <c r="Q69" s="6"/>
      <c r="R69" s="47"/>
      <c r="S69" s="47"/>
      <c r="T69" s="20"/>
      <c r="U69" s="6"/>
      <c r="V69" s="6"/>
      <c r="W69" s="47"/>
      <c r="X69" s="47"/>
      <c r="Y69" s="156" t="s">
        <v>52</v>
      </c>
      <c r="Z69" s="157"/>
      <c r="AA69" s="157"/>
      <c r="AB69" s="157"/>
      <c r="AC69" s="157"/>
      <c r="AD69" s="47"/>
      <c r="AE69" s="130"/>
      <c r="AF69" s="34"/>
      <c r="AG69" s="34"/>
      <c r="AH69" s="34"/>
      <c r="AI69" s="34"/>
      <c r="AJ69" s="34"/>
      <c r="AK69" s="32"/>
      <c r="AL69" s="34"/>
      <c r="AM69" s="34"/>
      <c r="AN69" s="34"/>
      <c r="AO69" s="34"/>
      <c r="AP69" s="34"/>
      <c r="AQ69" s="32"/>
      <c r="AR69" s="20"/>
      <c r="AS69" s="32"/>
      <c r="AT69" s="32"/>
      <c r="AU69" s="32"/>
      <c r="AV69" s="32"/>
    </row>
    <row r="70" spans="3:49" ht="15" thickBot="1" x14ac:dyDescent="0.35">
      <c r="C70" s="3"/>
      <c r="D70" s="47"/>
      <c r="E70" s="3"/>
      <c r="F70" s="3"/>
      <c r="G70" s="3"/>
      <c r="H70" s="3"/>
      <c r="I70" s="3"/>
      <c r="J70" s="3"/>
      <c r="K70" s="3"/>
      <c r="L70" s="3"/>
      <c r="M70" s="3"/>
      <c r="N70" s="3"/>
      <c r="O70" s="20"/>
      <c r="P70" s="6"/>
      <c r="Q70" s="6"/>
      <c r="R70" s="47"/>
      <c r="S70" s="47"/>
      <c r="T70" s="20"/>
      <c r="U70" s="6"/>
      <c r="V70" s="6"/>
      <c r="W70" s="47"/>
      <c r="X70" s="47"/>
      <c r="Y70" s="25"/>
      <c r="Z70" s="47"/>
      <c r="AA70" s="47"/>
      <c r="AB70" s="47"/>
      <c r="AC70" s="47"/>
      <c r="AD70" s="3"/>
      <c r="AE70" s="130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20"/>
      <c r="AS70" s="32"/>
      <c r="AT70" s="32"/>
      <c r="AU70" s="32"/>
      <c r="AV70" s="32"/>
      <c r="AW70" s="32"/>
    </row>
    <row r="71" spans="3:49" ht="15" thickTop="1" x14ac:dyDescent="0.3">
      <c r="C71" s="3"/>
      <c r="D71" s="47"/>
      <c r="E71" s="3"/>
      <c r="F71" s="3"/>
      <c r="G71" s="3"/>
      <c r="H71" s="3"/>
      <c r="I71" s="3"/>
      <c r="J71" s="3"/>
      <c r="K71" s="3"/>
      <c r="L71" s="3"/>
      <c r="M71" s="3"/>
      <c r="N71" s="3"/>
      <c r="O71" s="20"/>
      <c r="P71" s="6"/>
      <c r="Q71" s="6"/>
      <c r="R71" s="6"/>
      <c r="S71" s="6"/>
      <c r="T71" s="20"/>
      <c r="U71" s="6"/>
      <c r="V71" s="6"/>
      <c r="W71" s="6"/>
      <c r="X71" s="6"/>
      <c r="Y71" s="25"/>
      <c r="Z71" s="32" t="s">
        <v>53</v>
      </c>
      <c r="AA71" s="158">
        <f>2.44*10^-4*AA23+1.66*10^-3</f>
        <v>3.2459999999999998E-3</v>
      </c>
      <c r="AB71" s="159"/>
      <c r="AC71" s="6" t="s">
        <v>50</v>
      </c>
      <c r="AD71" s="3"/>
      <c r="AE71" s="130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156"/>
      <c r="AS71" s="157"/>
      <c r="AT71" s="157"/>
      <c r="AU71" s="157"/>
      <c r="AV71" s="157"/>
      <c r="AW71" s="157"/>
    </row>
    <row r="72" spans="3:49" ht="15" thickBot="1" x14ac:dyDescent="0.35">
      <c r="C72" s="3"/>
      <c r="D72" s="47"/>
      <c r="E72" s="3"/>
      <c r="F72" s="3"/>
      <c r="G72" s="3"/>
      <c r="H72" s="3"/>
      <c r="I72" s="3"/>
      <c r="J72" s="3"/>
      <c r="K72" s="3"/>
      <c r="L72" s="3"/>
      <c r="M72" s="3"/>
      <c r="N72" s="3"/>
      <c r="O72" s="20"/>
      <c r="P72" s="6"/>
      <c r="Q72" s="6"/>
      <c r="R72" s="3"/>
      <c r="S72" s="3"/>
      <c r="T72" s="20"/>
      <c r="U72" s="6"/>
      <c r="V72" s="6"/>
      <c r="W72" s="3"/>
      <c r="X72" s="3"/>
      <c r="Y72" s="25"/>
      <c r="Z72" s="32"/>
      <c r="AA72" s="10"/>
      <c r="AB72" s="10"/>
      <c r="AC72" s="3"/>
      <c r="AD72" s="3"/>
      <c r="AE72" s="130"/>
      <c r="AF72" s="47"/>
      <c r="AG72" s="47"/>
      <c r="AH72" s="47"/>
      <c r="AI72" s="47"/>
      <c r="AJ72" s="47"/>
      <c r="AK72" s="3"/>
      <c r="AL72" s="98"/>
      <c r="AM72" s="98"/>
      <c r="AN72" s="98"/>
      <c r="AO72" s="98"/>
      <c r="AP72" s="98"/>
      <c r="AQ72" s="3"/>
      <c r="AR72" s="25"/>
      <c r="AS72" s="34"/>
      <c r="AT72" s="34"/>
      <c r="AU72" s="34"/>
      <c r="AV72" s="34"/>
      <c r="AW72" s="3"/>
    </row>
    <row r="73" spans="3:49" ht="15" thickTop="1" x14ac:dyDescent="0.3">
      <c r="C73" s="3"/>
      <c r="D73" s="47"/>
      <c r="E73" s="3"/>
      <c r="F73" s="3"/>
      <c r="G73" s="3"/>
      <c r="H73" s="3"/>
      <c r="I73" s="3"/>
      <c r="J73" s="3"/>
      <c r="K73" s="3"/>
      <c r="L73" s="3"/>
      <c r="M73" s="3"/>
      <c r="N73" s="3"/>
      <c r="O73" s="20"/>
      <c r="P73" s="6"/>
      <c r="Q73" s="6"/>
      <c r="R73" s="6"/>
      <c r="S73" s="6"/>
      <c r="T73" s="20"/>
      <c r="U73" s="6"/>
      <c r="V73" s="6"/>
      <c r="W73" s="6"/>
      <c r="X73" s="6"/>
      <c r="Y73" s="25"/>
      <c r="Z73" s="32" t="s">
        <v>54</v>
      </c>
      <c r="AA73" s="158">
        <f>6.16*10^-7*AA23+4.08*10^-6</f>
        <v>8.0839999999999992E-6</v>
      </c>
      <c r="AB73" s="159"/>
      <c r="AC73" s="6" t="s">
        <v>50</v>
      </c>
      <c r="AD73" s="3"/>
      <c r="AE73" s="130"/>
      <c r="AF73" s="47"/>
      <c r="AG73" s="34"/>
      <c r="AH73" s="34"/>
      <c r="AI73" s="34"/>
      <c r="AJ73" s="34"/>
      <c r="AK73" s="3"/>
      <c r="AL73" s="98"/>
      <c r="AM73" s="34"/>
      <c r="AN73" s="34"/>
      <c r="AO73" s="34"/>
      <c r="AP73" s="34"/>
      <c r="AQ73" s="3"/>
      <c r="AR73" s="25"/>
      <c r="AS73" s="34"/>
      <c r="AT73" s="34"/>
      <c r="AU73" s="34"/>
      <c r="AV73" s="34"/>
      <c r="AW73" s="3"/>
    </row>
    <row r="74" spans="3:49" ht="15" thickBot="1" x14ac:dyDescent="0.35">
      <c r="C74" s="3"/>
      <c r="D74" s="47"/>
      <c r="E74" s="3"/>
      <c r="F74" s="3"/>
      <c r="G74" s="3"/>
      <c r="H74" s="3"/>
      <c r="I74" s="3"/>
      <c r="J74" s="3"/>
      <c r="K74" s="3"/>
      <c r="L74" s="3"/>
      <c r="M74" s="3"/>
      <c r="N74" s="3"/>
      <c r="O74" s="20"/>
      <c r="P74" s="6"/>
      <c r="Q74" s="6"/>
      <c r="R74" s="3"/>
      <c r="S74" s="3"/>
      <c r="T74" s="20"/>
      <c r="U74" s="6"/>
      <c r="V74" s="6"/>
      <c r="W74" s="3"/>
      <c r="X74" s="3"/>
      <c r="Y74" s="25"/>
      <c r="Z74" s="32"/>
      <c r="AA74" s="3"/>
      <c r="AB74" s="3"/>
      <c r="AC74" s="3"/>
      <c r="AD74" s="3"/>
      <c r="AE74" s="130"/>
      <c r="AF74" s="47"/>
      <c r="AG74" s="34"/>
      <c r="AH74" s="34"/>
      <c r="AI74" s="34"/>
      <c r="AJ74" s="34"/>
      <c r="AK74" s="3"/>
      <c r="AL74" s="98"/>
      <c r="AM74" s="34"/>
      <c r="AN74" s="34"/>
      <c r="AO74" s="34"/>
      <c r="AP74" s="34"/>
      <c r="AQ74" s="3"/>
      <c r="AR74" s="25"/>
      <c r="AS74" s="34"/>
      <c r="AT74" s="34"/>
      <c r="AU74" s="34"/>
      <c r="AV74" s="34"/>
      <c r="AW74" s="3"/>
    </row>
    <row r="75" spans="3:49" ht="16.2" thickTop="1" x14ac:dyDescent="0.35">
      <c r="C75" s="3"/>
      <c r="D75" s="47"/>
      <c r="E75" s="6"/>
      <c r="F75" s="6"/>
      <c r="G75" s="6"/>
      <c r="H75" s="6"/>
      <c r="I75" s="6"/>
      <c r="J75" s="6"/>
      <c r="K75" s="6"/>
      <c r="L75" s="6"/>
      <c r="M75" s="6"/>
      <c r="N75" s="6"/>
      <c r="O75" s="18"/>
      <c r="P75" s="6"/>
      <c r="Q75" s="6"/>
      <c r="R75" s="6"/>
      <c r="S75" s="6"/>
      <c r="T75" s="18"/>
      <c r="U75" s="6"/>
      <c r="V75" s="6"/>
      <c r="W75" s="6"/>
      <c r="X75" s="6"/>
      <c r="Y75" s="25"/>
      <c r="Z75" s="32" t="s">
        <v>51</v>
      </c>
      <c r="AA75" s="152">
        <f>(AA27*G21*(1-AA71*(0.7*AA63)+AA73*(0.7*AA63)^2))*0.2248089431</f>
        <v>111807.87668308045</v>
      </c>
      <c r="AB75" s="153"/>
      <c r="AC75" s="6" t="s">
        <v>64</v>
      </c>
      <c r="AD75" s="3"/>
      <c r="AE75" s="130"/>
      <c r="AF75" s="47"/>
      <c r="AG75" s="34"/>
      <c r="AH75" s="34"/>
      <c r="AI75" s="34"/>
      <c r="AJ75" s="34"/>
      <c r="AK75" s="3"/>
      <c r="AL75" s="98"/>
      <c r="AM75" s="34"/>
      <c r="AN75" s="34"/>
      <c r="AO75" s="34"/>
      <c r="AP75" s="34"/>
      <c r="AQ75" s="3"/>
      <c r="AR75" s="25"/>
      <c r="AS75" s="34"/>
      <c r="AT75" s="34"/>
      <c r="AU75" s="34"/>
      <c r="AV75" s="34"/>
      <c r="AW75" s="3"/>
    </row>
    <row r="76" spans="3:49" ht="15" thickBot="1" x14ac:dyDescent="0.35">
      <c r="C76" s="3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25"/>
      <c r="P76" s="47"/>
      <c r="Q76" s="47"/>
      <c r="R76" s="47"/>
      <c r="S76" s="47"/>
      <c r="T76" s="25"/>
      <c r="U76" s="47"/>
      <c r="V76" s="47"/>
      <c r="W76" s="47"/>
      <c r="X76" s="47"/>
      <c r="Y76" s="25"/>
      <c r="Z76" s="54"/>
      <c r="AA76" s="54"/>
      <c r="AB76" s="47"/>
      <c r="AC76" s="47"/>
      <c r="AD76" s="3"/>
      <c r="AE76" s="130"/>
      <c r="AF76" s="47"/>
      <c r="AG76" s="34"/>
      <c r="AH76" s="34"/>
      <c r="AI76" s="34"/>
      <c r="AJ76" s="34"/>
      <c r="AK76" s="3"/>
      <c r="AL76" s="98"/>
      <c r="AM76" s="34"/>
      <c r="AN76" s="34"/>
      <c r="AO76" s="34"/>
      <c r="AP76" s="34"/>
      <c r="AQ76" s="3"/>
      <c r="AR76" s="25"/>
      <c r="AS76" s="34"/>
      <c r="AT76" s="34"/>
      <c r="AU76" s="34"/>
      <c r="AV76" s="34"/>
      <c r="AW76" s="3"/>
    </row>
    <row r="77" spans="3:49" ht="16.2" thickTop="1" x14ac:dyDescent="0.35">
      <c r="C77" s="3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25"/>
      <c r="P77" s="47"/>
      <c r="Q77" s="47"/>
      <c r="R77" s="47"/>
      <c r="S77" s="47"/>
      <c r="T77" s="25"/>
      <c r="U77" s="47"/>
      <c r="V77" s="47"/>
      <c r="W77" s="47"/>
      <c r="X77" s="47"/>
      <c r="Y77" s="25"/>
      <c r="Z77" s="32" t="s">
        <v>127</v>
      </c>
      <c r="AA77" s="152">
        <f>AA21*AA27</f>
        <v>136054.37236412</v>
      </c>
      <c r="AB77" s="153"/>
      <c r="AC77" s="6" t="s">
        <v>64</v>
      </c>
      <c r="AD77" s="3"/>
      <c r="AE77" s="130"/>
      <c r="AF77" s="47"/>
      <c r="AG77" s="34"/>
      <c r="AH77" s="34"/>
      <c r="AI77" s="34"/>
      <c r="AJ77" s="34"/>
      <c r="AK77" s="3"/>
      <c r="AL77" s="98"/>
      <c r="AM77" s="34"/>
      <c r="AN77" s="34"/>
      <c r="AO77" s="34"/>
      <c r="AP77" s="34"/>
      <c r="AQ77" s="3"/>
      <c r="AR77" s="25"/>
      <c r="AS77" s="34"/>
      <c r="AT77" s="34"/>
      <c r="AU77" s="34"/>
      <c r="AV77" s="34"/>
      <c r="AW77" s="3"/>
    </row>
    <row r="78" spans="3:49" x14ac:dyDescent="0.3">
      <c r="C78" s="3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25"/>
      <c r="P78" s="47"/>
      <c r="Q78" s="47"/>
      <c r="R78" s="47"/>
      <c r="S78" s="47"/>
      <c r="T78" s="25"/>
      <c r="U78" s="47"/>
      <c r="V78" s="47"/>
      <c r="W78" s="47"/>
      <c r="X78" s="47"/>
      <c r="Y78" s="25"/>
      <c r="Z78" s="32"/>
      <c r="AA78" s="14"/>
      <c r="AB78" s="14"/>
      <c r="AC78" s="6"/>
      <c r="AD78" s="3"/>
      <c r="AE78" s="130"/>
      <c r="AF78" s="47"/>
      <c r="AG78" s="34"/>
      <c r="AH78" s="34"/>
      <c r="AI78" s="34"/>
      <c r="AJ78" s="34"/>
      <c r="AK78" s="3"/>
      <c r="AL78" s="98"/>
      <c r="AM78" s="34"/>
      <c r="AN78" s="34"/>
      <c r="AO78" s="34"/>
      <c r="AP78" s="34"/>
      <c r="AQ78" s="3"/>
      <c r="AR78" s="25"/>
      <c r="AS78" s="34"/>
      <c r="AT78" s="34"/>
      <c r="AU78" s="34"/>
      <c r="AV78" s="34"/>
      <c r="AW78" s="3"/>
    </row>
    <row r="79" spans="3:49" x14ac:dyDescent="0.3">
      <c r="C79" s="3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25"/>
      <c r="P79" s="47"/>
      <c r="Q79" s="47"/>
      <c r="R79" s="47"/>
      <c r="S79" s="47"/>
      <c r="T79" s="25"/>
      <c r="U79" s="47"/>
      <c r="V79" s="47"/>
      <c r="W79" s="47"/>
      <c r="X79" s="47"/>
      <c r="Y79" s="25"/>
      <c r="Z79" s="32"/>
      <c r="AA79" s="32"/>
      <c r="AB79" s="32"/>
      <c r="AC79" s="32"/>
      <c r="AD79" s="3"/>
      <c r="AE79" s="130"/>
      <c r="AF79" s="47"/>
      <c r="AG79" s="34"/>
      <c r="AH79" s="34"/>
      <c r="AI79" s="34"/>
      <c r="AJ79" s="34"/>
      <c r="AK79" s="3"/>
      <c r="AL79" s="98"/>
      <c r="AM79" s="34"/>
      <c r="AN79" s="34"/>
      <c r="AO79" s="34"/>
      <c r="AP79" s="34"/>
      <c r="AQ79" s="3"/>
      <c r="AR79" s="25"/>
      <c r="AS79" s="34"/>
      <c r="AT79" s="34"/>
      <c r="AU79" s="34"/>
      <c r="AV79" s="34"/>
      <c r="AW79" s="3"/>
    </row>
    <row r="80" spans="3:49" ht="21" x14ac:dyDescent="0.4">
      <c r="C80" s="3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25"/>
      <c r="P80" s="47"/>
      <c r="Q80" s="140" t="s">
        <v>147</v>
      </c>
      <c r="R80" s="140"/>
      <c r="S80" s="28"/>
      <c r="T80" s="25"/>
      <c r="U80" s="47"/>
      <c r="V80" s="140" t="s">
        <v>67</v>
      </c>
      <c r="W80" s="140"/>
      <c r="X80" s="28"/>
      <c r="Y80" s="154" t="s">
        <v>68</v>
      </c>
      <c r="Z80" s="155"/>
      <c r="AA80" s="140"/>
      <c r="AB80" s="140"/>
      <c r="AC80" s="140"/>
      <c r="AD80" s="4"/>
      <c r="AE80" s="130"/>
      <c r="AF80" s="98"/>
      <c r="AG80" s="115"/>
      <c r="AH80" s="115"/>
      <c r="AI80" s="115" t="s">
        <v>145</v>
      </c>
      <c r="AJ80" s="115"/>
      <c r="AK80" s="3"/>
      <c r="AL80" s="98"/>
      <c r="AM80" s="115"/>
      <c r="AN80" s="115"/>
      <c r="AO80" s="115" t="s">
        <v>153</v>
      </c>
      <c r="AP80" s="115"/>
      <c r="AQ80" s="3"/>
      <c r="AR80" s="154" t="s">
        <v>145</v>
      </c>
      <c r="AS80" s="155"/>
      <c r="AT80" s="140"/>
      <c r="AU80" s="140"/>
      <c r="AV80" s="140"/>
      <c r="AW80" s="4"/>
    </row>
    <row r="81" spans="3:49" x14ac:dyDescent="0.3">
      <c r="C81" s="3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41"/>
      <c r="P81" s="38"/>
      <c r="Q81" s="38"/>
      <c r="R81" s="38"/>
      <c r="S81" s="38"/>
      <c r="T81" s="41"/>
      <c r="U81" s="38"/>
      <c r="V81" s="38"/>
      <c r="W81" s="38"/>
      <c r="X81" s="38"/>
      <c r="Y81" s="41"/>
      <c r="Z81" s="38"/>
      <c r="AA81" s="55"/>
      <c r="AB81" s="38"/>
      <c r="AC81" s="38"/>
      <c r="AD81" s="3"/>
      <c r="AE81" s="130"/>
      <c r="AF81" s="38"/>
      <c r="AG81" s="38"/>
      <c r="AH81" s="38"/>
      <c r="AI81" s="38"/>
      <c r="AJ81" s="38"/>
      <c r="AK81" s="3"/>
      <c r="AL81" s="38"/>
      <c r="AM81" s="38"/>
      <c r="AN81" s="38"/>
      <c r="AO81" s="38"/>
      <c r="AP81" s="38"/>
      <c r="AQ81" s="3"/>
      <c r="AR81" s="41"/>
      <c r="AS81" s="38"/>
      <c r="AT81" s="38"/>
      <c r="AU81" s="38"/>
      <c r="AV81" s="38"/>
      <c r="AW81" s="3"/>
    </row>
    <row r="82" spans="3:49" x14ac:dyDescent="0.3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40"/>
      <c r="P82" s="49"/>
      <c r="Q82" s="49"/>
      <c r="R82" s="49"/>
      <c r="S82" s="49"/>
      <c r="T82" s="40"/>
      <c r="U82" s="49"/>
      <c r="V82" s="49"/>
      <c r="W82" s="49"/>
      <c r="X82" s="49"/>
      <c r="Y82" s="40"/>
      <c r="Z82" s="49"/>
      <c r="AA82" s="49"/>
      <c r="AB82" s="49"/>
      <c r="AC82" s="49"/>
      <c r="AD82" s="3"/>
      <c r="AE82" s="130"/>
      <c r="AF82" s="49"/>
      <c r="AG82" s="49"/>
      <c r="AH82" s="49"/>
      <c r="AI82" s="49"/>
      <c r="AJ82" s="49"/>
      <c r="AK82" s="3"/>
      <c r="AL82" s="49"/>
      <c r="AM82" s="49"/>
      <c r="AN82" s="49"/>
      <c r="AO82" s="49"/>
      <c r="AP82" s="49"/>
      <c r="AQ82" s="3"/>
      <c r="AR82" s="40"/>
      <c r="AS82" s="49"/>
      <c r="AT82" s="49"/>
      <c r="AU82" s="49"/>
      <c r="AV82" s="49"/>
      <c r="AW82" s="3"/>
    </row>
    <row r="83" spans="3:49" ht="15" thickBot="1" x14ac:dyDescent="0.3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20"/>
      <c r="P83" s="141" t="s">
        <v>44</v>
      </c>
      <c r="Q83" s="141"/>
      <c r="R83" s="141"/>
      <c r="S83" s="141"/>
      <c r="T83" s="20"/>
      <c r="U83" s="141" t="s">
        <v>44</v>
      </c>
      <c r="V83" s="141"/>
      <c r="W83" s="141"/>
      <c r="X83" s="141"/>
      <c r="Y83" s="20"/>
      <c r="Z83" s="141" t="s">
        <v>44</v>
      </c>
      <c r="AA83" s="141"/>
      <c r="AB83" s="141"/>
      <c r="AC83" s="141"/>
      <c r="AD83" s="32"/>
      <c r="AE83" s="130"/>
      <c r="AF83" s="32"/>
      <c r="AG83" s="32"/>
      <c r="AH83" s="136" t="s">
        <v>44</v>
      </c>
      <c r="AI83" s="136"/>
      <c r="AJ83" s="47"/>
      <c r="AK83" s="3"/>
      <c r="AL83" s="32"/>
      <c r="AM83" s="32"/>
      <c r="AN83" s="136" t="s">
        <v>44</v>
      </c>
      <c r="AO83" s="136"/>
      <c r="AP83" s="98"/>
      <c r="AQ83" s="3"/>
      <c r="AR83" s="20"/>
      <c r="AS83" s="141" t="s">
        <v>44</v>
      </c>
      <c r="AT83" s="141"/>
      <c r="AU83" s="141"/>
      <c r="AV83" s="141"/>
      <c r="AW83" s="32"/>
    </row>
    <row r="84" spans="3:49" ht="17.399999999999999" thickTop="1" x14ac:dyDescent="0.3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20"/>
      <c r="P84" s="30" t="s">
        <v>62</v>
      </c>
      <c r="Q84" s="142">
        <f>1/(V42*V55)  *  (V46/V50)</f>
        <v>1463.1406310495397</v>
      </c>
      <c r="R84" s="143"/>
      <c r="S84" s="6" t="s">
        <v>106</v>
      </c>
      <c r="T84" s="20"/>
      <c r="U84" s="30" t="s">
        <v>62</v>
      </c>
      <c r="V84" s="142">
        <f>1/(V42*V55)  *  (V46/V50)</f>
        <v>1463.1406310495397</v>
      </c>
      <c r="W84" s="143"/>
      <c r="X84" s="6" t="s">
        <v>106</v>
      </c>
      <c r="Y84" s="24"/>
      <c r="Z84" s="56" t="s">
        <v>49</v>
      </c>
      <c r="AA84" s="142">
        <f>AA19^2   /    (AA42*AA55*AA13*AA75)</f>
        <v>364.6624108764895</v>
      </c>
      <c r="AB84" s="143"/>
      <c r="AC84" s="6" t="s">
        <v>103</v>
      </c>
      <c r="AD84" s="32"/>
      <c r="AE84" s="130"/>
      <c r="AF84" s="16"/>
      <c r="AG84" s="56" t="s">
        <v>76</v>
      </c>
      <c r="AH84" s="142">
        <f>(AH19/AH13)   /    (AH42*AH55*AH50)</f>
        <v>14348.508069481966</v>
      </c>
      <c r="AI84" s="143"/>
      <c r="AJ84" s="6" t="s">
        <v>129</v>
      </c>
      <c r="AK84" s="32"/>
      <c r="AL84" s="16"/>
      <c r="AM84" s="56" t="s">
        <v>76</v>
      </c>
      <c r="AN84" s="142">
        <f>(AN19/AN13)   /    (AN42*AN55*AN50)</f>
        <v>14348.508069481966</v>
      </c>
      <c r="AO84" s="143"/>
      <c r="AP84" s="6" t="s">
        <v>129</v>
      </c>
      <c r="AQ84" s="32"/>
      <c r="AR84" s="24"/>
      <c r="AS84" s="56" t="s">
        <v>76</v>
      </c>
      <c r="AT84" s="142">
        <f>AT46   /    (AT42*AT55*AT50)</f>
        <v>299.6748310977967</v>
      </c>
      <c r="AU84" s="143"/>
      <c r="AV84" s="6" t="s">
        <v>103</v>
      </c>
      <c r="AW84" s="32"/>
    </row>
    <row r="85" spans="3:49" x14ac:dyDescent="0.3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20"/>
      <c r="P85" s="3"/>
      <c r="Q85" s="3"/>
      <c r="R85" s="3"/>
      <c r="S85" s="3"/>
      <c r="T85" s="20"/>
      <c r="U85" s="3"/>
      <c r="V85" s="3"/>
      <c r="W85" s="3"/>
      <c r="X85" s="3"/>
      <c r="Y85" s="20"/>
      <c r="Z85" s="32"/>
      <c r="AA85" s="3"/>
      <c r="AB85" s="3"/>
      <c r="AC85" s="3"/>
      <c r="AD85" s="32"/>
      <c r="AE85" s="130"/>
      <c r="AF85" s="32"/>
      <c r="AG85" s="32"/>
      <c r="AH85" s="3"/>
      <c r="AI85" s="3"/>
      <c r="AJ85" s="3"/>
      <c r="AK85" s="32"/>
      <c r="AL85" s="32"/>
      <c r="AM85" s="32"/>
      <c r="AN85" s="3"/>
      <c r="AO85" s="3"/>
      <c r="AP85" s="3"/>
      <c r="AQ85" s="32"/>
      <c r="AR85" s="20"/>
      <c r="AS85" s="32"/>
      <c r="AT85" s="3"/>
      <c r="AU85" s="3"/>
      <c r="AV85" s="3"/>
      <c r="AW85" s="32"/>
    </row>
    <row r="86" spans="3:49" x14ac:dyDescent="0.3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20"/>
      <c r="P86" s="3"/>
      <c r="Q86" s="38"/>
      <c r="R86" s="38"/>
      <c r="S86" s="38"/>
      <c r="T86" s="20"/>
      <c r="U86" s="3"/>
      <c r="V86" s="38"/>
      <c r="W86" s="38"/>
      <c r="X86" s="38"/>
      <c r="Y86" s="41"/>
      <c r="Z86" s="38"/>
      <c r="AA86" s="38"/>
      <c r="AB86" s="38"/>
      <c r="AC86" s="38"/>
      <c r="AD86" s="32"/>
      <c r="AE86" s="130"/>
      <c r="AF86" s="38"/>
      <c r="AG86" s="38"/>
      <c r="AH86" s="38"/>
      <c r="AI86" s="38"/>
      <c r="AJ86" s="38"/>
      <c r="AK86" s="32"/>
      <c r="AL86" s="38"/>
      <c r="AM86" s="38"/>
      <c r="AN86" s="38"/>
      <c r="AO86" s="38"/>
      <c r="AP86" s="38"/>
      <c r="AQ86" s="32"/>
      <c r="AR86" s="41"/>
      <c r="AS86" s="38"/>
      <c r="AT86" s="38"/>
      <c r="AU86" s="38"/>
      <c r="AV86" s="38"/>
      <c r="AW86" s="32"/>
    </row>
    <row r="87" spans="3:49" ht="15" thickBot="1" x14ac:dyDescent="0.35">
      <c r="C87" s="3"/>
      <c r="D87" s="3"/>
      <c r="E87" s="47"/>
      <c r="F87" s="47"/>
      <c r="G87" s="3"/>
      <c r="H87" s="47"/>
      <c r="I87" s="47"/>
      <c r="J87" s="47"/>
      <c r="K87" s="47"/>
      <c r="L87" s="47"/>
      <c r="M87" s="47"/>
      <c r="N87" s="47"/>
      <c r="O87" s="25"/>
      <c r="P87" s="144" t="s">
        <v>47</v>
      </c>
      <c r="Q87" s="144"/>
      <c r="R87" s="144"/>
      <c r="S87" s="145"/>
      <c r="T87" s="25"/>
      <c r="U87" s="144" t="s">
        <v>47</v>
      </c>
      <c r="V87" s="144"/>
      <c r="W87" s="144"/>
      <c r="X87" s="145"/>
      <c r="Y87" s="25"/>
      <c r="Z87" s="144" t="s">
        <v>47</v>
      </c>
      <c r="AA87" s="144"/>
      <c r="AB87" s="144"/>
      <c r="AC87" s="144"/>
      <c r="AD87" s="32"/>
      <c r="AE87" s="130"/>
      <c r="AF87" s="47"/>
      <c r="AG87" s="48"/>
      <c r="AH87" s="137" t="s">
        <v>47</v>
      </c>
      <c r="AI87" s="137"/>
      <c r="AJ87" s="48"/>
      <c r="AK87" s="32"/>
      <c r="AL87" s="98"/>
      <c r="AM87" s="97"/>
      <c r="AN87" s="137" t="s">
        <v>47</v>
      </c>
      <c r="AO87" s="137"/>
      <c r="AP87" s="97"/>
      <c r="AQ87" s="32"/>
      <c r="AR87" s="25"/>
      <c r="AS87" s="144" t="s">
        <v>47</v>
      </c>
      <c r="AT87" s="144"/>
      <c r="AU87" s="144"/>
      <c r="AV87" s="144"/>
      <c r="AW87" s="32"/>
    </row>
    <row r="88" spans="3:49" ht="19.2" thickTop="1" thickBot="1" x14ac:dyDescent="0.4">
      <c r="C88" s="3"/>
      <c r="D88" s="11"/>
      <c r="E88" s="47"/>
      <c r="F88" s="47"/>
      <c r="G88" s="3"/>
      <c r="H88" s="47"/>
      <c r="I88" s="6"/>
      <c r="J88" s="6"/>
      <c r="K88" s="6"/>
      <c r="L88" s="6"/>
      <c r="M88" s="6"/>
      <c r="N88" s="6"/>
      <c r="O88" s="25"/>
      <c r="P88" s="3" t="s">
        <v>48</v>
      </c>
      <c r="Q88" s="146">
        <f>Q89*1/0.3048</f>
        <v>10787.834067745855</v>
      </c>
      <c r="R88" s="147"/>
      <c r="S88" s="6" t="s">
        <v>101</v>
      </c>
      <c r="T88" s="25"/>
      <c r="U88" s="3" t="s">
        <v>48</v>
      </c>
      <c r="V88" s="138">
        <f>V89*1/0.3048</f>
        <v>11232.772561207095</v>
      </c>
      <c r="W88" s="139"/>
      <c r="X88" s="6" t="s">
        <v>101</v>
      </c>
      <c r="Y88" s="25"/>
      <c r="Z88" s="3" t="s">
        <v>48</v>
      </c>
      <c r="AA88" s="138">
        <f>IF(AA27=2,    857.4    +28.43*AA84  +0.0185*AA84^2,
IF(AA27=3,      667.9    +29.91*AA84  +0.0123*AA84^2,
IF(AA27=4,     486.7     +26.2*AA84     +0.0093*AA84^2,
1)))</f>
        <v>11277.556832292184</v>
      </c>
      <c r="AB88" s="139"/>
      <c r="AC88" s="6" t="s">
        <v>101</v>
      </c>
      <c r="AD88" s="32"/>
      <c r="AE88" s="130"/>
      <c r="AF88" s="47"/>
      <c r="AG88" s="3" t="s">
        <v>48</v>
      </c>
      <c r="AH88" s="150">
        <f>AH89/0.3048</f>
        <v>7523.7827725510615</v>
      </c>
      <c r="AI88" s="151"/>
      <c r="AJ88" s="6" t="s">
        <v>101</v>
      </c>
      <c r="AK88" s="32"/>
      <c r="AL88" s="98"/>
      <c r="AM88" s="3" t="s">
        <v>48</v>
      </c>
      <c r="AN88" s="150">
        <f>AN89/0.3048</f>
        <v>9899.7141744092914</v>
      </c>
      <c r="AO88" s="151"/>
      <c r="AP88" s="6" t="s">
        <v>101</v>
      </c>
      <c r="AQ88" s="32"/>
      <c r="AR88" s="25"/>
      <c r="AS88" s="3" t="s">
        <v>48</v>
      </c>
      <c r="AT88" s="146">
        <f>IF(AT27=2,   37.7*AT84,
IF(AT27=3,     28.5*AT84,
IF(AT27=4,     25.1*AT84,
1)))</f>
        <v>7521.8382605546976</v>
      </c>
      <c r="AU88" s="147"/>
      <c r="AV88" s="6" t="s">
        <v>101</v>
      </c>
      <c r="AW88" s="32"/>
    </row>
    <row r="89" spans="3:49" ht="18.600000000000001" thickTop="1" x14ac:dyDescent="0.35">
      <c r="C89" s="3"/>
      <c r="D89" s="11"/>
      <c r="E89" s="47"/>
      <c r="F89" s="47"/>
      <c r="G89" s="3"/>
      <c r="H89" s="47"/>
      <c r="I89" s="6"/>
      <c r="J89" s="6"/>
      <c r="K89" s="6"/>
      <c r="L89" s="6"/>
      <c r="M89" s="6"/>
      <c r="N89" s="6"/>
      <c r="O89" s="25"/>
      <c r="P89" s="3"/>
      <c r="Q89" s="138">
        <f>1.876*Q84  +  543.28</f>
        <v>3288.1318238489366</v>
      </c>
      <c r="R89" s="139"/>
      <c r="S89" s="6" t="s">
        <v>102</v>
      </c>
      <c r="T89" s="25"/>
      <c r="U89" s="3"/>
      <c r="V89" s="138">
        <f>IF(V55="","",V29*  V84)</f>
        <v>3423.7490766559226</v>
      </c>
      <c r="W89" s="139"/>
      <c r="X89" s="6" t="s">
        <v>102</v>
      </c>
      <c r="Y89" s="25"/>
      <c r="Z89" s="3"/>
      <c r="AA89" s="138">
        <f>AA88*0.3048</f>
        <v>3437.3993224826581</v>
      </c>
      <c r="AB89" s="139"/>
      <c r="AC89" s="6" t="s">
        <v>102</v>
      </c>
      <c r="AD89" s="32"/>
      <c r="AE89" s="130"/>
      <c r="AF89" s="47"/>
      <c r="AG89" s="3"/>
      <c r="AH89" s="138">
        <f>IF(AH27=2,         1.44/(0.5*9.80665*1.225)     *AH84,
IF(AH27=3,           1.44/(0.66*9.80665*1.225)   *AH84,
IF(AH27=4,           1.44/(0.75*9.80665*1.225)   *AH84,
1)))</f>
        <v>2293.2489890735637</v>
      </c>
      <c r="AI89" s="139"/>
      <c r="AJ89" s="6" t="s">
        <v>102</v>
      </c>
      <c r="AK89" s="32"/>
      <c r="AL89" s="98"/>
      <c r="AM89" s="3"/>
      <c r="AN89" s="138">
        <f>IF(AN27=2,1.44/(0.5*9.80665*1.225)*AN84,
IF(AN27=4,1.44/($I$5*9.80665*1.225)*AN84,
1))</f>
        <v>3017.4328803599524</v>
      </c>
      <c r="AO89" s="139"/>
      <c r="AP89" s="6" t="s">
        <v>102</v>
      </c>
      <c r="AQ89" s="32"/>
      <c r="AR89" s="25"/>
      <c r="AS89" s="3"/>
      <c r="AT89" s="138">
        <f>AT88*0.3048</f>
        <v>2292.6563018170718</v>
      </c>
      <c r="AU89" s="139"/>
      <c r="AV89" s="6" t="s">
        <v>102</v>
      </c>
      <c r="AW89" s="32"/>
    </row>
    <row r="90" spans="3:49" x14ac:dyDescent="0.3">
      <c r="C90" s="3"/>
      <c r="D90" s="3"/>
      <c r="E90" s="47"/>
      <c r="F90" s="47"/>
      <c r="G90" s="47"/>
      <c r="H90" s="47"/>
      <c r="I90" s="3"/>
      <c r="J90" s="3"/>
      <c r="K90" s="3"/>
      <c r="L90" s="3"/>
      <c r="M90" s="3"/>
      <c r="N90" s="3"/>
      <c r="O90" s="20"/>
      <c r="P90" s="3"/>
      <c r="Q90" s="3"/>
      <c r="R90" s="3"/>
      <c r="S90" s="3"/>
      <c r="T90" s="20"/>
      <c r="U90" s="3"/>
      <c r="V90" s="3"/>
      <c r="W90" s="3"/>
      <c r="X90" s="3"/>
      <c r="Y90" s="20"/>
      <c r="Z90" s="32"/>
      <c r="AA90" s="3"/>
      <c r="AB90" s="3"/>
      <c r="AC90" s="3"/>
      <c r="AD90" s="3"/>
      <c r="AE90" s="130"/>
      <c r="AF90" s="32"/>
      <c r="AG90" s="32"/>
      <c r="AH90" s="3"/>
      <c r="AI90" s="3"/>
      <c r="AJ90" s="3"/>
      <c r="AK90" s="3"/>
      <c r="AL90" s="32"/>
      <c r="AM90" s="32"/>
      <c r="AN90" s="3"/>
      <c r="AO90" s="3"/>
      <c r="AP90" s="3"/>
      <c r="AQ90" s="3"/>
      <c r="AR90" s="20"/>
      <c r="AS90" s="32"/>
      <c r="AT90" s="3"/>
      <c r="AU90" s="3"/>
      <c r="AV90" s="3"/>
      <c r="AW90" s="3"/>
    </row>
    <row r="91" spans="3:49" x14ac:dyDescent="0.3">
      <c r="O91" s="26"/>
      <c r="T91" s="26"/>
      <c r="AE91" s="130"/>
    </row>
    <row r="92" spans="3:49" x14ac:dyDescent="0.3">
      <c r="O92" s="26"/>
      <c r="T92" s="26"/>
      <c r="AE92" s="130"/>
      <c r="AH92" s="114"/>
      <c r="AN92" s="114"/>
    </row>
    <row r="93" spans="3:49" x14ac:dyDescent="0.3">
      <c r="O93" s="26"/>
      <c r="T93" s="26"/>
      <c r="AE93" s="130"/>
    </row>
    <row r="94" spans="3:49" x14ac:dyDescent="0.3">
      <c r="O94" s="26"/>
      <c r="T94" s="26"/>
      <c r="AE94" s="130"/>
    </row>
    <row r="95" spans="3:49" x14ac:dyDescent="0.3">
      <c r="O95" s="26"/>
      <c r="T95" s="26"/>
      <c r="AE95" s="130"/>
    </row>
    <row r="96" spans="3:49" x14ac:dyDescent="0.3">
      <c r="O96" s="26"/>
      <c r="T96" s="26"/>
      <c r="AE96" s="130"/>
    </row>
    <row r="97" spans="15:40" x14ac:dyDescent="0.3">
      <c r="O97" s="26"/>
      <c r="T97" s="26"/>
      <c r="AE97" s="130"/>
    </row>
    <row r="98" spans="15:40" x14ac:dyDescent="0.3">
      <c r="O98" s="26"/>
      <c r="T98" s="26"/>
      <c r="AE98" s="130"/>
    </row>
    <row r="99" spans="15:40" x14ac:dyDescent="0.3">
      <c r="O99" s="26"/>
      <c r="T99" s="26"/>
      <c r="AE99" s="130"/>
    </row>
    <row r="100" spans="15:40" x14ac:dyDescent="0.3">
      <c r="O100" s="26"/>
      <c r="T100" s="26"/>
      <c r="AE100" s="130"/>
    </row>
    <row r="101" spans="15:40" x14ac:dyDescent="0.3">
      <c r="O101" s="26"/>
      <c r="T101" s="26"/>
      <c r="AE101" s="130"/>
    </row>
    <row r="102" spans="15:40" x14ac:dyDescent="0.3">
      <c r="O102" s="26"/>
      <c r="T102" s="26"/>
      <c r="AE102" s="130"/>
    </row>
    <row r="103" spans="15:40" x14ac:dyDescent="0.3">
      <c r="O103" s="26"/>
      <c r="T103" s="26"/>
    </row>
    <row r="104" spans="15:40" x14ac:dyDescent="0.3">
      <c r="O104" s="26"/>
      <c r="T104" s="26"/>
    </row>
    <row r="105" spans="15:40" x14ac:dyDescent="0.3">
      <c r="O105" s="26"/>
      <c r="T105" s="26"/>
    </row>
    <row r="106" spans="15:40" x14ac:dyDescent="0.3">
      <c r="O106" s="26"/>
      <c r="T106" s="26"/>
      <c r="AC106" t="s">
        <v>119</v>
      </c>
      <c r="AF106" s="132"/>
      <c r="AH106" s="33"/>
      <c r="AL106" s="132"/>
      <c r="AN106" s="33"/>
    </row>
    <row r="107" spans="15:40" x14ac:dyDescent="0.3">
      <c r="O107" s="26"/>
      <c r="T107" s="26"/>
      <c r="AF107" s="132"/>
      <c r="AH107" s="33"/>
      <c r="AL107" s="132"/>
      <c r="AN107" s="33"/>
    </row>
    <row r="108" spans="15:40" x14ac:dyDescent="0.3">
      <c r="O108" s="26"/>
      <c r="T108" s="26"/>
      <c r="AF108" s="133"/>
      <c r="AG108" s="116"/>
      <c r="AH108" s="33"/>
      <c r="AK108" t="s">
        <v>119</v>
      </c>
      <c r="AL108" s="133"/>
      <c r="AM108" s="116"/>
      <c r="AN108" s="33"/>
    </row>
    <row r="109" spans="15:40" x14ac:dyDescent="0.3">
      <c r="O109" s="26"/>
      <c r="T109" s="26"/>
      <c r="Z109" s="88"/>
      <c r="AF109" s="133"/>
      <c r="AG109" s="116"/>
      <c r="AH109" s="33"/>
      <c r="AK109" t="s">
        <v>119</v>
      </c>
      <c r="AL109" s="133"/>
      <c r="AM109" s="116"/>
      <c r="AN109" s="33"/>
    </row>
    <row r="110" spans="15:40" x14ac:dyDescent="0.3">
      <c r="O110" s="26"/>
      <c r="T110" s="26"/>
      <c r="Z110" s="87"/>
      <c r="AF110" s="132"/>
      <c r="AH110" s="33"/>
      <c r="AL110" s="132"/>
      <c r="AN110" s="33"/>
    </row>
    <row r="111" spans="15:40" x14ac:dyDescent="0.3">
      <c r="O111" s="26"/>
      <c r="T111" s="26"/>
      <c r="Y111" s="86"/>
      <c r="Z111" s="87"/>
      <c r="AF111" s="134"/>
      <c r="AG111" s="87"/>
      <c r="AH111" s="101"/>
      <c r="AL111" s="134"/>
      <c r="AM111" s="87"/>
      <c r="AN111" s="101"/>
    </row>
    <row r="112" spans="15:40" x14ac:dyDescent="0.3">
      <c r="O112" s="26"/>
      <c r="T112" s="26"/>
      <c r="Y112" s="86"/>
      <c r="Z112" s="87"/>
      <c r="AF112" s="132"/>
      <c r="AH112" s="33"/>
      <c r="AL112" s="132"/>
      <c r="AN112" s="33"/>
    </row>
    <row r="113" spans="15:40" x14ac:dyDescent="0.3">
      <c r="O113" s="26"/>
      <c r="T113" s="26"/>
      <c r="Y113" s="86"/>
      <c r="Z113" s="87"/>
      <c r="AF113" s="134"/>
      <c r="AG113" s="87"/>
      <c r="AH113" s="33"/>
      <c r="AL113" s="134"/>
      <c r="AM113" s="87"/>
      <c r="AN113" s="33"/>
    </row>
    <row r="114" spans="15:40" x14ac:dyDescent="0.3">
      <c r="O114" s="26"/>
      <c r="T114" s="26"/>
      <c r="Y114" s="86"/>
      <c r="Z114" s="87"/>
      <c r="AF114" s="134"/>
      <c r="AG114" s="87"/>
      <c r="AH114" s="33"/>
      <c r="AL114" s="134"/>
      <c r="AM114" s="87"/>
      <c r="AN114" s="33"/>
    </row>
    <row r="115" spans="15:40" x14ac:dyDescent="0.3">
      <c r="O115" s="26"/>
      <c r="T115" s="26"/>
    </row>
    <row r="116" spans="15:40" x14ac:dyDescent="0.3">
      <c r="O116" s="26"/>
      <c r="T116" s="26"/>
    </row>
    <row r="117" spans="15:40" x14ac:dyDescent="0.3">
      <c r="O117" s="26"/>
      <c r="T117" s="26"/>
    </row>
    <row r="118" spans="15:40" x14ac:dyDescent="0.3">
      <c r="O118" s="26"/>
      <c r="T118" s="26"/>
    </row>
    <row r="119" spans="15:40" x14ac:dyDescent="0.3">
      <c r="O119" s="26"/>
      <c r="T119" s="26"/>
    </row>
    <row r="120" spans="15:40" x14ac:dyDescent="0.3">
      <c r="O120" s="26"/>
      <c r="T120" s="26"/>
    </row>
    <row r="121" spans="15:40" x14ac:dyDescent="0.3">
      <c r="O121" s="26"/>
      <c r="T121" s="26"/>
    </row>
    <row r="122" spans="15:40" x14ac:dyDescent="0.3">
      <c r="O122" s="26"/>
      <c r="T122" s="26"/>
    </row>
    <row r="123" spans="15:40" x14ac:dyDescent="0.3">
      <c r="O123" s="26"/>
      <c r="T123" s="26"/>
    </row>
    <row r="124" spans="15:40" x14ac:dyDescent="0.3">
      <c r="O124" s="26"/>
      <c r="T124" s="26"/>
    </row>
    <row r="125" spans="15:40" x14ac:dyDescent="0.3">
      <c r="O125" s="26"/>
      <c r="T125" s="26"/>
    </row>
    <row r="126" spans="15:40" x14ac:dyDescent="0.3">
      <c r="O126" s="26"/>
      <c r="T126" s="26"/>
    </row>
    <row r="127" spans="15:40" x14ac:dyDescent="0.3">
      <c r="O127" s="26"/>
      <c r="T127" s="26"/>
    </row>
    <row r="128" spans="15:40" x14ac:dyDescent="0.3">
      <c r="O128" s="26"/>
      <c r="T128" s="26"/>
    </row>
    <row r="129" spans="15:20" x14ac:dyDescent="0.3">
      <c r="O129" s="26"/>
      <c r="T129" s="26"/>
    </row>
    <row r="130" spans="15:20" x14ac:dyDescent="0.3">
      <c r="O130" s="26"/>
      <c r="T130" s="26"/>
    </row>
    <row r="131" spans="15:20" x14ac:dyDescent="0.3">
      <c r="O131" s="26"/>
      <c r="T131" s="26"/>
    </row>
    <row r="132" spans="15:20" x14ac:dyDescent="0.3">
      <c r="O132" s="26"/>
      <c r="T132" s="26"/>
    </row>
    <row r="133" spans="15:20" x14ac:dyDescent="0.3">
      <c r="O133" s="26"/>
      <c r="T133" s="26"/>
    </row>
    <row r="134" spans="15:20" x14ac:dyDescent="0.3">
      <c r="O134" s="26"/>
      <c r="T134" s="26"/>
    </row>
    <row r="135" spans="15:20" x14ac:dyDescent="0.3">
      <c r="O135" s="26"/>
      <c r="T135" s="26"/>
    </row>
    <row r="136" spans="15:20" x14ac:dyDescent="0.3">
      <c r="O136" s="26"/>
      <c r="T136" s="26"/>
    </row>
    <row r="137" spans="15:20" x14ac:dyDescent="0.3">
      <c r="O137" s="26"/>
      <c r="T137" s="26"/>
    </row>
    <row r="138" spans="15:20" x14ac:dyDescent="0.3">
      <c r="O138" s="26"/>
      <c r="T138" s="26"/>
    </row>
    <row r="139" spans="15:20" x14ac:dyDescent="0.3">
      <c r="O139" s="26"/>
      <c r="T139" s="26"/>
    </row>
    <row r="140" spans="15:20" x14ac:dyDescent="0.3">
      <c r="O140" s="26"/>
      <c r="T140" s="26"/>
    </row>
    <row r="141" spans="15:20" x14ac:dyDescent="0.3">
      <c r="O141" s="26"/>
      <c r="T141" s="26"/>
    </row>
    <row r="142" spans="15:20" x14ac:dyDescent="0.3">
      <c r="O142" s="26"/>
      <c r="T142" s="26"/>
    </row>
    <row r="143" spans="15:20" x14ac:dyDescent="0.3">
      <c r="O143" s="26"/>
      <c r="T143" s="26"/>
    </row>
    <row r="144" spans="15:20" x14ac:dyDescent="0.3">
      <c r="O144" s="26"/>
      <c r="T144" s="26"/>
    </row>
    <row r="145" spans="15:20" x14ac:dyDescent="0.3">
      <c r="O145" s="26"/>
      <c r="T145" s="26"/>
    </row>
    <row r="146" spans="15:20" x14ac:dyDescent="0.3">
      <c r="O146" s="26"/>
      <c r="T146" s="26"/>
    </row>
    <row r="147" spans="15:20" x14ac:dyDescent="0.3">
      <c r="O147" s="26"/>
      <c r="T147" s="26"/>
    </row>
    <row r="148" spans="15:20" x14ac:dyDescent="0.3">
      <c r="O148" s="26"/>
      <c r="T148" s="26"/>
    </row>
    <row r="149" spans="15:20" x14ac:dyDescent="0.3">
      <c r="O149" s="26"/>
      <c r="T149" s="26"/>
    </row>
    <row r="150" spans="15:20" x14ac:dyDescent="0.3">
      <c r="O150" s="26"/>
      <c r="T150" s="26"/>
    </row>
    <row r="151" spans="15:20" x14ac:dyDescent="0.3">
      <c r="O151" s="26"/>
      <c r="T151" s="26"/>
    </row>
    <row r="152" spans="15:20" x14ac:dyDescent="0.3">
      <c r="O152" s="26"/>
      <c r="T152" s="26"/>
    </row>
    <row r="153" spans="15:20" x14ac:dyDescent="0.3">
      <c r="O153" s="26"/>
      <c r="T153" s="26"/>
    </row>
    <row r="154" spans="15:20" x14ac:dyDescent="0.3">
      <c r="O154" s="26"/>
      <c r="T154" s="26"/>
    </row>
    <row r="155" spans="15:20" x14ac:dyDescent="0.3">
      <c r="O155" s="26"/>
      <c r="T155" s="26"/>
    </row>
    <row r="156" spans="15:20" x14ac:dyDescent="0.3">
      <c r="O156" s="26"/>
      <c r="T156" s="26"/>
    </row>
    <row r="157" spans="15:20" x14ac:dyDescent="0.3">
      <c r="O157" s="26"/>
      <c r="T157" s="26"/>
    </row>
    <row r="158" spans="15:20" x14ac:dyDescent="0.3">
      <c r="O158" s="26"/>
      <c r="T158" s="26"/>
    </row>
    <row r="159" spans="15:20" x14ac:dyDescent="0.3">
      <c r="O159" s="26"/>
      <c r="T159" s="26"/>
    </row>
    <row r="160" spans="15:20" x14ac:dyDescent="0.3">
      <c r="O160" s="26"/>
      <c r="T160" s="26"/>
    </row>
    <row r="161" spans="15:20" x14ac:dyDescent="0.3">
      <c r="O161" s="26"/>
      <c r="T161" s="26"/>
    </row>
    <row r="162" spans="15:20" x14ac:dyDescent="0.3">
      <c r="O162" s="26"/>
      <c r="T162" s="26"/>
    </row>
    <row r="163" spans="15:20" x14ac:dyDescent="0.3">
      <c r="O163" s="26"/>
      <c r="T163" s="26"/>
    </row>
    <row r="164" spans="15:20" x14ac:dyDescent="0.3">
      <c r="O164" s="26"/>
      <c r="T164" s="26"/>
    </row>
    <row r="165" spans="15:20" x14ac:dyDescent="0.3">
      <c r="T165" s="26"/>
    </row>
    <row r="166" spans="15:20" x14ac:dyDescent="0.3">
      <c r="T166" s="26"/>
    </row>
    <row r="167" spans="15:20" x14ac:dyDescent="0.3">
      <c r="T167" s="26"/>
    </row>
    <row r="168" spans="15:20" x14ac:dyDescent="0.3">
      <c r="T168" s="26"/>
    </row>
    <row r="169" spans="15:20" x14ac:dyDescent="0.3">
      <c r="T169" s="26"/>
    </row>
    <row r="170" spans="15:20" x14ac:dyDescent="0.3">
      <c r="T170" s="26"/>
    </row>
  </sheetData>
  <mergeCells count="138">
    <mergeCell ref="V8:W8"/>
    <mergeCell ref="Y8:AC8"/>
    <mergeCell ref="AR8:AV8"/>
    <mergeCell ref="K11:L11"/>
    <mergeCell ref="AG8:AJ8"/>
    <mergeCell ref="AM8:AP8"/>
    <mergeCell ref="AN13:AO13"/>
    <mergeCell ref="AN15:AO15"/>
    <mergeCell ref="G15:H15"/>
    <mergeCell ref="K15:L15"/>
    <mergeCell ref="V15:W15"/>
    <mergeCell ref="AA15:AB15"/>
    <mergeCell ref="AH15:AI15"/>
    <mergeCell ref="AT15:AU15"/>
    <mergeCell ref="G13:H13"/>
    <mergeCell ref="K13:L13"/>
    <mergeCell ref="V13:W13"/>
    <mergeCell ref="AA13:AB13"/>
    <mergeCell ref="AH13:AI13"/>
    <mergeCell ref="AT13:AU13"/>
    <mergeCell ref="AT19:AU19"/>
    <mergeCell ref="G21:H21"/>
    <mergeCell ref="K21:L21"/>
    <mergeCell ref="V21:W21"/>
    <mergeCell ref="AA21:AB21"/>
    <mergeCell ref="AH21:AI21"/>
    <mergeCell ref="AT21:AU21"/>
    <mergeCell ref="G17:H17"/>
    <mergeCell ref="K17:L17"/>
    <mergeCell ref="V17:W17"/>
    <mergeCell ref="G19:H19"/>
    <mergeCell ref="K19:L19"/>
    <mergeCell ref="V19:W19"/>
    <mergeCell ref="AN19:AO19"/>
    <mergeCell ref="AN21:AO21"/>
    <mergeCell ref="G27:H27"/>
    <mergeCell ref="V27:W27"/>
    <mergeCell ref="AA27:AB27"/>
    <mergeCell ref="AH27:AI27"/>
    <mergeCell ref="AT27:AU27"/>
    <mergeCell ref="G29:H29"/>
    <mergeCell ref="V29:W29"/>
    <mergeCell ref="Q27:R27"/>
    <mergeCell ref="G23:H23"/>
    <mergeCell ref="AA23:AB23"/>
    <mergeCell ref="G25:H25"/>
    <mergeCell ref="V25:W25"/>
    <mergeCell ref="Q25:R25"/>
    <mergeCell ref="AN27:AO27"/>
    <mergeCell ref="AT42:AU42"/>
    <mergeCell ref="G46:H46"/>
    <mergeCell ref="K46:L46"/>
    <mergeCell ref="V46:W46"/>
    <mergeCell ref="AH46:AI46"/>
    <mergeCell ref="AT46:AU46"/>
    <mergeCell ref="Q42:R42"/>
    <mergeCell ref="Q46:R46"/>
    <mergeCell ref="G39:H39"/>
    <mergeCell ref="K39:L39"/>
    <mergeCell ref="G40:H40"/>
    <mergeCell ref="G42:H42"/>
    <mergeCell ref="V42:W42"/>
    <mergeCell ref="AA42:AB42"/>
    <mergeCell ref="AN42:AO42"/>
    <mergeCell ref="AN46:AO46"/>
    <mergeCell ref="AT55:AU55"/>
    <mergeCell ref="G57:H57"/>
    <mergeCell ref="Q55:R55"/>
    <mergeCell ref="G48:H48"/>
    <mergeCell ref="K48:L48"/>
    <mergeCell ref="G50:H50"/>
    <mergeCell ref="V50:W50"/>
    <mergeCell ref="AH50:AI50"/>
    <mergeCell ref="AT50:AU50"/>
    <mergeCell ref="Q50:R50"/>
    <mergeCell ref="AN50:AO50"/>
    <mergeCell ref="AN55:AO55"/>
    <mergeCell ref="G61:H61"/>
    <mergeCell ref="K61:L61"/>
    <mergeCell ref="G63:H63"/>
    <mergeCell ref="K63:L63"/>
    <mergeCell ref="AA63:AB63"/>
    <mergeCell ref="G65:H65"/>
    <mergeCell ref="K65:L65"/>
    <mergeCell ref="AA65:AB65"/>
    <mergeCell ref="G55:H55"/>
    <mergeCell ref="V55:W55"/>
    <mergeCell ref="AA55:AB55"/>
    <mergeCell ref="AR80:AV80"/>
    <mergeCell ref="U83:X83"/>
    <mergeCell ref="Z83:AC83"/>
    <mergeCell ref="AS83:AV83"/>
    <mergeCell ref="Y69:AC69"/>
    <mergeCell ref="AR71:AW71"/>
    <mergeCell ref="AA71:AB71"/>
    <mergeCell ref="AA73:AB73"/>
    <mergeCell ref="AA75:AB75"/>
    <mergeCell ref="AN83:AO83"/>
    <mergeCell ref="AT88:AU88"/>
    <mergeCell ref="V89:W89"/>
    <mergeCell ref="AA89:AB89"/>
    <mergeCell ref="AT89:AU89"/>
    <mergeCell ref="V84:W84"/>
    <mergeCell ref="AA84:AB84"/>
    <mergeCell ref="AH84:AI84"/>
    <mergeCell ref="AT84:AU84"/>
    <mergeCell ref="U87:X87"/>
    <mergeCell ref="Z87:AC87"/>
    <mergeCell ref="AS87:AV87"/>
    <mergeCell ref="AN84:AO84"/>
    <mergeCell ref="AN87:AO87"/>
    <mergeCell ref="AN88:AO88"/>
    <mergeCell ref="AN89:AO89"/>
    <mergeCell ref="Q8:R8"/>
    <mergeCell ref="Q13:R13"/>
    <mergeCell ref="Q15:R15"/>
    <mergeCell ref="Q17:R17"/>
    <mergeCell ref="Q19:R19"/>
    <mergeCell ref="Q21:R21"/>
    <mergeCell ref="V88:W88"/>
    <mergeCell ref="AA88:AB88"/>
    <mergeCell ref="AH88:AI88"/>
    <mergeCell ref="AA77:AB77"/>
    <mergeCell ref="V80:W80"/>
    <mergeCell ref="Y80:AC80"/>
    <mergeCell ref="AH55:AI55"/>
    <mergeCell ref="AH42:AI42"/>
    <mergeCell ref="AA19:AB19"/>
    <mergeCell ref="AH19:AI19"/>
    <mergeCell ref="AH83:AI83"/>
    <mergeCell ref="AH87:AI87"/>
    <mergeCell ref="AH89:AI89"/>
    <mergeCell ref="Q80:R80"/>
    <mergeCell ref="P83:S83"/>
    <mergeCell ref="Q84:R84"/>
    <mergeCell ref="P87:S87"/>
    <mergeCell ref="Q88:R88"/>
    <mergeCell ref="Q89:R89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23E5E-8658-4801-92F4-E6E624F10983}">
  <dimension ref="B1:W33"/>
  <sheetViews>
    <sheetView showGridLines="0" zoomScale="70" zoomScaleNormal="70" workbookViewId="0">
      <selection activeCell="F38" sqref="F38"/>
    </sheetView>
  </sheetViews>
  <sheetFormatPr baseColWidth="10" defaultRowHeight="14.4" x14ac:dyDescent="0.3"/>
  <cols>
    <col min="10" max="10" width="7.44140625" customWidth="1"/>
  </cols>
  <sheetData>
    <row r="1" spans="2:23" x14ac:dyDescent="0.3">
      <c r="I1" s="50"/>
      <c r="J1" s="50"/>
      <c r="K1" s="50"/>
      <c r="L1" s="50"/>
      <c r="M1" s="50"/>
      <c r="N1" s="50"/>
    </row>
    <row r="2" spans="2:23" ht="15" thickBot="1" x14ac:dyDescent="0.35">
      <c r="B2" s="1"/>
      <c r="C2" s="2"/>
      <c r="D2" s="2"/>
      <c r="E2" s="2"/>
      <c r="F2" s="2"/>
      <c r="G2" s="2"/>
      <c r="H2" s="2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2:23" ht="15" thickTop="1" x14ac:dyDescent="0.3">
      <c r="B3" s="1"/>
      <c r="C3" s="3" t="s">
        <v>0</v>
      </c>
      <c r="D3" s="2"/>
      <c r="E3" s="2"/>
      <c r="F3" s="169" t="s">
        <v>1</v>
      </c>
      <c r="G3" s="170"/>
      <c r="H3" s="2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2:23" x14ac:dyDescent="0.3">
      <c r="B4" s="1"/>
      <c r="C4" s="2"/>
      <c r="D4" s="2"/>
      <c r="E4" s="2"/>
      <c r="F4" s="2"/>
      <c r="G4" s="2"/>
      <c r="H4" s="2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2:23" ht="15" thickBot="1" x14ac:dyDescent="0.35">
      <c r="B5" s="1"/>
      <c r="C5" s="5"/>
      <c r="D5" s="5"/>
      <c r="E5" s="2"/>
      <c r="F5" s="5"/>
      <c r="G5" s="5"/>
      <c r="H5" s="2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</row>
    <row r="6" spans="2:23" ht="15" thickTop="1" x14ac:dyDescent="0.3">
      <c r="B6" s="1"/>
      <c r="C6" s="5" t="s">
        <v>60</v>
      </c>
      <c r="D6" s="5"/>
      <c r="E6" s="2"/>
      <c r="F6" s="169">
        <v>1</v>
      </c>
      <c r="G6" s="170"/>
      <c r="H6" s="2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7" spans="2:23" x14ac:dyDescent="0.3">
      <c r="B7" s="1"/>
      <c r="C7" s="5"/>
      <c r="D7" s="5"/>
      <c r="E7" s="5"/>
      <c r="F7" s="5"/>
      <c r="G7" s="5"/>
      <c r="H7" s="5"/>
      <c r="I7" s="50"/>
      <c r="J7" s="50"/>
      <c r="K7" s="50"/>
      <c r="L7" s="50"/>
      <c r="M7" s="50"/>
      <c r="N7" s="50"/>
      <c r="O7" s="52"/>
      <c r="P7" s="52"/>
      <c r="Q7" s="52"/>
      <c r="R7" s="52"/>
      <c r="S7" s="52"/>
      <c r="T7" s="52"/>
      <c r="U7" s="52"/>
      <c r="V7" s="50"/>
      <c r="W7" s="50"/>
    </row>
    <row r="8" spans="2:23" ht="15" thickBot="1" x14ac:dyDescent="0.35">
      <c r="B8" s="29"/>
      <c r="C8" s="5"/>
      <c r="D8" s="5"/>
      <c r="E8" s="5"/>
      <c r="F8" s="5"/>
      <c r="G8" s="5"/>
      <c r="H8" s="5"/>
      <c r="I8" s="50"/>
      <c r="J8" s="50"/>
      <c r="K8" s="50"/>
      <c r="L8" s="50"/>
      <c r="M8" s="50"/>
      <c r="N8" s="50"/>
      <c r="O8" s="52"/>
      <c r="P8" s="52"/>
      <c r="Q8" s="52"/>
      <c r="R8" s="52"/>
      <c r="S8" s="52"/>
      <c r="T8" s="52"/>
      <c r="U8" s="52"/>
      <c r="V8" s="50"/>
      <c r="W8" s="50"/>
    </row>
    <row r="9" spans="2:23" ht="15" thickTop="1" x14ac:dyDescent="0.3">
      <c r="B9" s="29"/>
      <c r="C9" s="5" t="s">
        <v>11</v>
      </c>
      <c r="D9" s="5"/>
      <c r="E9" s="27" t="s">
        <v>12</v>
      </c>
      <c r="F9" s="167">
        <v>25</v>
      </c>
      <c r="G9" s="168"/>
      <c r="H9" s="6" t="s">
        <v>13</v>
      </c>
      <c r="I9" s="50"/>
      <c r="J9" s="50"/>
      <c r="K9" s="50"/>
      <c r="L9" s="50"/>
      <c r="M9" s="50"/>
      <c r="N9" s="50"/>
      <c r="O9" s="52"/>
      <c r="P9" s="52"/>
      <c r="Q9" s="52"/>
      <c r="R9" s="52"/>
      <c r="S9" s="52"/>
      <c r="T9" s="52"/>
      <c r="U9" s="52"/>
      <c r="V9" s="50"/>
      <c r="W9" s="50"/>
    </row>
    <row r="10" spans="2:23" ht="15" thickBot="1" x14ac:dyDescent="0.35">
      <c r="B10" s="29"/>
      <c r="C10" s="5"/>
      <c r="D10" s="5"/>
      <c r="E10" s="5"/>
      <c r="F10" s="5"/>
      <c r="G10" s="5"/>
      <c r="H10" s="5"/>
      <c r="I10" s="50"/>
      <c r="J10" s="50"/>
      <c r="K10" s="50"/>
      <c r="L10" s="50"/>
      <c r="M10" s="50"/>
      <c r="N10" s="50"/>
      <c r="O10" s="52"/>
      <c r="P10" s="52"/>
      <c r="Q10" s="52"/>
      <c r="R10" s="52"/>
      <c r="S10" s="52"/>
      <c r="T10" s="52"/>
      <c r="U10" s="52"/>
      <c r="V10" s="50"/>
      <c r="W10" s="50"/>
    </row>
    <row r="11" spans="2:23" ht="15" thickTop="1" x14ac:dyDescent="0.3">
      <c r="B11" s="29"/>
      <c r="C11" s="5" t="s">
        <v>16</v>
      </c>
      <c r="D11" s="5"/>
      <c r="E11" s="27" t="s">
        <v>17</v>
      </c>
      <c r="F11" s="167">
        <v>2</v>
      </c>
      <c r="G11" s="168"/>
      <c r="H11" s="6" t="s">
        <v>2</v>
      </c>
      <c r="I11" s="50"/>
      <c r="J11" s="50"/>
      <c r="K11" s="50"/>
      <c r="L11" s="50"/>
      <c r="M11" s="50"/>
      <c r="N11" s="50"/>
      <c r="O11" s="52"/>
      <c r="P11" s="52"/>
      <c r="Q11" s="52"/>
      <c r="R11" s="52"/>
      <c r="S11" s="52"/>
      <c r="T11" s="52"/>
      <c r="U11" s="52"/>
      <c r="V11" s="50"/>
      <c r="W11" s="50"/>
    </row>
    <row r="12" spans="2:23" x14ac:dyDescent="0.3">
      <c r="B12" s="29"/>
      <c r="C12" s="5"/>
      <c r="D12" s="5"/>
      <c r="E12" s="27"/>
      <c r="F12" s="27"/>
      <c r="G12" s="27"/>
      <c r="H12" s="6"/>
      <c r="I12" s="50"/>
      <c r="J12" s="50"/>
      <c r="K12" s="50"/>
      <c r="L12" s="50"/>
      <c r="M12" s="50"/>
      <c r="N12" s="50"/>
      <c r="O12" s="52"/>
      <c r="P12" s="52"/>
      <c r="Q12" s="52"/>
      <c r="R12" s="52"/>
      <c r="S12" s="52"/>
      <c r="T12" s="52"/>
      <c r="U12" s="52"/>
      <c r="V12" s="50"/>
      <c r="W12" s="50"/>
    </row>
    <row r="13" spans="2:23" ht="21" x14ac:dyDescent="0.4">
      <c r="B13" s="44" t="s">
        <v>20</v>
      </c>
      <c r="C13" s="44"/>
      <c r="D13" s="44"/>
      <c r="E13" s="44"/>
      <c r="F13" s="44"/>
      <c r="G13" s="44"/>
      <c r="H13" s="44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2:23" x14ac:dyDescent="0.3">
      <c r="B14" s="1"/>
      <c r="C14" s="5"/>
      <c r="D14" s="5"/>
      <c r="E14" s="2"/>
      <c r="F14" s="5"/>
      <c r="G14" s="5"/>
      <c r="H14" s="2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2:23" x14ac:dyDescent="0.3">
      <c r="B15" s="1"/>
      <c r="C15" s="5"/>
      <c r="D15" s="5"/>
      <c r="E15" s="2"/>
      <c r="F15" s="5"/>
      <c r="G15" s="5"/>
      <c r="H15" s="29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6" spans="2:23" x14ac:dyDescent="0.3">
      <c r="B16" s="1"/>
      <c r="C16" s="5"/>
      <c r="D16" s="5"/>
      <c r="E16" s="2"/>
      <c r="F16" s="5"/>
      <c r="G16" s="5"/>
      <c r="H16" s="29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</row>
    <row r="17" spans="2:23" x14ac:dyDescent="0.3">
      <c r="B17" s="1"/>
      <c r="C17" s="5"/>
      <c r="D17" s="5"/>
      <c r="E17" s="2"/>
      <c r="F17" s="5"/>
      <c r="G17" s="5"/>
      <c r="H17" s="29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  <row r="18" spans="2:23" x14ac:dyDescent="0.3">
      <c r="B18" s="1"/>
      <c r="C18" s="5"/>
      <c r="D18" s="5"/>
      <c r="E18" s="2"/>
      <c r="F18" s="5"/>
      <c r="G18" s="5"/>
      <c r="H18" s="29"/>
      <c r="J18" s="50"/>
      <c r="K18" s="50"/>
      <c r="L18" s="50"/>
      <c r="M18" s="50"/>
    </row>
    <row r="19" spans="2:23" x14ac:dyDescent="0.3">
      <c r="B19" s="1"/>
      <c r="C19" s="5"/>
      <c r="D19" s="5"/>
      <c r="E19" s="2"/>
      <c r="F19" s="5"/>
      <c r="G19" s="5"/>
      <c r="H19" s="2"/>
      <c r="J19" s="50"/>
      <c r="K19" s="50"/>
      <c r="L19" s="50"/>
      <c r="M19" s="50"/>
    </row>
    <row r="20" spans="2:23" x14ac:dyDescent="0.3">
      <c r="B20" s="1"/>
      <c r="C20" s="5"/>
      <c r="D20" s="5"/>
      <c r="E20" s="2"/>
      <c r="F20" s="5"/>
      <c r="G20" s="5"/>
      <c r="H20" s="2"/>
    </row>
    <row r="21" spans="2:23" x14ac:dyDescent="0.3">
      <c r="B21" s="1"/>
      <c r="C21" s="5"/>
      <c r="D21" s="5"/>
      <c r="E21" s="2"/>
      <c r="F21" s="5"/>
      <c r="G21" s="5"/>
      <c r="H21" s="2"/>
    </row>
    <row r="22" spans="2:23" x14ac:dyDescent="0.3">
      <c r="B22" s="1"/>
      <c r="C22" s="5"/>
      <c r="D22" s="5"/>
      <c r="E22" s="2"/>
      <c r="F22" s="5"/>
      <c r="G22" s="5"/>
      <c r="H22" s="2"/>
    </row>
    <row r="23" spans="2:23" x14ac:dyDescent="0.3">
      <c r="B23" s="1"/>
      <c r="C23" s="5"/>
      <c r="D23" s="5"/>
      <c r="E23" s="2"/>
      <c r="F23" s="5"/>
      <c r="G23" s="5"/>
      <c r="H23" s="2"/>
    </row>
    <row r="24" spans="2:23" x14ac:dyDescent="0.3">
      <c r="B24" s="1"/>
      <c r="C24" s="5"/>
      <c r="D24" s="5"/>
      <c r="E24" s="2"/>
      <c r="F24" s="5"/>
      <c r="G24" s="5"/>
      <c r="H24" s="2"/>
    </row>
    <row r="25" spans="2:23" x14ac:dyDescent="0.3">
      <c r="B25" s="1"/>
      <c r="C25" s="5"/>
      <c r="D25" s="5"/>
      <c r="E25" s="2"/>
      <c r="F25" s="5"/>
      <c r="G25" s="5"/>
      <c r="H25" s="2"/>
    </row>
    <row r="26" spans="2:23" x14ac:dyDescent="0.3">
      <c r="B26" s="1"/>
      <c r="C26" s="5"/>
      <c r="D26" s="5"/>
      <c r="E26" s="2"/>
      <c r="F26" s="5"/>
      <c r="G26" s="5"/>
      <c r="H26" s="2"/>
    </row>
    <row r="27" spans="2:23" x14ac:dyDescent="0.3">
      <c r="B27" s="1"/>
      <c r="C27" s="5"/>
      <c r="D27" s="5"/>
      <c r="E27" s="2"/>
      <c r="F27" s="5"/>
      <c r="G27" s="5"/>
      <c r="H27" s="2"/>
    </row>
    <row r="28" spans="2:23" x14ac:dyDescent="0.3">
      <c r="B28" s="1"/>
      <c r="C28" s="5"/>
      <c r="D28" s="5"/>
      <c r="E28" s="2"/>
      <c r="F28" s="5"/>
      <c r="G28" s="5"/>
      <c r="H28" s="2"/>
    </row>
    <row r="29" spans="2:23" ht="15" thickBot="1" x14ac:dyDescent="0.35">
      <c r="B29" s="1"/>
      <c r="C29" s="5"/>
      <c r="D29" s="5"/>
      <c r="E29" s="2"/>
      <c r="F29" s="5"/>
      <c r="G29" s="5"/>
      <c r="H29" s="2"/>
    </row>
    <row r="30" spans="2:23" ht="16.2" thickTop="1" x14ac:dyDescent="0.35">
      <c r="B30" s="3" t="s">
        <v>32</v>
      </c>
      <c r="C30" s="3" t="s">
        <v>33</v>
      </c>
      <c r="D30" s="6"/>
      <c r="E30" s="160">
        <f>IF(CLmax_Estimation!F3="No Flap",1.5*COS(CLmax_Estimation!F9*PI()/180),
IF(CLmax_Estimation!F3="Plain Flap",1.8*COS(CLmax_Estimation!F9*PI()/180),
IF(CLmax_Estimation!F3="Slotted Flap",2.2*COS(CLmax_Estimation!F9*PI()/180),
IF(CLmax_Estimation!F3="Fowler Flap",2.5*COS(CLmax_Estimation!F9*PI()/180),
IF(CLmax_Estimation!F3="Fowler Flap &amp; Slat",2.7*COS(CLmax_Estimation!F9*PI()/180),
IF(CLmax_Estimation!F3="Double Slotted Flap",2.7*COS(CLmax_Estimation!F9*PI()/180),
IF(CLmax_Estimation!F3="Double Slotted Flap &amp; Slat",3*COS(CLmax_Estimation!F9*PI()/180),
IF(CLmax_Estimation!F3="Triple Slotted Flap &amp; Slat",3.4*COS(CLmax_Estimation!F9*PI()/180)
))))))))</f>
        <v>2.4470310249989549</v>
      </c>
      <c r="F30" s="161"/>
      <c r="G30" s="6" t="s">
        <v>2</v>
      </c>
      <c r="H30" s="6"/>
    </row>
    <row r="31" spans="2:23" ht="15" thickBot="1" x14ac:dyDescent="0.35">
      <c r="B31" s="3"/>
      <c r="C31" s="3"/>
      <c r="D31" s="3"/>
      <c r="E31" s="3"/>
      <c r="F31" s="3"/>
      <c r="G31" s="3"/>
      <c r="H31" s="3"/>
    </row>
    <row r="32" spans="2:23" ht="16.2" thickTop="1" x14ac:dyDescent="0.35">
      <c r="B32" s="3" t="s">
        <v>34</v>
      </c>
      <c r="C32" s="3" t="s">
        <v>35</v>
      </c>
      <c r="D32" s="6"/>
      <c r="E32" s="160">
        <f>IF(AND(F11=2,F6=1),E30*0.8,IF(AND(F11=2,F6=2),E30*0.9,IF(AND(F11=2,F6=3),E30*0.92,
IF(AND(F11=4,F6=1),E30*0.9,IF(AND(F11=4,F6=2),E30*0.98,IF(AND(F11=4,F6=3),E30*0.99))))))</f>
        <v>1.9576248199991639</v>
      </c>
      <c r="F32" s="161"/>
      <c r="G32" s="6" t="s">
        <v>2</v>
      </c>
      <c r="H32" s="6"/>
    </row>
    <row r="33" spans="2:8" x14ac:dyDescent="0.3">
      <c r="B33" s="3"/>
      <c r="C33" s="3"/>
      <c r="D33" s="3"/>
      <c r="E33" s="3"/>
      <c r="F33" s="3"/>
      <c r="G33" s="3"/>
      <c r="H33" s="3"/>
    </row>
  </sheetData>
  <mergeCells count="6">
    <mergeCell ref="F3:G3"/>
    <mergeCell ref="F6:G6"/>
    <mergeCell ref="E30:F30"/>
    <mergeCell ref="E32:F32"/>
    <mergeCell ref="F9:G9"/>
    <mergeCell ref="F11:G11"/>
  </mergeCells>
  <conditionalFormatting sqref="C3">
    <cfRule type="expression" dxfId="1" priority="4">
      <formula>$G$2&lt;&gt;""</formula>
    </cfRule>
  </conditionalFormatting>
  <conditionalFormatting sqref="F3:G3">
    <cfRule type="expression" dxfId="0" priority="3">
      <formula>$G$2&lt;&gt;""</formula>
    </cfRule>
  </conditionalFormatting>
  <dataValidations count="2">
    <dataValidation type="list" allowBlank="1" showInputMessage="1" showErrorMessage="1" sqref="F3:G3" xr:uid="{5EBBD7B3-1B9F-4BFB-A3F3-30677B7662AA}">
      <formula1>"-,No Flap,  Plain Flap,  Slotted Flap,   Fowler Flap, Fowler Flap &amp; Slat,   Double Slotted Flap,  Double Slotted Flap &amp; Slat,  Triple Slotted Flap &amp; Slat"</formula1>
    </dataValidation>
    <dataValidation type="list" allowBlank="1" showInputMessage="1" showErrorMessage="1" sqref="F6:G6" xr:uid="{66460650-271E-4BB8-8363-08C79559D054}">
      <formula1>"- ,1, 2, 3"</formula1>
    </dataValidation>
  </dataValidation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680A-1E9F-49CF-843B-F86D0BADB962}">
  <dimension ref="B4:I12"/>
  <sheetViews>
    <sheetView showGridLines="0" workbookViewId="0">
      <selection activeCell="K24" sqref="K24"/>
    </sheetView>
  </sheetViews>
  <sheetFormatPr baseColWidth="10" defaultRowHeight="14.4" x14ac:dyDescent="0.3"/>
  <cols>
    <col min="2" max="2" width="26.109375" bestFit="1" customWidth="1"/>
  </cols>
  <sheetData>
    <row r="4" spans="2:9" ht="15" thickBot="1" x14ac:dyDescent="0.35"/>
    <row r="5" spans="2:9" x14ac:dyDescent="0.3">
      <c r="B5" s="102" t="s">
        <v>131</v>
      </c>
      <c r="C5" s="103">
        <v>0</v>
      </c>
      <c r="D5" s="104">
        <v>10</v>
      </c>
      <c r="E5" s="104">
        <v>20</v>
      </c>
      <c r="F5" s="104">
        <v>30</v>
      </c>
      <c r="G5" s="104">
        <v>40</v>
      </c>
      <c r="H5" s="104">
        <v>50</v>
      </c>
      <c r="I5" s="105">
        <v>60</v>
      </c>
    </row>
    <row r="6" spans="2:9" x14ac:dyDescent="0.3">
      <c r="B6" s="106" t="s">
        <v>132</v>
      </c>
      <c r="C6" s="107">
        <v>1.5</v>
      </c>
      <c r="D6" s="75">
        <f>$C$6*COS(D5*PI()/180)</f>
        <v>1.477211629518312</v>
      </c>
      <c r="E6" s="75">
        <f t="shared" ref="E6:I6" si="0">$C$6*COS(E5*PI()/180)</f>
        <v>1.4095389311788626</v>
      </c>
      <c r="F6" s="75">
        <f t="shared" si="0"/>
        <v>1.299038105676658</v>
      </c>
      <c r="G6" s="75">
        <f t="shared" si="0"/>
        <v>1.1490666646784671</v>
      </c>
      <c r="H6" s="75">
        <f t="shared" si="0"/>
        <v>0.9641814145298091</v>
      </c>
      <c r="I6" s="108">
        <f t="shared" si="0"/>
        <v>0.75000000000000022</v>
      </c>
    </row>
    <row r="7" spans="2:9" x14ac:dyDescent="0.3">
      <c r="B7" s="106" t="s">
        <v>133</v>
      </c>
      <c r="C7" s="107">
        <v>1.8</v>
      </c>
      <c r="D7" s="75">
        <f>$C$7*COS(D5*PI()/180)</f>
        <v>1.7726539554219745</v>
      </c>
      <c r="E7" s="75">
        <f t="shared" ref="E7:I7" si="1">$C$7*COS(E5*PI()/180)</f>
        <v>1.6914467174146353</v>
      </c>
      <c r="F7" s="75">
        <f t="shared" si="1"/>
        <v>1.5588457268119897</v>
      </c>
      <c r="G7" s="75">
        <f t="shared" si="1"/>
        <v>1.3788799976141604</v>
      </c>
      <c r="H7" s="75">
        <f t="shared" si="1"/>
        <v>1.1570176974357709</v>
      </c>
      <c r="I7" s="108">
        <f t="shared" si="1"/>
        <v>0.90000000000000024</v>
      </c>
    </row>
    <row r="8" spans="2:9" x14ac:dyDescent="0.3">
      <c r="B8" s="106" t="s">
        <v>134</v>
      </c>
      <c r="C8" s="107">
        <v>2.2000000000000002</v>
      </c>
      <c r="D8" s="75">
        <f>$C$8*COS(D5*PI()/180)</f>
        <v>2.1665770566268576</v>
      </c>
      <c r="E8" s="75">
        <f t="shared" ref="E8:I8" si="2">$C$8*COS(E5*PI()/180)</f>
        <v>2.0673237657289989</v>
      </c>
      <c r="F8" s="75">
        <f t="shared" si="2"/>
        <v>1.9052558883257653</v>
      </c>
      <c r="G8" s="75">
        <f t="shared" si="2"/>
        <v>1.6852977748617517</v>
      </c>
      <c r="H8" s="75">
        <f t="shared" si="2"/>
        <v>1.4141327413103868</v>
      </c>
      <c r="I8" s="108">
        <f t="shared" si="2"/>
        <v>1.1000000000000003</v>
      </c>
    </row>
    <row r="9" spans="2:9" x14ac:dyDescent="0.3">
      <c r="B9" s="106" t="s">
        <v>135</v>
      </c>
      <c r="C9" s="107">
        <v>2.5</v>
      </c>
      <c r="D9" s="75">
        <f>$C$9*COS(D5*PI()/180)</f>
        <v>2.4620193825305199</v>
      </c>
      <c r="E9" s="75">
        <f t="shared" ref="E9:I9" si="3">$C$9*COS(E5*PI()/180)</f>
        <v>2.3492315519647713</v>
      </c>
      <c r="F9" s="75">
        <f t="shared" si="3"/>
        <v>2.1650635094610968</v>
      </c>
      <c r="G9" s="75">
        <f t="shared" si="3"/>
        <v>1.915111107797445</v>
      </c>
      <c r="H9" s="75">
        <f t="shared" si="3"/>
        <v>1.6069690242163484</v>
      </c>
      <c r="I9" s="108">
        <f t="shared" si="3"/>
        <v>1.2500000000000002</v>
      </c>
    </row>
    <row r="10" spans="2:9" x14ac:dyDescent="0.3">
      <c r="B10" s="106" t="s">
        <v>136</v>
      </c>
      <c r="C10" s="107">
        <v>2.7</v>
      </c>
      <c r="D10" s="75">
        <f>$C$10*COS(D5*PI()/180)</f>
        <v>2.6589809331329617</v>
      </c>
      <c r="E10" s="75">
        <f t="shared" ref="E10:I10" si="4">$C$10*COS(E5*PI()/180)</f>
        <v>2.5371700761219529</v>
      </c>
      <c r="F10" s="75">
        <f t="shared" si="4"/>
        <v>2.3382685902179845</v>
      </c>
      <c r="G10" s="75">
        <f t="shared" si="4"/>
        <v>2.0683199964212409</v>
      </c>
      <c r="H10" s="75">
        <f t="shared" si="4"/>
        <v>1.7355265461536564</v>
      </c>
      <c r="I10" s="108">
        <f t="shared" si="4"/>
        <v>1.3500000000000003</v>
      </c>
    </row>
    <row r="11" spans="2:9" x14ac:dyDescent="0.3">
      <c r="B11" s="106" t="s">
        <v>137</v>
      </c>
      <c r="C11" s="107">
        <v>3</v>
      </c>
      <c r="D11" s="75">
        <f>$C$11*COS(D5*PI()/180)</f>
        <v>2.9544232590366239</v>
      </c>
      <c r="E11" s="75">
        <f t="shared" ref="E11:I11" si="5">$C$11*COS(E5*PI()/180)</f>
        <v>2.8190778623577253</v>
      </c>
      <c r="F11" s="75">
        <f t="shared" si="5"/>
        <v>2.598076211353316</v>
      </c>
      <c r="G11" s="75">
        <f t="shared" si="5"/>
        <v>2.2981333293569342</v>
      </c>
      <c r="H11" s="75">
        <f t="shared" si="5"/>
        <v>1.9283628290596182</v>
      </c>
      <c r="I11" s="108">
        <f t="shared" si="5"/>
        <v>1.5000000000000004</v>
      </c>
    </row>
    <row r="12" spans="2:9" ht="15" thickBot="1" x14ac:dyDescent="0.35">
      <c r="B12" s="109" t="s">
        <v>138</v>
      </c>
      <c r="C12" s="110">
        <v>3.4</v>
      </c>
      <c r="D12" s="111">
        <f>$C$12*COS(D5*PI()/180)</f>
        <v>3.3483463602415071</v>
      </c>
      <c r="E12" s="111">
        <f t="shared" ref="E12:I12" si="6">$C$12*COS(E5*PI()/180)</f>
        <v>3.1949549106720885</v>
      </c>
      <c r="F12" s="111">
        <f t="shared" si="6"/>
        <v>2.9444863728670914</v>
      </c>
      <c r="G12" s="111">
        <f t="shared" si="6"/>
        <v>2.604551106604525</v>
      </c>
      <c r="H12" s="111">
        <f t="shared" si="6"/>
        <v>2.1854778729342339</v>
      </c>
      <c r="I12" s="112">
        <f t="shared" si="6"/>
        <v>1.7000000000000004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3EB3-56DB-43F8-85FC-FEF92127B5C6}">
  <dimension ref="B3:L21"/>
  <sheetViews>
    <sheetView showGridLines="0" workbookViewId="0">
      <selection activeCell="E24" sqref="E24"/>
    </sheetView>
  </sheetViews>
  <sheetFormatPr baseColWidth="10" defaultRowHeight="14.4" x14ac:dyDescent="0.3"/>
  <cols>
    <col min="2" max="2" width="8" bestFit="1" customWidth="1"/>
    <col min="3" max="3" width="3.44140625" bestFit="1" customWidth="1"/>
    <col min="4" max="4" width="8.21875" bestFit="1" customWidth="1"/>
    <col min="5" max="5" width="11.5546875" style="63"/>
    <col min="7" max="7" width="11.5546875" style="46"/>
    <col min="8" max="8" width="6.88671875" style="63" bestFit="1" customWidth="1"/>
  </cols>
  <sheetData>
    <row r="3" spans="2:12" x14ac:dyDescent="0.3">
      <c r="B3" s="70" t="s">
        <v>90</v>
      </c>
      <c r="C3" s="66" t="s">
        <v>84</v>
      </c>
      <c r="D3" s="70" t="s">
        <v>91</v>
      </c>
      <c r="E3" s="71" t="s">
        <v>92</v>
      </c>
      <c r="G3" s="70" t="s">
        <v>90</v>
      </c>
      <c r="H3" s="74"/>
      <c r="I3" s="70" t="s">
        <v>91</v>
      </c>
    </row>
    <row r="4" spans="2:12" x14ac:dyDescent="0.3">
      <c r="B4" s="63" t="s">
        <v>81</v>
      </c>
      <c r="C4" s="64" t="s">
        <v>84</v>
      </c>
      <c r="D4" s="65" t="s">
        <v>82</v>
      </c>
      <c r="E4" s="67">
        <v>2.2046199999999998</v>
      </c>
      <c r="G4" s="79">
        <v>73500</v>
      </c>
      <c r="H4" s="63" t="s">
        <v>81</v>
      </c>
      <c r="I4" s="82">
        <f>IF(G4="","",G4*E4)</f>
        <v>162039.56999999998</v>
      </c>
      <c r="J4" s="65" t="s">
        <v>82</v>
      </c>
    </row>
    <row r="5" spans="2:12" x14ac:dyDescent="0.3">
      <c r="B5" s="63" t="s">
        <v>17</v>
      </c>
      <c r="C5" s="64" t="s">
        <v>84</v>
      </c>
      <c r="D5" s="63" t="s">
        <v>85</v>
      </c>
      <c r="E5" s="67">
        <v>0.22480900000000001</v>
      </c>
      <c r="G5" s="79"/>
      <c r="H5" s="63" t="s">
        <v>17</v>
      </c>
      <c r="I5" s="77" t="str">
        <f t="shared" ref="I5:I8" si="0">IF(G5="","",G5*E5)</f>
        <v/>
      </c>
      <c r="J5" s="63" t="s">
        <v>85</v>
      </c>
    </row>
    <row r="6" spans="2:12" ht="16.2" x14ac:dyDescent="0.3">
      <c r="B6" s="63" t="s">
        <v>7</v>
      </c>
      <c r="C6" s="64" t="s">
        <v>84</v>
      </c>
      <c r="D6" s="63" t="s">
        <v>86</v>
      </c>
      <c r="E6" s="67">
        <v>3.2808700000000002</v>
      </c>
      <c r="G6" s="79"/>
      <c r="H6" s="63" t="s">
        <v>7</v>
      </c>
      <c r="I6" s="77" t="str">
        <f t="shared" si="0"/>
        <v/>
      </c>
      <c r="J6" s="63" t="s">
        <v>86</v>
      </c>
      <c r="K6" s="46" t="s">
        <v>88</v>
      </c>
      <c r="L6" s="46" t="s">
        <v>89</v>
      </c>
    </row>
    <row r="7" spans="2:12" ht="16.2" x14ac:dyDescent="0.3">
      <c r="B7" s="63" t="s">
        <v>83</v>
      </c>
      <c r="C7" s="64" t="s">
        <v>84</v>
      </c>
      <c r="D7" s="65" t="s">
        <v>87</v>
      </c>
      <c r="E7" s="67">
        <v>10.7639</v>
      </c>
      <c r="G7" s="79">
        <v>122.4</v>
      </c>
      <c r="H7" s="63" t="s">
        <v>83</v>
      </c>
      <c r="I7" s="81">
        <f t="shared" si="0"/>
        <v>1317.50136</v>
      </c>
      <c r="J7" s="65" t="s">
        <v>87</v>
      </c>
      <c r="K7" s="75">
        <f>G4/G7</f>
        <v>600.49019607843138</v>
      </c>
      <c r="L7" s="75">
        <f>I4/I7</f>
        <v>122.990059000774</v>
      </c>
    </row>
    <row r="8" spans="2:12" ht="16.2" x14ac:dyDescent="0.3">
      <c r="B8" s="63" t="s">
        <v>88</v>
      </c>
      <c r="C8" s="64" t="s">
        <v>84</v>
      </c>
      <c r="D8" s="63" t="s">
        <v>89</v>
      </c>
      <c r="E8" s="67">
        <f>E4/E7</f>
        <v>0.20481609825435018</v>
      </c>
      <c r="G8" s="80"/>
      <c r="H8" s="63" t="s">
        <v>88</v>
      </c>
      <c r="I8" s="78" t="str">
        <f t="shared" si="0"/>
        <v/>
      </c>
      <c r="J8" s="63" t="s">
        <v>89</v>
      </c>
    </row>
    <row r="9" spans="2:12" ht="16.2" x14ac:dyDescent="0.3">
      <c r="B9" s="63" t="s">
        <v>108</v>
      </c>
      <c r="C9" s="64" t="s">
        <v>84</v>
      </c>
      <c r="D9" s="63" t="s">
        <v>109</v>
      </c>
      <c r="E9" s="67">
        <f>0.062427960591578</f>
        <v>6.2427960591577999E-2</v>
      </c>
      <c r="G9" s="80">
        <v>1.2250000000000001</v>
      </c>
      <c r="H9" s="63" t="s">
        <v>108</v>
      </c>
      <c r="I9" s="78">
        <f t="shared" ref="I9" si="1">IF(G9="","",G9*E9)</f>
        <v>7.6474251724683057E-2</v>
      </c>
      <c r="J9" s="63" t="s">
        <v>109</v>
      </c>
    </row>
    <row r="12" spans="2:12" x14ac:dyDescent="0.3">
      <c r="B12" s="70" t="s">
        <v>91</v>
      </c>
      <c r="C12" s="66" t="s">
        <v>84</v>
      </c>
      <c r="D12" s="70" t="s">
        <v>90</v>
      </c>
      <c r="E12" s="71" t="s">
        <v>92</v>
      </c>
      <c r="G12" s="70" t="s">
        <v>91</v>
      </c>
      <c r="H12" s="74"/>
      <c r="I12" s="70" t="s">
        <v>90</v>
      </c>
    </row>
    <row r="13" spans="2:12" x14ac:dyDescent="0.3">
      <c r="B13" s="65" t="s">
        <v>82</v>
      </c>
      <c r="C13" s="64" t="s">
        <v>84</v>
      </c>
      <c r="D13" s="63" t="s">
        <v>81</v>
      </c>
      <c r="E13" s="68">
        <f t="shared" ref="E13:E18" si="2">1/E4</f>
        <v>0.45359290943563974</v>
      </c>
      <c r="G13" s="72"/>
      <c r="H13" s="65" t="s">
        <v>82</v>
      </c>
      <c r="I13" s="73" t="str">
        <f>IF(G13="","",G13*E13)</f>
        <v/>
      </c>
      <c r="J13" s="63" t="s">
        <v>81</v>
      </c>
    </row>
    <row r="14" spans="2:12" x14ac:dyDescent="0.3">
      <c r="B14" s="63" t="s">
        <v>85</v>
      </c>
      <c r="C14" s="64" t="s">
        <v>84</v>
      </c>
      <c r="D14" s="63" t="s">
        <v>17</v>
      </c>
      <c r="E14" s="68">
        <f t="shared" si="2"/>
        <v>4.4482204893932185</v>
      </c>
      <c r="G14" s="72"/>
      <c r="H14" s="63" t="s">
        <v>85</v>
      </c>
      <c r="I14" s="73" t="str">
        <f t="shared" ref="I14:I17" si="3">IF(G14="","",G14*E14)</f>
        <v/>
      </c>
      <c r="J14" s="63" t="s">
        <v>17</v>
      </c>
    </row>
    <row r="15" spans="2:12" x14ac:dyDescent="0.3">
      <c r="B15" s="63" t="s">
        <v>86</v>
      </c>
      <c r="C15" s="64" t="s">
        <v>84</v>
      </c>
      <c r="D15" s="63" t="s">
        <v>7</v>
      </c>
      <c r="E15" s="68">
        <f t="shared" si="2"/>
        <v>0.30479720318086362</v>
      </c>
      <c r="G15" s="72"/>
      <c r="H15" s="63" t="s">
        <v>86</v>
      </c>
      <c r="I15" s="73" t="str">
        <f t="shared" si="3"/>
        <v/>
      </c>
      <c r="J15" s="63" t="s">
        <v>7</v>
      </c>
    </row>
    <row r="16" spans="2:12" ht="16.2" x14ac:dyDescent="0.3">
      <c r="B16" s="65" t="s">
        <v>87</v>
      </c>
      <c r="C16" s="64" t="s">
        <v>84</v>
      </c>
      <c r="D16" s="63" t="s">
        <v>83</v>
      </c>
      <c r="E16" s="68">
        <f t="shared" si="2"/>
        <v>9.2903129906446558E-2</v>
      </c>
      <c r="G16" s="72"/>
      <c r="H16" s="65" t="s">
        <v>87</v>
      </c>
      <c r="I16" s="73" t="str">
        <f t="shared" si="3"/>
        <v/>
      </c>
      <c r="J16" s="63" t="s">
        <v>83</v>
      </c>
    </row>
    <row r="17" spans="2:10" ht="16.2" x14ac:dyDescent="0.3">
      <c r="B17" s="63" t="s">
        <v>89</v>
      </c>
      <c r="C17" s="64" t="s">
        <v>84</v>
      </c>
      <c r="D17" s="63" t="s">
        <v>88</v>
      </c>
      <c r="E17" s="69">
        <f t="shared" si="2"/>
        <v>4.8824287178742827</v>
      </c>
      <c r="G17" s="72"/>
      <c r="H17" s="63" t="s">
        <v>89</v>
      </c>
      <c r="I17" s="76" t="str">
        <f t="shared" si="3"/>
        <v/>
      </c>
      <c r="J17" s="63" t="s">
        <v>88</v>
      </c>
    </row>
    <row r="18" spans="2:10" ht="16.2" x14ac:dyDescent="0.3">
      <c r="B18" s="63" t="s">
        <v>109</v>
      </c>
      <c r="D18" s="63" t="s">
        <v>108</v>
      </c>
      <c r="E18" s="69">
        <f t="shared" si="2"/>
        <v>16.01846337000007</v>
      </c>
      <c r="G18"/>
      <c r="H18"/>
    </row>
    <row r="21" spans="2:10" ht="16.2" x14ac:dyDescent="0.3">
      <c r="B21" s="63" t="s">
        <v>104</v>
      </c>
      <c r="C21" s="64" t="s">
        <v>84</v>
      </c>
      <c r="D21" s="63" t="s">
        <v>105</v>
      </c>
      <c r="E21" s="69">
        <f>(0.3048)^3/0.4536</f>
        <v>6.2426910476190485E-2</v>
      </c>
      <c r="G21" s="72">
        <v>37.5</v>
      </c>
      <c r="H21" s="63" t="s">
        <v>89</v>
      </c>
      <c r="I21" s="76">
        <f>IF(G21="","",G21*E21)</f>
        <v>2.3410091428571431</v>
      </c>
      <c r="J21" s="63" t="s">
        <v>88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9DC6F-50AF-4F0B-B2F8-D64CBF687E6C}">
  <dimension ref="B2:E27"/>
  <sheetViews>
    <sheetView showGridLines="0" workbookViewId="0">
      <selection activeCell="F33" sqref="F33:K33"/>
    </sheetView>
  </sheetViews>
  <sheetFormatPr baseColWidth="10" defaultRowHeight="14.4" x14ac:dyDescent="0.3"/>
  <sheetData>
    <row r="2" spans="2:5" x14ac:dyDescent="0.3">
      <c r="B2" s="46"/>
      <c r="C2" s="46"/>
      <c r="D2" s="46"/>
      <c r="E2" s="46"/>
    </row>
    <row r="3" spans="2:5" x14ac:dyDescent="0.3">
      <c r="B3" s="46"/>
      <c r="C3" s="171" t="s">
        <v>124</v>
      </c>
      <c r="D3" s="172"/>
      <c r="E3" s="172"/>
    </row>
    <row r="4" spans="2:5" x14ac:dyDescent="0.3">
      <c r="C4" s="90" t="s">
        <v>63</v>
      </c>
      <c r="D4" s="91" t="s">
        <v>125</v>
      </c>
      <c r="E4" s="91" t="s">
        <v>126</v>
      </c>
    </row>
    <row r="5" spans="2:5" x14ac:dyDescent="0.3">
      <c r="B5" s="96" t="s">
        <v>44</v>
      </c>
      <c r="C5" s="94" t="s">
        <v>101</v>
      </c>
      <c r="D5" s="95" t="s">
        <v>101</v>
      </c>
      <c r="E5" s="95" t="s">
        <v>101</v>
      </c>
    </row>
    <row r="6" spans="2:5" x14ac:dyDescent="0.3">
      <c r="B6" s="89">
        <v>50</v>
      </c>
      <c r="C6" s="92">
        <f>857.4+28.43*$B6+0.0185*$B6^2</f>
        <v>2325.15</v>
      </c>
      <c r="D6" s="93">
        <f>667.9+26.91*$B6+0.0123*$B6^2</f>
        <v>2044.15</v>
      </c>
      <c r="E6" s="93">
        <f>486.7+26.2*$B6+0.0093*$B6^2</f>
        <v>1819.95</v>
      </c>
    </row>
    <row r="7" spans="2:5" x14ac:dyDescent="0.3">
      <c r="B7" s="89">
        <v>100</v>
      </c>
      <c r="C7" s="92">
        <f t="shared" ref="C7:C13" si="0">857.4+28.43*$B7+0.0185*$B7^2</f>
        <v>3885.4</v>
      </c>
      <c r="D7" s="93">
        <f t="shared" ref="D7:D13" si="1">667.9+26.91*$B7+0.0123*$B7^2</f>
        <v>3481.9</v>
      </c>
      <c r="E7" s="93">
        <f t="shared" ref="E7:E13" si="2">486.7+26.2*$B7+0.0093*$B7^2</f>
        <v>3199.7</v>
      </c>
    </row>
    <row r="8" spans="2:5" x14ac:dyDescent="0.3">
      <c r="B8" s="89">
        <v>150</v>
      </c>
      <c r="C8" s="92">
        <f t="shared" si="0"/>
        <v>5538.15</v>
      </c>
      <c r="D8" s="93">
        <f t="shared" si="1"/>
        <v>4981.1499999999996</v>
      </c>
      <c r="E8" s="93">
        <f t="shared" si="2"/>
        <v>4625.95</v>
      </c>
    </row>
    <row r="9" spans="2:5" x14ac:dyDescent="0.3">
      <c r="B9" s="89">
        <v>200</v>
      </c>
      <c r="C9" s="92">
        <f t="shared" si="0"/>
        <v>7283.4</v>
      </c>
      <c r="D9" s="93">
        <f t="shared" si="1"/>
        <v>6541.9</v>
      </c>
      <c r="E9" s="93">
        <f t="shared" si="2"/>
        <v>6098.7</v>
      </c>
    </row>
    <row r="10" spans="2:5" x14ac:dyDescent="0.3">
      <c r="B10" s="89">
        <v>250</v>
      </c>
      <c r="C10" s="92">
        <f t="shared" si="0"/>
        <v>9121.15</v>
      </c>
      <c r="D10" s="93">
        <f t="shared" si="1"/>
        <v>8164.15</v>
      </c>
      <c r="E10" s="93">
        <f t="shared" si="2"/>
        <v>7617.95</v>
      </c>
    </row>
    <row r="11" spans="2:5" x14ac:dyDescent="0.3">
      <c r="B11" s="89">
        <v>300</v>
      </c>
      <c r="C11" s="92">
        <f t="shared" si="0"/>
        <v>11051.4</v>
      </c>
      <c r="D11" s="93">
        <f t="shared" si="1"/>
        <v>9847.9</v>
      </c>
      <c r="E11" s="93">
        <f t="shared" si="2"/>
        <v>9183.7000000000007</v>
      </c>
    </row>
    <row r="12" spans="2:5" x14ac:dyDescent="0.3">
      <c r="B12" s="89">
        <v>350</v>
      </c>
      <c r="C12" s="92">
        <f t="shared" si="0"/>
        <v>13074.15</v>
      </c>
      <c r="D12" s="93">
        <f t="shared" si="1"/>
        <v>11593.15</v>
      </c>
      <c r="E12" s="93">
        <f t="shared" si="2"/>
        <v>10795.95</v>
      </c>
    </row>
    <row r="13" spans="2:5" x14ac:dyDescent="0.3">
      <c r="B13" s="89">
        <v>400</v>
      </c>
      <c r="C13" s="92">
        <f t="shared" si="0"/>
        <v>15189.4</v>
      </c>
      <c r="D13" s="93">
        <f t="shared" si="1"/>
        <v>13399.9</v>
      </c>
      <c r="E13" s="93">
        <f t="shared" si="2"/>
        <v>12454.7</v>
      </c>
    </row>
    <row r="17" spans="2:5" x14ac:dyDescent="0.3">
      <c r="B17" s="46"/>
      <c r="C17" s="171" t="s">
        <v>124</v>
      </c>
      <c r="D17" s="172"/>
      <c r="E17" s="172"/>
    </row>
    <row r="18" spans="2:5" x14ac:dyDescent="0.3">
      <c r="C18" s="90" t="s">
        <v>63</v>
      </c>
      <c r="D18" s="91" t="s">
        <v>125</v>
      </c>
      <c r="E18" s="91" t="s">
        <v>126</v>
      </c>
    </row>
    <row r="19" spans="2:5" x14ac:dyDescent="0.3">
      <c r="B19" s="96" t="s">
        <v>44</v>
      </c>
      <c r="C19" s="94" t="s">
        <v>101</v>
      </c>
      <c r="D19" s="95" t="s">
        <v>101</v>
      </c>
      <c r="E19" s="95" t="s">
        <v>101</v>
      </c>
    </row>
    <row r="20" spans="2:5" x14ac:dyDescent="0.3">
      <c r="B20" s="89">
        <v>50</v>
      </c>
      <c r="C20" s="92">
        <f>37.5*$B20</f>
        <v>1875</v>
      </c>
      <c r="D20" s="93">
        <f>28.5*$B20</f>
        <v>1425</v>
      </c>
      <c r="E20" s="93">
        <f>25.1*$B20</f>
        <v>1255</v>
      </c>
    </row>
    <row r="21" spans="2:5" x14ac:dyDescent="0.3">
      <c r="B21" s="89">
        <v>100</v>
      </c>
      <c r="C21" s="92">
        <f t="shared" ref="C21:C27" si="3">37.5*$B21</f>
        <v>3750</v>
      </c>
      <c r="D21" s="93">
        <f t="shared" ref="D21:D27" si="4">28.5*$B21</f>
        <v>2850</v>
      </c>
      <c r="E21" s="93">
        <f t="shared" ref="E21:E27" si="5">25.1*$B21</f>
        <v>2510</v>
      </c>
    </row>
    <row r="22" spans="2:5" x14ac:dyDescent="0.3">
      <c r="B22" s="89">
        <v>150</v>
      </c>
      <c r="C22" s="92">
        <f t="shared" si="3"/>
        <v>5625</v>
      </c>
      <c r="D22" s="93">
        <f t="shared" si="4"/>
        <v>4275</v>
      </c>
      <c r="E22" s="93">
        <f t="shared" si="5"/>
        <v>3765</v>
      </c>
    </row>
    <row r="23" spans="2:5" x14ac:dyDescent="0.3">
      <c r="B23" s="89">
        <v>200</v>
      </c>
      <c r="C23" s="92">
        <f t="shared" si="3"/>
        <v>7500</v>
      </c>
      <c r="D23" s="93">
        <f t="shared" si="4"/>
        <v>5700</v>
      </c>
      <c r="E23" s="93">
        <f t="shared" si="5"/>
        <v>5020</v>
      </c>
    </row>
    <row r="24" spans="2:5" x14ac:dyDescent="0.3">
      <c r="B24" s="89">
        <v>250</v>
      </c>
      <c r="C24" s="92">
        <f t="shared" si="3"/>
        <v>9375</v>
      </c>
      <c r="D24" s="93">
        <f t="shared" si="4"/>
        <v>7125</v>
      </c>
      <c r="E24" s="93">
        <f t="shared" si="5"/>
        <v>6275</v>
      </c>
    </row>
    <row r="25" spans="2:5" x14ac:dyDescent="0.3">
      <c r="B25" s="89">
        <v>300</v>
      </c>
      <c r="C25" s="92">
        <f t="shared" si="3"/>
        <v>11250</v>
      </c>
      <c r="D25" s="93">
        <f t="shared" si="4"/>
        <v>8550</v>
      </c>
      <c r="E25" s="93">
        <f t="shared" si="5"/>
        <v>7530</v>
      </c>
    </row>
    <row r="26" spans="2:5" x14ac:dyDescent="0.3">
      <c r="B26" s="89">
        <v>350</v>
      </c>
      <c r="C26" s="92">
        <f t="shared" si="3"/>
        <v>13125</v>
      </c>
      <c r="D26" s="93">
        <f t="shared" si="4"/>
        <v>9975</v>
      </c>
      <c r="E26" s="93">
        <f t="shared" si="5"/>
        <v>8785</v>
      </c>
    </row>
    <row r="27" spans="2:5" x14ac:dyDescent="0.3">
      <c r="B27" s="89">
        <v>400</v>
      </c>
      <c r="C27" s="92">
        <f t="shared" si="3"/>
        <v>15000</v>
      </c>
      <c r="D27" s="93">
        <f t="shared" si="4"/>
        <v>11400</v>
      </c>
      <c r="E27" s="93">
        <f t="shared" si="5"/>
        <v>10040</v>
      </c>
    </row>
  </sheetData>
  <mergeCells count="2">
    <mergeCell ref="C3:E3"/>
    <mergeCell ref="C17:E17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calc_mixed (A320)</vt:lpstr>
      <vt:lpstr>calc_mixed (A340)</vt:lpstr>
      <vt:lpstr>CLmax_Estimation</vt:lpstr>
      <vt:lpstr>Raymer</vt:lpstr>
      <vt:lpstr>convert</vt:lpstr>
      <vt:lpstr>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Farje</dc:creator>
  <cp:lastModifiedBy>Enis Farje</cp:lastModifiedBy>
  <dcterms:created xsi:type="dcterms:W3CDTF">2022-01-27T12:48:57Z</dcterms:created>
  <dcterms:modified xsi:type="dcterms:W3CDTF">2022-05-13T00:37:28Z</dcterms:modified>
</cp:coreProperties>
</file>