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2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11835"/>
  </bookViews>
  <sheets>
    <sheet name="Tab1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/>
  <c r="D14"/>
  <c r="H6" l="1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"/>
  <c r="G6" l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"/>
  <c r="D17" l="1"/>
  <c r="D16"/>
  <c r="D43"/>
  <c r="D44"/>
  <c r="D53"/>
  <c r="D18"/>
  <c r="D51"/>
  <c r="D52"/>
  <c r="D50"/>
  <c r="D49"/>
  <c r="D48"/>
  <c r="D47"/>
  <c r="D46"/>
  <c r="D45" l="1"/>
  <c r="D42"/>
  <c r="D41"/>
  <c r="D40"/>
  <c r="D39" l="1"/>
  <c r="D38"/>
  <c r="D37"/>
  <c r="D36"/>
  <c r="D35"/>
  <c r="D34"/>
  <c r="D33"/>
  <c r="D32"/>
  <c r="D31"/>
  <c r="D30"/>
  <c r="D28"/>
  <c r="D29"/>
  <c r="D27"/>
  <c r="D26"/>
  <c r="D25"/>
  <c r="D24"/>
  <c r="D23"/>
  <c r="D22"/>
  <c r="D21"/>
  <c r="D20"/>
  <c r="D19"/>
  <c r="D13"/>
  <c r="D12"/>
  <c r="D11"/>
  <c r="D10"/>
  <c r="D9"/>
  <c r="D8" l="1"/>
  <c r="D7"/>
  <c r="D6"/>
  <c r="D5"/>
</calcChain>
</file>

<file path=xl/sharedStrings.xml><?xml version="1.0" encoding="utf-8"?>
<sst xmlns="http://schemas.openxmlformats.org/spreadsheetml/2006/main" count="56" uniqueCount="56">
  <si>
    <t>Airbus A300</t>
  </si>
  <si>
    <t>Airbus A319</t>
  </si>
  <si>
    <t>Airbus A320</t>
  </si>
  <si>
    <t>Airbus A321</t>
  </si>
  <si>
    <t>Airbus A330-200</t>
  </si>
  <si>
    <t>Airbus A330-300</t>
  </si>
  <si>
    <t>Airbus A340-300</t>
  </si>
  <si>
    <t>Airbus A340-600</t>
  </si>
  <si>
    <t>Airbus A380</t>
  </si>
  <si>
    <t>Antonov An-24</t>
  </si>
  <si>
    <t>Antonov An-26</t>
  </si>
  <si>
    <t>ATR 42</t>
  </si>
  <si>
    <t>ATR 72</t>
  </si>
  <si>
    <t>Beechcraft 1900D</t>
  </si>
  <si>
    <t>Boeing 717-200</t>
  </si>
  <si>
    <t>Boeing 737-300</t>
  </si>
  <si>
    <t>Boeing 737-400</t>
  </si>
  <si>
    <t>Boeing 737-500</t>
  </si>
  <si>
    <t>Boeing 737-700</t>
  </si>
  <si>
    <t>Boeing 737-800</t>
  </si>
  <si>
    <t>Boeing 737-900</t>
  </si>
  <si>
    <t>Boeing 747-400</t>
  </si>
  <si>
    <t>Boeing 747-8</t>
  </si>
  <si>
    <t>Boeing 757-200</t>
  </si>
  <si>
    <t>Boeing 767-300</t>
  </si>
  <si>
    <t>Boeing 777-200/200ER</t>
  </si>
  <si>
    <t>Boeing 777-300ER</t>
  </si>
  <si>
    <t>Boeing 787-8</t>
  </si>
  <si>
    <t>Boeing 787-9</t>
  </si>
  <si>
    <t>Boeing MD-11</t>
  </si>
  <si>
    <t>Boeing MD-80</t>
  </si>
  <si>
    <r>
      <t xml:space="preserve">Bombardier </t>
    </r>
    <r>
      <rPr>
        <b/>
        <sz val="11"/>
        <color theme="1"/>
        <rFont val="Calibri"/>
        <family val="2"/>
        <scheme val="minor"/>
      </rPr>
      <t>CRJ100</t>
    </r>
    <r>
      <rPr>
        <sz val="11"/>
        <color theme="1"/>
        <rFont val="Calibri"/>
        <family val="2"/>
        <scheme val="minor"/>
      </rPr>
      <t>/200</t>
    </r>
  </si>
  <si>
    <r>
      <t>Bombardier CRJ100/</t>
    </r>
    <r>
      <rPr>
        <b/>
        <sz val="11"/>
        <color theme="1"/>
        <rFont val="Calibri"/>
        <family val="2"/>
        <scheme val="minor"/>
      </rPr>
      <t>200</t>
    </r>
  </si>
  <si>
    <t>Bombardier CRJ700</t>
  </si>
  <si>
    <t>Bombardier CRJ900</t>
  </si>
  <si>
    <t>Bombardier Dash 8 Q100</t>
  </si>
  <si>
    <t xml:space="preserve">Bombarbier Dash 8 Q300 </t>
  </si>
  <si>
    <t>Bombardier Dash 8Q400</t>
  </si>
  <si>
    <t xml:space="preserve">De Havilland Canada Twin Otter </t>
  </si>
  <si>
    <t>Dornier 228</t>
  </si>
  <si>
    <t>Embraer 170</t>
  </si>
  <si>
    <t>Embraer 175</t>
  </si>
  <si>
    <t>Embraer 190</t>
  </si>
  <si>
    <t>Embraer 195</t>
  </si>
  <si>
    <t>Embraer ERJ-145</t>
  </si>
  <si>
    <t>Embraer EMB-120 Brasilia</t>
  </si>
  <si>
    <t>Fokker 50</t>
  </si>
  <si>
    <t>Fokker 100</t>
  </si>
  <si>
    <t>Saab 340</t>
  </si>
  <si>
    <t xml:space="preserve">Aircraft type </t>
  </si>
  <si>
    <t>M (-)</t>
  </si>
  <si>
    <t>x</t>
  </si>
  <si>
    <r>
      <t>s</t>
    </r>
    <r>
      <rPr>
        <b/>
        <vertAlign val="subscript"/>
        <sz val="12"/>
        <color theme="1"/>
        <rFont val="Calibri"/>
        <family val="2"/>
        <scheme val="minor"/>
      </rPr>
      <t>LFL</t>
    </r>
    <r>
      <rPr>
        <b/>
        <sz val="12"/>
        <color theme="1"/>
        <rFont val="Calibri"/>
        <family val="2"/>
        <scheme val="minor"/>
      </rPr>
      <t xml:space="preserve"> (m)</t>
    </r>
  </si>
  <si>
    <r>
      <t>m</t>
    </r>
    <r>
      <rPr>
        <b/>
        <vertAlign val="subscript"/>
        <sz val="12"/>
        <color theme="1"/>
        <rFont val="Calibri"/>
        <family val="2"/>
        <scheme val="minor"/>
      </rPr>
      <t>ML</t>
    </r>
    <r>
      <rPr>
        <b/>
        <sz val="12"/>
        <color theme="1"/>
        <rFont val="Calibri"/>
        <family val="2"/>
        <scheme val="minor"/>
      </rPr>
      <t>/m</t>
    </r>
    <r>
      <rPr>
        <b/>
        <vertAlign val="subscript"/>
        <sz val="12"/>
        <color theme="1"/>
        <rFont val="Calibri"/>
        <family val="2"/>
        <scheme val="minor"/>
      </rPr>
      <t>MTO</t>
    </r>
    <r>
      <rPr>
        <b/>
        <sz val="12"/>
        <color theme="1"/>
        <rFont val="Calibri"/>
        <family val="2"/>
        <scheme val="minor"/>
      </rPr>
      <t xml:space="preserve"> (-)</t>
    </r>
  </si>
  <si>
    <r>
      <t>h</t>
    </r>
    <r>
      <rPr>
        <b/>
        <vertAlign val="subscript"/>
        <sz val="12"/>
        <color theme="1"/>
        <rFont val="Calibri"/>
        <family val="2"/>
        <scheme val="minor"/>
      </rPr>
      <t>CR</t>
    </r>
    <r>
      <rPr>
        <b/>
        <sz val="12"/>
        <color theme="1"/>
        <rFont val="Calibri"/>
        <family val="2"/>
        <scheme val="minor"/>
      </rPr>
      <t xml:space="preserve"> (m)</t>
    </r>
  </si>
  <si>
    <r>
      <t>p(h</t>
    </r>
    <r>
      <rPr>
        <b/>
        <vertAlign val="subscript"/>
        <sz val="12"/>
        <color theme="1"/>
        <rFont val="Calibri"/>
        <family val="2"/>
        <scheme val="minor"/>
      </rPr>
      <t>CR</t>
    </r>
    <r>
      <rPr>
        <b/>
        <sz val="12"/>
        <color theme="1"/>
        <rFont val="Calibri"/>
        <family val="2"/>
        <scheme val="minor"/>
      </rPr>
      <t>) (Pa)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</si>
</sst>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0" borderId="1" xfId="0" applyFill="1" applyBorder="1"/>
    <xf numFmtId="164" fontId="0" fillId="0" borderId="1" xfId="0" applyNumberFormat="1" applyBorder="1"/>
    <xf numFmtId="164" fontId="0" fillId="0" borderId="1" xfId="0" applyNumberFormat="1" applyFill="1" applyBorder="1"/>
    <xf numFmtId="0" fontId="0" fillId="0" borderId="2" xfId="0" applyFill="1" applyBorder="1"/>
    <xf numFmtId="0" fontId="0" fillId="0" borderId="4" xfId="0" applyFill="1" applyBorder="1"/>
    <xf numFmtId="0" fontId="0" fillId="0" borderId="5" xfId="0" applyBorder="1"/>
    <xf numFmtId="164" fontId="0" fillId="0" borderId="5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2" borderId="10" xfId="0" applyFont="1" applyFill="1" applyBorder="1"/>
    <xf numFmtId="0" fontId="2" fillId="2" borderId="11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/>
    <xf numFmtId="2" fontId="0" fillId="0" borderId="1" xfId="0" applyNumberFormat="1" applyBorder="1"/>
    <xf numFmtId="2" fontId="0" fillId="0" borderId="5" xfId="0" applyNumberFormat="1" applyBorder="1"/>
    <xf numFmtId="2" fontId="0" fillId="0" borderId="3" xfId="0" applyNumberFormat="1" applyBorder="1"/>
    <xf numFmtId="2" fontId="0" fillId="0" borderId="6" xfId="0" applyNumberFormat="1" applyBorder="1"/>
    <xf numFmtId="0" fontId="0" fillId="3" borderId="2" xfId="0" applyFill="1" applyBorder="1"/>
    <xf numFmtId="0" fontId="0" fillId="3" borderId="1" xfId="0" applyFill="1" applyBorder="1"/>
    <xf numFmtId="164" fontId="0" fillId="3" borderId="1" xfId="0" applyNumberFormat="1" applyFill="1" applyBorder="1"/>
    <xf numFmtId="2" fontId="0" fillId="3" borderId="1" xfId="0" applyNumberFormat="1" applyFill="1" applyBorder="1"/>
    <xf numFmtId="2" fontId="0" fillId="3" borderId="3" xfId="0" applyNumberFormat="1" applyFill="1" applyBorder="1"/>
    <xf numFmtId="0" fontId="0" fillId="4" borderId="2" xfId="0" applyFill="1" applyBorder="1"/>
    <xf numFmtId="0" fontId="0" fillId="4" borderId="1" xfId="0" applyFill="1" applyBorder="1"/>
    <xf numFmtId="164" fontId="0" fillId="4" borderId="1" xfId="0" applyNumberFormat="1" applyFill="1" applyBorder="1"/>
    <xf numFmtId="2" fontId="0" fillId="4" borderId="1" xfId="0" applyNumberFormat="1" applyFill="1" applyBorder="1"/>
    <xf numFmtId="2" fontId="0" fillId="4" borderId="3" xfId="0" applyNumberForma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scatterChart>
        <c:scatterStyle val="lineMarker"/>
        <c:ser>
          <c:idx val="0"/>
          <c:order val="0"/>
          <c:tx>
            <c:v>ambient pressure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9.0773345954706514E-2"/>
                  <c:y val="-1.7333187190774667E-2"/>
                </c:manualLayout>
              </c:layout>
              <c:numFmt formatCode="0.00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('Tab1'!$G$5:$G$15,'Tab1'!$G$19:$G$24,'Tab1'!$G$26:$G$42,'Tab1'!$G$45:$G$53)</c:f>
              <c:numCache>
                <c:formatCode>0.00</c:formatCode>
                <c:ptCount val="43"/>
                <c:pt idx="0">
                  <c:v>3885.8959639671461</c:v>
                </c:pt>
                <c:pt idx="1">
                  <c:v>2863.7536033985739</c:v>
                </c:pt>
                <c:pt idx="2">
                  <c:v>3014.8811441087423</c:v>
                </c:pt>
                <c:pt idx="3">
                  <c:v>3121.0440296855168</c:v>
                </c:pt>
                <c:pt idx="4">
                  <c:v>3331.9223905184649</c:v>
                </c:pt>
                <c:pt idx="5">
                  <c:v>2964.8763945576075</c:v>
                </c:pt>
                <c:pt idx="6">
                  <c:v>4250.6496759447709</c:v>
                </c:pt>
                <c:pt idx="7">
                  <c:v>4749.7769185008929</c:v>
                </c:pt>
                <c:pt idx="8">
                  <c:v>4241.8281137477397</c:v>
                </c:pt>
                <c:pt idx="9">
                  <c:v>9937.4999999999982</c:v>
                </c:pt>
                <c:pt idx="10">
                  <c:v>12049.861495844876</c:v>
                </c:pt>
                <c:pt idx="11">
                  <c:v>2630.6156378881365</c:v>
                </c:pt>
                <c:pt idx="12">
                  <c:v>3018.8891269920086</c:v>
                </c:pt>
                <c:pt idx="13">
                  <c:v>3402.1852174514279</c:v>
                </c:pt>
                <c:pt idx="14">
                  <c:v>3018.6075199116099</c:v>
                </c:pt>
                <c:pt idx="15">
                  <c:v>2598.1985761086298</c:v>
                </c:pt>
                <c:pt idx="16">
                  <c:v>3052.586076717912</c:v>
                </c:pt>
                <c:pt idx="17">
                  <c:v>4094.5744229431416</c:v>
                </c:pt>
                <c:pt idx="18">
                  <c:v>4179.9952076783575</c:v>
                </c:pt>
                <c:pt idx="19">
                  <c:v>2962.162444320712</c:v>
                </c:pt>
                <c:pt idx="20">
                  <c:v>2957.6619200017631</c:v>
                </c:pt>
                <c:pt idx="21">
                  <c:v>3261.8081709062876</c:v>
                </c:pt>
                <c:pt idx="22">
                  <c:v>3441.7911513100339</c:v>
                </c:pt>
                <c:pt idx="23">
                  <c:v>3644.4724957509002</c:v>
                </c:pt>
                <c:pt idx="24">
                  <c:v>3265.1298532307433</c:v>
                </c:pt>
                <c:pt idx="25">
                  <c:v>4202.1943847205903</c:v>
                </c:pt>
                <c:pt idx="26">
                  <c:v>2804.4289650282317</c:v>
                </c:pt>
                <c:pt idx="27">
                  <c:v>2791.3839417787635</c:v>
                </c:pt>
                <c:pt idx="28">
                  <c:v>2865.0454624645918</c:v>
                </c:pt>
                <c:pt idx="29">
                  <c:v>2706.8429747626169</c:v>
                </c:pt>
                <c:pt idx="30">
                  <c:v>3034.5534030316558</c:v>
                </c:pt>
                <c:pt idx="31">
                  <c:v>4125.9343195520642</c:v>
                </c:pt>
                <c:pt idx="32">
                  <c:v>4504.5096778145289</c:v>
                </c:pt>
                <c:pt idx="33">
                  <c:v>3901.7833179844192</c:v>
                </c:pt>
                <c:pt idx="34">
                  <c:v>2276.0308927053766</c:v>
                </c:pt>
                <c:pt idx="35">
                  <c:v>2345.834783617589</c:v>
                </c:pt>
                <c:pt idx="36">
                  <c:v>2416.7916609329845</c:v>
                </c:pt>
                <c:pt idx="37">
                  <c:v>2557.2960040908756</c:v>
                </c:pt>
                <c:pt idx="38">
                  <c:v>3653.7537600267378</c:v>
                </c:pt>
                <c:pt idx="39">
                  <c:v>7574.0640586503223</c:v>
                </c:pt>
                <c:pt idx="40">
                  <c:v>6066.9842343922137</c:v>
                </c:pt>
                <c:pt idx="41">
                  <c:v>2735.2339389573917</c:v>
                </c:pt>
                <c:pt idx="42">
                  <c:v>6863.3002431118302</c:v>
                </c:pt>
              </c:numCache>
            </c:numRef>
          </c:xVal>
          <c:yVal>
            <c:numRef>
              <c:f>('Tab1'!$H$5:$H$15,'Tab1'!$H$19:$H$24,'Tab1'!$H$26:$H$42,'Tab1'!$H$45:$H$53)</c:f>
              <c:numCache>
                <c:formatCode>0.00</c:formatCode>
                <c:ptCount val="43"/>
                <c:pt idx="0">
                  <c:v>26200.859002153789</c:v>
                </c:pt>
                <c:pt idx="1">
                  <c:v>21655.960225832496</c:v>
                </c:pt>
                <c:pt idx="2">
                  <c:v>21655.960225832496</c:v>
                </c:pt>
                <c:pt idx="3">
                  <c:v>21655.960225832496</c:v>
                </c:pt>
                <c:pt idx="4">
                  <c:v>19639.313473449063</c:v>
                </c:pt>
                <c:pt idx="5">
                  <c:v>19639.313473449063</c:v>
                </c:pt>
                <c:pt idx="6">
                  <c:v>19639.313473449063</c:v>
                </c:pt>
                <c:pt idx="7">
                  <c:v>19639.313473449063</c:v>
                </c:pt>
                <c:pt idx="8">
                  <c:v>16897.521718034724</c:v>
                </c:pt>
                <c:pt idx="9">
                  <c:v>47179.491428076413</c:v>
                </c:pt>
                <c:pt idx="10">
                  <c:v>46561.722550922837</c:v>
                </c:pt>
                <c:pt idx="11">
                  <c:v>24763.239568760084</c:v>
                </c:pt>
                <c:pt idx="12">
                  <c:v>23840.827774938512</c:v>
                </c:pt>
                <c:pt idx="13">
                  <c:v>23840.827774938512</c:v>
                </c:pt>
                <c:pt idx="14">
                  <c:v>23840.827774938512</c:v>
                </c:pt>
                <c:pt idx="15">
                  <c:v>19639.313473449063</c:v>
                </c:pt>
                <c:pt idx="16">
                  <c:v>19639.313473449063</c:v>
                </c:pt>
                <c:pt idx="17">
                  <c:v>23840.827774938512</c:v>
                </c:pt>
                <c:pt idx="18">
                  <c:v>23840.827774938512</c:v>
                </c:pt>
                <c:pt idx="19">
                  <c:v>19639.313473449063</c:v>
                </c:pt>
                <c:pt idx="20">
                  <c:v>19639.313473449063</c:v>
                </c:pt>
                <c:pt idx="21">
                  <c:v>19639.313473449063</c:v>
                </c:pt>
                <c:pt idx="22">
                  <c:v>23840.827774938512</c:v>
                </c:pt>
                <c:pt idx="23">
                  <c:v>16897.521718034724</c:v>
                </c:pt>
                <c:pt idx="24">
                  <c:v>16897.521718034724</c:v>
                </c:pt>
                <c:pt idx="25">
                  <c:v>28742.269486567129</c:v>
                </c:pt>
                <c:pt idx="26">
                  <c:v>23840.827774938512</c:v>
                </c:pt>
                <c:pt idx="27">
                  <c:v>21655.960225832496</c:v>
                </c:pt>
                <c:pt idx="28">
                  <c:v>21655.960225832496</c:v>
                </c:pt>
                <c:pt idx="29">
                  <c:v>17765.763573600816</c:v>
                </c:pt>
                <c:pt idx="30">
                  <c:v>17765.763573600816</c:v>
                </c:pt>
                <c:pt idx="31">
                  <c:v>37599.32879346791</c:v>
                </c:pt>
                <c:pt idx="32">
                  <c:v>37599.32879346791</c:v>
                </c:pt>
                <c:pt idx="33">
                  <c:v>37599.32879346791</c:v>
                </c:pt>
                <c:pt idx="34">
                  <c:v>23840.827774938512</c:v>
                </c:pt>
                <c:pt idx="35">
                  <c:v>23840.827774938512</c:v>
                </c:pt>
                <c:pt idx="36">
                  <c:v>23840.827774938512</c:v>
                </c:pt>
                <c:pt idx="37">
                  <c:v>23840.827774938512</c:v>
                </c:pt>
                <c:pt idx="38">
                  <c:v>21655.960225832496</c:v>
                </c:pt>
                <c:pt idx="39">
                  <c:v>37599.32879346791</c:v>
                </c:pt>
                <c:pt idx="40">
                  <c:v>37599.32879346791</c:v>
                </c:pt>
                <c:pt idx="41">
                  <c:v>23840.827774938512</c:v>
                </c:pt>
                <c:pt idx="42">
                  <c:v>48487.835843867615</c:v>
                </c:pt>
              </c:numCache>
            </c:numRef>
          </c:yVal>
        </c:ser>
        <c:dLbls/>
        <c:axId val="112521984"/>
        <c:axId val="112524288"/>
      </c:scatterChart>
      <c:valAx>
        <c:axId val="112521984"/>
        <c:scaling>
          <c:orientation val="minMax"/>
        </c:scaling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x= s</a:t>
                </a:r>
                <a:r>
                  <a:rPr lang="nl-BE" baseline="-25000"/>
                  <a:t>LFL</a:t>
                </a:r>
                <a:r>
                  <a:rPr lang="nl-BE"/>
                  <a:t>/(m</a:t>
                </a:r>
                <a:r>
                  <a:rPr lang="nl-BE" baseline="-25000"/>
                  <a:t>ML</a:t>
                </a:r>
                <a:r>
                  <a:rPr lang="nl-BE"/>
                  <a:t>/m</a:t>
                </a:r>
                <a:r>
                  <a:rPr lang="nl-BE" baseline="-25000"/>
                  <a:t>MTO</a:t>
                </a:r>
                <a:r>
                  <a:rPr lang="nl-BE"/>
                  <a:t>*M²)  (m)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24288"/>
        <c:crosses val="autoZero"/>
        <c:crossBetween val="midCat"/>
      </c:valAx>
      <c:valAx>
        <c:axId val="11252428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Pressure</a:t>
                </a:r>
                <a:r>
                  <a:rPr lang="nl-BE" baseline="0"/>
                  <a:t> (Pa)</a:t>
                </a:r>
                <a:endParaRPr lang="nl-BE"/>
              </a:p>
            </c:rich>
          </c:tx>
          <c:layout>
            <c:manualLayout>
              <c:xMode val="edge"/>
              <c:yMode val="edge"/>
              <c:x val="1.0928961748633882E-2"/>
              <c:y val="5.7878825727547788E-2"/>
            </c:manualLayout>
          </c:layout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219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scatterChart>
        <c:scatterStyle val="lineMarker"/>
        <c:ser>
          <c:idx val="0"/>
          <c:order val="0"/>
          <c:tx>
            <c:v>Ambient pressure (everything included)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5100934621132696E-2"/>
                  <c:y val="-0.17830342413687808"/>
                </c:manualLayout>
              </c:layout>
              <c:numFmt formatCode="0.00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('Tab1'!$G$5:$G$15,'Tab1'!$G$19:$G$24,'Tab1'!$G$26:$G$53)</c:f>
              <c:numCache>
                <c:formatCode>0.00</c:formatCode>
                <c:ptCount val="45"/>
                <c:pt idx="0">
                  <c:v>3885.8959639671461</c:v>
                </c:pt>
                <c:pt idx="1">
                  <c:v>2863.7536033985739</c:v>
                </c:pt>
                <c:pt idx="2">
                  <c:v>3014.8811441087423</c:v>
                </c:pt>
                <c:pt idx="3">
                  <c:v>3121.0440296855168</c:v>
                </c:pt>
                <c:pt idx="4">
                  <c:v>3331.9223905184649</c:v>
                </c:pt>
                <c:pt idx="5">
                  <c:v>2964.8763945576075</c:v>
                </c:pt>
                <c:pt idx="6">
                  <c:v>4250.6496759447709</c:v>
                </c:pt>
                <c:pt idx="7">
                  <c:v>4749.7769185008929</c:v>
                </c:pt>
                <c:pt idx="8">
                  <c:v>4241.8281137477397</c:v>
                </c:pt>
                <c:pt idx="9">
                  <c:v>9937.4999999999982</c:v>
                </c:pt>
                <c:pt idx="10">
                  <c:v>12049.861495844876</c:v>
                </c:pt>
                <c:pt idx="11">
                  <c:v>2630.6156378881365</c:v>
                </c:pt>
                <c:pt idx="12">
                  <c:v>3018.8891269920086</c:v>
                </c:pt>
                <c:pt idx="13">
                  <c:v>3402.1852174514279</c:v>
                </c:pt>
                <c:pt idx="14">
                  <c:v>3018.6075199116099</c:v>
                </c:pt>
                <c:pt idx="15">
                  <c:v>2598.1985761086298</c:v>
                </c:pt>
                <c:pt idx="16">
                  <c:v>3052.586076717912</c:v>
                </c:pt>
                <c:pt idx="17">
                  <c:v>4094.5744229431416</c:v>
                </c:pt>
                <c:pt idx="18">
                  <c:v>4179.9952076783575</c:v>
                </c:pt>
                <c:pt idx="19">
                  <c:v>2962.162444320712</c:v>
                </c:pt>
                <c:pt idx="20">
                  <c:v>2957.6619200017631</c:v>
                </c:pt>
                <c:pt idx="21">
                  <c:v>3261.8081709062876</c:v>
                </c:pt>
                <c:pt idx="22">
                  <c:v>3441.7911513100339</c:v>
                </c:pt>
                <c:pt idx="23">
                  <c:v>3644.4724957509002</c:v>
                </c:pt>
                <c:pt idx="24">
                  <c:v>3265.1298532307433</c:v>
                </c:pt>
                <c:pt idx="25">
                  <c:v>4202.1943847205903</c:v>
                </c:pt>
                <c:pt idx="26">
                  <c:v>2804.4289650282317</c:v>
                </c:pt>
                <c:pt idx="27">
                  <c:v>2791.3839417787635</c:v>
                </c:pt>
                <c:pt idx="28">
                  <c:v>2865.0454624645918</c:v>
                </c:pt>
                <c:pt idx="29">
                  <c:v>2706.8429747626169</c:v>
                </c:pt>
                <c:pt idx="30">
                  <c:v>3034.5534030316558</c:v>
                </c:pt>
                <c:pt idx="31">
                  <c:v>4125.9343195520642</c:v>
                </c:pt>
                <c:pt idx="32">
                  <c:v>4504.5096778145289</c:v>
                </c:pt>
                <c:pt idx="33">
                  <c:v>3901.7833179844192</c:v>
                </c:pt>
                <c:pt idx="34">
                  <c:v>3504.5212650889112</c:v>
                </c:pt>
                <c:pt idx="35">
                  <c:v>3854.1318166610909</c:v>
                </c:pt>
                <c:pt idx="36">
                  <c:v>2276.0308927053766</c:v>
                </c:pt>
                <c:pt idx="37">
                  <c:v>2345.834783617589</c:v>
                </c:pt>
                <c:pt idx="38">
                  <c:v>2416.7916609329845</c:v>
                </c:pt>
                <c:pt idx="39">
                  <c:v>2557.2960040908756</c:v>
                </c:pt>
                <c:pt idx="40">
                  <c:v>3653.7537600267378</c:v>
                </c:pt>
                <c:pt idx="41">
                  <c:v>7574.0640586503223</c:v>
                </c:pt>
                <c:pt idx="42">
                  <c:v>6066.9842343922137</c:v>
                </c:pt>
                <c:pt idx="43">
                  <c:v>2735.2339389573917</c:v>
                </c:pt>
                <c:pt idx="44">
                  <c:v>6863.3002431118302</c:v>
                </c:pt>
              </c:numCache>
            </c:numRef>
          </c:xVal>
          <c:yVal>
            <c:numRef>
              <c:f>('Tab1'!$H$5:$H$15,'Tab1'!$H$19:$H$24,'Tab1'!$H$26:$H$53)</c:f>
              <c:numCache>
                <c:formatCode>0.00</c:formatCode>
                <c:ptCount val="45"/>
                <c:pt idx="0">
                  <c:v>26200.859002153789</c:v>
                </c:pt>
                <c:pt idx="1">
                  <c:v>21655.960225832496</c:v>
                </c:pt>
                <c:pt idx="2">
                  <c:v>21655.960225832496</c:v>
                </c:pt>
                <c:pt idx="3">
                  <c:v>21655.960225832496</c:v>
                </c:pt>
                <c:pt idx="4">
                  <c:v>19639.313473449063</c:v>
                </c:pt>
                <c:pt idx="5">
                  <c:v>19639.313473449063</c:v>
                </c:pt>
                <c:pt idx="6">
                  <c:v>19639.313473449063</c:v>
                </c:pt>
                <c:pt idx="7">
                  <c:v>19639.313473449063</c:v>
                </c:pt>
                <c:pt idx="8">
                  <c:v>16897.521718034724</c:v>
                </c:pt>
                <c:pt idx="9">
                  <c:v>47179.491428076413</c:v>
                </c:pt>
                <c:pt idx="10">
                  <c:v>46561.722550922837</c:v>
                </c:pt>
                <c:pt idx="11">
                  <c:v>24763.239568760084</c:v>
                </c:pt>
                <c:pt idx="12">
                  <c:v>23840.827774938512</c:v>
                </c:pt>
                <c:pt idx="13">
                  <c:v>23840.827774938512</c:v>
                </c:pt>
                <c:pt idx="14">
                  <c:v>23840.827774938512</c:v>
                </c:pt>
                <c:pt idx="15">
                  <c:v>19639.313473449063</c:v>
                </c:pt>
                <c:pt idx="16">
                  <c:v>19639.313473449063</c:v>
                </c:pt>
                <c:pt idx="17">
                  <c:v>23840.827774938512</c:v>
                </c:pt>
                <c:pt idx="18">
                  <c:v>23840.827774938512</c:v>
                </c:pt>
                <c:pt idx="19">
                  <c:v>19639.313473449063</c:v>
                </c:pt>
                <c:pt idx="20">
                  <c:v>19639.313473449063</c:v>
                </c:pt>
                <c:pt idx="21">
                  <c:v>19639.313473449063</c:v>
                </c:pt>
                <c:pt idx="22">
                  <c:v>23840.827774938512</c:v>
                </c:pt>
                <c:pt idx="23">
                  <c:v>16897.521718034724</c:v>
                </c:pt>
                <c:pt idx="24">
                  <c:v>16897.521718034724</c:v>
                </c:pt>
                <c:pt idx="25">
                  <c:v>28742.269486567129</c:v>
                </c:pt>
                <c:pt idx="26">
                  <c:v>23840.827774938512</c:v>
                </c:pt>
                <c:pt idx="27">
                  <c:v>21655.960225832496</c:v>
                </c:pt>
                <c:pt idx="28">
                  <c:v>21655.960225832496</c:v>
                </c:pt>
                <c:pt idx="29">
                  <c:v>17765.763573600816</c:v>
                </c:pt>
                <c:pt idx="30">
                  <c:v>17765.763573600816</c:v>
                </c:pt>
                <c:pt idx="31">
                  <c:v>37599.32879346791</c:v>
                </c:pt>
                <c:pt idx="32">
                  <c:v>37599.32879346791</c:v>
                </c:pt>
                <c:pt idx="33">
                  <c:v>37599.32879346791</c:v>
                </c:pt>
                <c:pt idx="34">
                  <c:v>69662.807140331483</c:v>
                </c:pt>
                <c:pt idx="35">
                  <c:v>57157.897240328515</c:v>
                </c:pt>
                <c:pt idx="36">
                  <c:v>23840.827774938512</c:v>
                </c:pt>
                <c:pt idx="37">
                  <c:v>23840.827774938512</c:v>
                </c:pt>
                <c:pt idx="38">
                  <c:v>23840.827774938512</c:v>
                </c:pt>
                <c:pt idx="39">
                  <c:v>23840.827774938512</c:v>
                </c:pt>
                <c:pt idx="40">
                  <c:v>21655.960225832496</c:v>
                </c:pt>
                <c:pt idx="41">
                  <c:v>37599.32879346791</c:v>
                </c:pt>
                <c:pt idx="42">
                  <c:v>37599.32879346791</c:v>
                </c:pt>
                <c:pt idx="43">
                  <c:v>23840.827774938512</c:v>
                </c:pt>
                <c:pt idx="44">
                  <c:v>48487.835843867615</c:v>
                </c:pt>
              </c:numCache>
            </c:numRef>
          </c:yVal>
        </c:ser>
        <c:dLbls/>
        <c:axId val="220332032"/>
        <c:axId val="220334336"/>
      </c:scatterChart>
      <c:valAx>
        <c:axId val="220332032"/>
        <c:scaling>
          <c:orientation val="minMax"/>
        </c:scaling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nl-BE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rPr>
                  <a:t>x= sLFL/(mML/mMTO*M²)  (m)</a:t>
                </a: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nl-BE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endParaRPr lang="nl-BE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endParaRP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334336"/>
        <c:crosses val="autoZero"/>
        <c:crossBetween val="midCat"/>
      </c:valAx>
      <c:valAx>
        <c:axId val="22033433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Pressure</a:t>
                </a:r>
                <a:r>
                  <a:rPr lang="nl-BE" baseline="0"/>
                  <a:t> (Pa)</a:t>
                </a:r>
                <a:endParaRPr lang="nl-BE"/>
              </a:p>
            </c:rich>
          </c:tx>
          <c:layout>
            <c:manualLayout>
              <c:xMode val="edge"/>
              <c:yMode val="edge"/>
              <c:x val="1.5108593012275734E-2"/>
              <c:y val="7.5211642289829878E-2"/>
            </c:manualLayout>
          </c:layout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3320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605557525207436"/>
          <c:y val="0.34557139703348255"/>
          <c:w val="0.21607040981354395"/>
          <c:h val="0.24357603709988573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485774</xdr:colOff>
      <xdr:row>3</xdr:row>
      <xdr:rowOff>85725</xdr:rowOff>
    </xdr:from>
    <xdr:to>
      <xdr:col>26</xdr:col>
      <xdr:colOff>133349</xdr:colOff>
      <xdr:row>23</xdr:row>
      <xdr:rowOff>57150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142874</xdr:colOff>
      <xdr:row>24</xdr:row>
      <xdr:rowOff>23811</xdr:rowOff>
    </xdr:from>
    <xdr:to>
      <xdr:col>28</xdr:col>
      <xdr:colOff>66675</xdr:colOff>
      <xdr:row>46</xdr:row>
      <xdr:rowOff>95250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53"/>
  <sheetViews>
    <sheetView tabSelected="1" workbookViewId="0">
      <selection activeCell="B1" sqref="B1"/>
    </sheetView>
  </sheetViews>
  <sheetFormatPr baseColWidth="10" defaultColWidth="9.140625" defaultRowHeight="15"/>
  <cols>
    <col min="2" max="2" width="30" bestFit="1" customWidth="1"/>
    <col min="4" max="4" width="14.7109375" bestFit="1" customWidth="1"/>
    <col min="8" max="8" width="11" bestFit="1" customWidth="1"/>
  </cols>
  <sheetData>
    <row r="2" spans="2:8" ht="15.75" thickBot="1"/>
    <row r="3" spans="2:8" ht="19.5" thickBot="1">
      <c r="B3" s="12" t="s">
        <v>49</v>
      </c>
      <c r="C3" s="13" t="s">
        <v>52</v>
      </c>
      <c r="D3" s="13" t="s">
        <v>53</v>
      </c>
      <c r="E3" s="13" t="s">
        <v>50</v>
      </c>
      <c r="F3" s="13" t="s">
        <v>54</v>
      </c>
      <c r="G3" s="14" t="s">
        <v>51</v>
      </c>
      <c r="H3" s="15" t="s">
        <v>55</v>
      </c>
    </row>
    <row r="4" spans="2:8">
      <c r="B4" s="9"/>
      <c r="C4" s="10"/>
      <c r="D4" s="10"/>
      <c r="E4" s="10"/>
      <c r="F4" s="10"/>
      <c r="G4" s="10"/>
      <c r="H4" s="11"/>
    </row>
    <row r="5" spans="2:8">
      <c r="B5" s="5" t="s">
        <v>0</v>
      </c>
      <c r="C5" s="1">
        <v>1920</v>
      </c>
      <c r="D5" s="3">
        <f>134000/165000</f>
        <v>0.81212121212121213</v>
      </c>
      <c r="E5" s="1">
        <v>0.78</v>
      </c>
      <c r="F5" s="1">
        <v>10058</v>
      </c>
      <c r="G5" s="16">
        <f>IF(AND(ISNUMBER(C5),ISNUMBER(D5),ISNUMBER(E5)),C5/(D5*E5^2),"")</f>
        <v>3885.8959639671461</v>
      </c>
      <c r="H5" s="18">
        <f>IF(ISNUMBER(F5),101325*(1-0.0065*(F5/288.15))^5.2561,"")</f>
        <v>26200.859002153789</v>
      </c>
    </row>
    <row r="6" spans="2:8">
      <c r="B6" s="5" t="s">
        <v>1</v>
      </c>
      <c r="C6" s="1">
        <v>1350</v>
      </c>
      <c r="D6" s="3">
        <f>58500/75500</f>
        <v>0.77483443708609268</v>
      </c>
      <c r="E6" s="1">
        <v>0.78</v>
      </c>
      <c r="F6" s="1">
        <v>11278</v>
      </c>
      <c r="G6" s="16">
        <f t="shared" ref="G6:G53" si="0">IF(AND(ISNUMBER(C6),ISNUMBER(D6),ISNUMBER(E6)),C6/(D6*E6^2),"")</f>
        <v>2863.7536033985739</v>
      </c>
      <c r="H6" s="18">
        <f t="shared" ref="H6:H53" si="1">IF(ISNUMBER(F6),101325*(1-0.0065*(F6/288.15))^5.2561,"")</f>
        <v>21655.960225832496</v>
      </c>
    </row>
    <row r="7" spans="2:8">
      <c r="B7" s="5" t="s">
        <v>2</v>
      </c>
      <c r="C7" s="1">
        <v>1440</v>
      </c>
      <c r="D7" s="3">
        <f>64500/78000</f>
        <v>0.82692307692307687</v>
      </c>
      <c r="E7" s="1">
        <v>0.76</v>
      </c>
      <c r="F7" s="1">
        <v>11278</v>
      </c>
      <c r="G7" s="16">
        <f t="shared" si="0"/>
        <v>3014.8811441087423</v>
      </c>
      <c r="H7" s="18">
        <f t="shared" si="1"/>
        <v>21655.960225832496</v>
      </c>
    </row>
    <row r="8" spans="2:8">
      <c r="B8" s="5" t="s">
        <v>3</v>
      </c>
      <c r="C8" s="1">
        <v>1580</v>
      </c>
      <c r="D8" s="3">
        <f>77800/93500</f>
        <v>0.83208556149732615</v>
      </c>
      <c r="E8" s="1">
        <v>0.78</v>
      </c>
      <c r="F8" s="1">
        <v>11278</v>
      </c>
      <c r="G8" s="16">
        <f t="shared" si="0"/>
        <v>3121.0440296855168</v>
      </c>
      <c r="H8" s="18">
        <f t="shared" si="1"/>
        <v>21655.960225832496</v>
      </c>
    </row>
    <row r="9" spans="2:8">
      <c r="B9" s="5" t="s">
        <v>4</v>
      </c>
      <c r="C9" s="1">
        <v>1750</v>
      </c>
      <c r="D9" s="3">
        <f>182000/233000</f>
        <v>0.7811158798283262</v>
      </c>
      <c r="E9" s="1">
        <v>0.82</v>
      </c>
      <c r="F9" s="1">
        <v>11887</v>
      </c>
      <c r="G9" s="16">
        <f t="shared" si="0"/>
        <v>3331.9223905184649</v>
      </c>
      <c r="H9" s="18">
        <f t="shared" si="1"/>
        <v>19639.313473449063</v>
      </c>
    </row>
    <row r="10" spans="2:8">
      <c r="B10" s="5" t="s">
        <v>5</v>
      </c>
      <c r="C10" s="1">
        <v>1600</v>
      </c>
      <c r="D10" s="3">
        <f>187000/233000</f>
        <v>0.80257510729613735</v>
      </c>
      <c r="E10" s="1">
        <v>0.82</v>
      </c>
      <c r="F10" s="2">
        <v>11887</v>
      </c>
      <c r="G10" s="16">
        <f t="shared" si="0"/>
        <v>2964.8763945576075</v>
      </c>
      <c r="H10" s="18">
        <f t="shared" si="1"/>
        <v>19639.313473449063</v>
      </c>
    </row>
    <row r="11" spans="2:8">
      <c r="B11" s="5" t="s">
        <v>6</v>
      </c>
      <c r="C11" s="1">
        <v>1964</v>
      </c>
      <c r="D11" s="3">
        <f>190000/276500</f>
        <v>0.68716094032549724</v>
      </c>
      <c r="E11" s="1">
        <v>0.82</v>
      </c>
      <c r="F11" s="2">
        <v>11887</v>
      </c>
      <c r="G11" s="16">
        <f t="shared" si="0"/>
        <v>4250.6496759447709</v>
      </c>
      <c r="H11" s="18">
        <f t="shared" si="1"/>
        <v>19639.313473449063</v>
      </c>
    </row>
    <row r="12" spans="2:8">
      <c r="B12" s="5" t="s">
        <v>7</v>
      </c>
      <c r="C12" s="1">
        <v>2240</v>
      </c>
      <c r="D12" s="3">
        <f>256000/365000</f>
        <v>0.70136986301369864</v>
      </c>
      <c r="E12" s="1">
        <v>0.82</v>
      </c>
      <c r="F12" s="2">
        <v>11887</v>
      </c>
      <c r="G12" s="16">
        <f t="shared" si="0"/>
        <v>4749.7769185008929</v>
      </c>
      <c r="H12" s="18">
        <f t="shared" si="1"/>
        <v>19639.313473449063</v>
      </c>
    </row>
    <row r="13" spans="2:8">
      <c r="B13" s="5" t="s">
        <v>8</v>
      </c>
      <c r="C13" s="1">
        <v>2100</v>
      </c>
      <c r="D13" s="3">
        <f>394000/575000</f>
        <v>0.68521739130434778</v>
      </c>
      <c r="E13" s="1">
        <v>0.85</v>
      </c>
      <c r="F13" s="2">
        <v>12802</v>
      </c>
      <c r="G13" s="16">
        <f t="shared" si="0"/>
        <v>4241.8281137477397</v>
      </c>
      <c r="H13" s="18">
        <f t="shared" si="1"/>
        <v>16897.521718034724</v>
      </c>
    </row>
    <row r="14" spans="2:8">
      <c r="B14" s="5" t="s">
        <v>9</v>
      </c>
      <c r="C14" s="1">
        <v>1590</v>
      </c>
      <c r="D14" s="3">
        <f>21000/21000</f>
        <v>1</v>
      </c>
      <c r="E14" s="1">
        <v>0.4</v>
      </c>
      <c r="F14" s="2">
        <v>6000</v>
      </c>
      <c r="G14" s="16">
        <f t="shared" si="0"/>
        <v>9937.4999999999982</v>
      </c>
      <c r="H14" s="18">
        <f t="shared" si="1"/>
        <v>47179.491428076413</v>
      </c>
    </row>
    <row r="15" spans="2:8">
      <c r="B15" s="5" t="s">
        <v>10</v>
      </c>
      <c r="C15" s="2">
        <v>1740</v>
      </c>
      <c r="D15" s="4">
        <f>24000/24000</f>
        <v>1</v>
      </c>
      <c r="E15" s="2">
        <v>0.38</v>
      </c>
      <c r="F15" s="2">
        <v>6096</v>
      </c>
      <c r="G15" s="16">
        <f t="shared" si="0"/>
        <v>12049.861495844876</v>
      </c>
      <c r="H15" s="18">
        <f t="shared" si="1"/>
        <v>46561.722550922837</v>
      </c>
    </row>
    <row r="16" spans="2:8">
      <c r="B16" s="20" t="s">
        <v>11</v>
      </c>
      <c r="C16" s="21">
        <v>1126</v>
      </c>
      <c r="D16" s="22">
        <f>18300/18600</f>
        <v>0.9838709677419355</v>
      </c>
      <c r="E16" s="21"/>
      <c r="F16" s="21">
        <v>5487</v>
      </c>
      <c r="G16" s="23" t="str">
        <f t="shared" si="0"/>
        <v/>
      </c>
      <c r="H16" s="24">
        <f t="shared" si="1"/>
        <v>50594.241032620572</v>
      </c>
    </row>
    <row r="17" spans="2:8">
      <c r="B17" s="20" t="s">
        <v>12</v>
      </c>
      <c r="C17" s="21">
        <v>1067</v>
      </c>
      <c r="D17" s="22">
        <f>22350/22500</f>
        <v>0.99333333333333329</v>
      </c>
      <c r="E17" s="21"/>
      <c r="F17" s="21">
        <v>6707</v>
      </c>
      <c r="G17" s="23" t="str">
        <f t="shared" si="0"/>
        <v/>
      </c>
      <c r="H17" s="24">
        <f t="shared" si="1"/>
        <v>42781.544793709836</v>
      </c>
    </row>
    <row r="18" spans="2:8">
      <c r="B18" s="20" t="s">
        <v>13</v>
      </c>
      <c r="C18" s="21"/>
      <c r="D18" s="22">
        <f>7303/7688</f>
        <v>0.94992195629552545</v>
      </c>
      <c r="E18" s="21">
        <v>0.48</v>
      </c>
      <c r="F18" s="21">
        <v>7620</v>
      </c>
      <c r="G18" s="23" t="str">
        <f t="shared" si="0"/>
        <v/>
      </c>
      <c r="H18" s="24">
        <f t="shared" si="1"/>
        <v>37599.32879346791</v>
      </c>
    </row>
    <row r="19" spans="2:8">
      <c r="B19" s="5" t="s">
        <v>14</v>
      </c>
      <c r="C19" s="1">
        <v>1418</v>
      </c>
      <c r="D19" s="3">
        <f>49898/54884</f>
        <v>0.90915385176007579</v>
      </c>
      <c r="E19" s="1">
        <v>0.77</v>
      </c>
      <c r="F19" s="2">
        <v>10424</v>
      </c>
      <c r="G19" s="16">
        <f t="shared" si="0"/>
        <v>2630.6156378881365</v>
      </c>
      <c r="H19" s="18">
        <f t="shared" si="1"/>
        <v>24763.239568760084</v>
      </c>
    </row>
    <row r="20" spans="2:8">
      <c r="B20" s="5" t="s">
        <v>15</v>
      </c>
      <c r="C20" s="1">
        <v>1396</v>
      </c>
      <c r="D20" s="3">
        <f>51710/61235</f>
        <v>0.8444517024577447</v>
      </c>
      <c r="E20" s="1">
        <v>0.74</v>
      </c>
      <c r="F20" s="2">
        <v>10668</v>
      </c>
      <c r="G20" s="16">
        <f t="shared" si="0"/>
        <v>3018.8891269920086</v>
      </c>
      <c r="H20" s="18">
        <f t="shared" si="1"/>
        <v>23840.827774938512</v>
      </c>
    </row>
    <row r="21" spans="2:8">
      <c r="B21" s="5" t="s">
        <v>16</v>
      </c>
      <c r="C21" s="1">
        <v>1582</v>
      </c>
      <c r="D21" s="3">
        <f>56245/68039</f>
        <v>0.82665824012698597</v>
      </c>
      <c r="E21" s="1">
        <v>0.75</v>
      </c>
      <c r="F21" s="2">
        <v>10668</v>
      </c>
      <c r="G21" s="16">
        <f t="shared" si="0"/>
        <v>3402.1852174514279</v>
      </c>
      <c r="H21" s="18">
        <f t="shared" si="1"/>
        <v>23840.827774938512</v>
      </c>
    </row>
    <row r="22" spans="2:8">
      <c r="B22" s="5" t="s">
        <v>17</v>
      </c>
      <c r="C22" s="1">
        <v>1362</v>
      </c>
      <c r="D22" s="3">
        <f>49895/60555</f>
        <v>0.8239616877219057</v>
      </c>
      <c r="E22" s="1">
        <v>0.74</v>
      </c>
      <c r="F22" s="2">
        <v>10668</v>
      </c>
      <c r="G22" s="16">
        <f t="shared" si="0"/>
        <v>3018.6075199116099</v>
      </c>
      <c r="H22" s="18">
        <f t="shared" si="1"/>
        <v>23840.827774938512</v>
      </c>
    </row>
    <row r="23" spans="2:8">
      <c r="B23" s="5" t="s">
        <v>18</v>
      </c>
      <c r="C23" s="1">
        <v>1356</v>
      </c>
      <c r="D23" s="3">
        <f>58604/70080</f>
        <v>0.8362442922374429</v>
      </c>
      <c r="E23" s="1">
        <v>0.79</v>
      </c>
      <c r="F23" s="2">
        <v>11887</v>
      </c>
      <c r="G23" s="16">
        <f t="shared" si="0"/>
        <v>2598.1985761086298</v>
      </c>
      <c r="H23" s="18">
        <f t="shared" si="1"/>
        <v>19639.313473449063</v>
      </c>
    </row>
    <row r="24" spans="2:8">
      <c r="B24" s="5" t="s">
        <v>19</v>
      </c>
      <c r="C24" s="1">
        <v>1600</v>
      </c>
      <c r="D24" s="3">
        <f>66361/79016</f>
        <v>0.83984256353143671</v>
      </c>
      <c r="E24" s="1">
        <v>0.79</v>
      </c>
      <c r="F24" s="2">
        <v>11887</v>
      </c>
      <c r="G24" s="16">
        <f t="shared" si="0"/>
        <v>3052.586076717912</v>
      </c>
      <c r="H24" s="18">
        <f t="shared" si="1"/>
        <v>19639.313473449063</v>
      </c>
    </row>
    <row r="25" spans="2:8">
      <c r="B25" s="20" t="s">
        <v>20</v>
      </c>
      <c r="C25" s="21"/>
      <c r="D25" s="22">
        <f>66361/74389</f>
        <v>0.89208081840056996</v>
      </c>
      <c r="E25" s="21"/>
      <c r="F25" s="21">
        <v>10973</v>
      </c>
      <c r="G25" s="23" t="str">
        <f t="shared" si="0"/>
        <v/>
      </c>
      <c r="H25" s="24">
        <f t="shared" si="1"/>
        <v>22727.141102287354</v>
      </c>
    </row>
    <row r="26" spans="2:8">
      <c r="B26" s="5" t="s">
        <v>21</v>
      </c>
      <c r="C26" s="1">
        <v>2130</v>
      </c>
      <c r="D26" s="3">
        <f>285764/396894</f>
        <v>0.72000080626061369</v>
      </c>
      <c r="E26" s="1">
        <v>0.85</v>
      </c>
      <c r="F26" s="2">
        <v>10668</v>
      </c>
      <c r="G26" s="16">
        <f t="shared" si="0"/>
        <v>4094.5744229431416</v>
      </c>
      <c r="H26" s="18">
        <f t="shared" si="1"/>
        <v>23840.827774938512</v>
      </c>
    </row>
    <row r="27" spans="2:8">
      <c r="B27" s="5" t="s">
        <v>22</v>
      </c>
      <c r="C27" s="1">
        <v>2130</v>
      </c>
      <c r="D27" s="3">
        <f>312072/447696</f>
        <v>0.69706229226975447</v>
      </c>
      <c r="E27" s="1">
        <v>0.85499999999999998</v>
      </c>
      <c r="F27" s="2">
        <v>10668</v>
      </c>
      <c r="G27" s="16">
        <f t="shared" si="0"/>
        <v>4179.9952076783575</v>
      </c>
      <c r="H27" s="18">
        <f t="shared" si="1"/>
        <v>23840.827774938512</v>
      </c>
    </row>
    <row r="28" spans="2:8">
      <c r="B28" s="5" t="s">
        <v>23</v>
      </c>
      <c r="C28" s="1">
        <v>1564</v>
      </c>
      <c r="D28" s="3">
        <f>89800/108850</f>
        <v>0.82498851630684433</v>
      </c>
      <c r="E28" s="1">
        <v>0.8</v>
      </c>
      <c r="F28" s="2">
        <v>11887</v>
      </c>
      <c r="G28" s="16">
        <f t="shared" si="0"/>
        <v>2962.162444320712</v>
      </c>
      <c r="H28" s="18">
        <f t="shared" si="1"/>
        <v>19639.313473449063</v>
      </c>
    </row>
    <row r="29" spans="2:8">
      <c r="B29" s="5" t="s">
        <v>24</v>
      </c>
      <c r="C29" s="1">
        <v>1646</v>
      </c>
      <c r="D29" s="3">
        <f>136078/156490</f>
        <v>0.86956355038660615</v>
      </c>
      <c r="E29" s="1">
        <v>0.8</v>
      </c>
      <c r="F29" s="2">
        <v>11887</v>
      </c>
      <c r="G29" s="16">
        <f t="shared" si="0"/>
        <v>2957.6619200017631</v>
      </c>
      <c r="H29" s="18">
        <f t="shared" si="1"/>
        <v>19639.313473449063</v>
      </c>
    </row>
    <row r="30" spans="2:8">
      <c r="B30" s="5" t="s">
        <v>25</v>
      </c>
      <c r="C30" s="1">
        <v>1585</v>
      </c>
      <c r="D30" s="3">
        <f>201800/233600</f>
        <v>0.86386986301369861</v>
      </c>
      <c r="E30" s="1">
        <v>0.75</v>
      </c>
      <c r="F30" s="2">
        <v>11887</v>
      </c>
      <c r="G30" s="16">
        <f t="shared" si="0"/>
        <v>3261.8081709062876</v>
      </c>
      <c r="H30" s="18">
        <f t="shared" si="1"/>
        <v>19639.313473449063</v>
      </c>
    </row>
    <row r="31" spans="2:8">
      <c r="B31" s="5" t="s">
        <v>26</v>
      </c>
      <c r="C31" s="1">
        <v>1736</v>
      </c>
      <c r="D31" s="3">
        <f>251290/351535</f>
        <v>0.71483636053309063</v>
      </c>
      <c r="E31" s="1">
        <v>0.84</v>
      </c>
      <c r="F31" s="2">
        <v>10668</v>
      </c>
      <c r="G31" s="16">
        <f t="shared" si="0"/>
        <v>3441.7911513100339</v>
      </c>
      <c r="H31" s="18">
        <f t="shared" si="1"/>
        <v>23840.827774938512</v>
      </c>
    </row>
    <row r="32" spans="2:8">
      <c r="B32" s="5" t="s">
        <v>27</v>
      </c>
      <c r="C32" s="1">
        <v>1633</v>
      </c>
      <c r="D32" s="3">
        <f>172365/277930</f>
        <v>0.62017414456877629</v>
      </c>
      <c r="E32" s="1">
        <v>0.85</v>
      </c>
      <c r="F32" s="2">
        <v>12802</v>
      </c>
      <c r="G32" s="16">
        <f t="shared" si="0"/>
        <v>3644.4724957509002</v>
      </c>
      <c r="H32" s="18">
        <f t="shared" si="1"/>
        <v>16897.521718034724</v>
      </c>
    </row>
    <row r="33" spans="2:8">
      <c r="B33" s="5" t="s">
        <v>28</v>
      </c>
      <c r="C33" s="1">
        <v>1800</v>
      </c>
      <c r="D33" s="3">
        <f>192777/252651</f>
        <v>0.76301696807057962</v>
      </c>
      <c r="E33" s="1">
        <v>0.85</v>
      </c>
      <c r="F33" s="2">
        <v>12802</v>
      </c>
      <c r="G33" s="16">
        <f t="shared" si="0"/>
        <v>3265.1298532307433</v>
      </c>
      <c r="H33" s="18">
        <f t="shared" si="1"/>
        <v>16897.521718034724</v>
      </c>
    </row>
    <row r="34" spans="2:8">
      <c r="B34" s="5" t="s">
        <v>29</v>
      </c>
      <c r="C34" s="1">
        <v>1966</v>
      </c>
      <c r="D34" s="3">
        <f>195048/280325</f>
        <v>0.69579238384018549</v>
      </c>
      <c r="E34" s="1">
        <v>0.82</v>
      </c>
      <c r="F34" s="2">
        <v>9449</v>
      </c>
      <c r="G34" s="16">
        <f t="shared" si="0"/>
        <v>4202.1943847205903</v>
      </c>
      <c r="H34" s="18">
        <f t="shared" si="1"/>
        <v>28742.269486567129</v>
      </c>
    </row>
    <row r="35" spans="2:8">
      <c r="B35" s="5" t="s">
        <v>30</v>
      </c>
      <c r="C35" s="1">
        <v>1481</v>
      </c>
      <c r="D35" s="3">
        <f>58061/63504</f>
        <v>0.91428886369362561</v>
      </c>
      <c r="E35" s="1">
        <v>0.76</v>
      </c>
      <c r="F35" s="2">
        <v>10668</v>
      </c>
      <c r="G35" s="16">
        <f t="shared" si="0"/>
        <v>2804.4289650282317</v>
      </c>
      <c r="H35" s="18">
        <f t="shared" si="1"/>
        <v>23840.827774938512</v>
      </c>
    </row>
    <row r="36" spans="2:8">
      <c r="B36" s="5" t="s">
        <v>31</v>
      </c>
      <c r="C36" s="1">
        <v>1440</v>
      </c>
      <c r="D36" s="3">
        <f>20276/21523</f>
        <v>0.94206198020722021</v>
      </c>
      <c r="E36" s="1">
        <v>0.74</v>
      </c>
      <c r="F36" s="2">
        <v>11278</v>
      </c>
      <c r="G36" s="16">
        <f t="shared" si="0"/>
        <v>2791.3839417787635</v>
      </c>
      <c r="H36" s="18">
        <f t="shared" si="1"/>
        <v>21655.960225832496</v>
      </c>
    </row>
    <row r="37" spans="2:8">
      <c r="B37" s="5" t="s">
        <v>32</v>
      </c>
      <c r="C37" s="1">
        <v>1478</v>
      </c>
      <c r="D37" s="3">
        <f>20276/21523</f>
        <v>0.94206198020722021</v>
      </c>
      <c r="E37" s="1">
        <v>0.74</v>
      </c>
      <c r="F37" s="2">
        <v>11278</v>
      </c>
      <c r="G37" s="16">
        <f t="shared" si="0"/>
        <v>2865.0454624645918</v>
      </c>
      <c r="H37" s="18">
        <f t="shared" si="1"/>
        <v>21655.960225832496</v>
      </c>
    </row>
    <row r="38" spans="2:8">
      <c r="B38" s="5" t="s">
        <v>33</v>
      </c>
      <c r="C38" s="1">
        <v>1478</v>
      </c>
      <c r="D38" s="3">
        <f>30390/32999</f>
        <v>0.92093699809085128</v>
      </c>
      <c r="E38" s="1">
        <v>0.77</v>
      </c>
      <c r="F38" s="2">
        <v>12500</v>
      </c>
      <c r="G38" s="16">
        <f t="shared" si="0"/>
        <v>2706.8429747626169</v>
      </c>
      <c r="H38" s="18">
        <f t="shared" si="1"/>
        <v>17765.763573600816</v>
      </c>
    </row>
    <row r="39" spans="2:8">
      <c r="B39" s="5" t="s">
        <v>34</v>
      </c>
      <c r="C39" s="1">
        <v>1565</v>
      </c>
      <c r="D39" s="3">
        <f>33340/38329</f>
        <v>0.86983745988676986</v>
      </c>
      <c r="E39" s="1">
        <v>0.77</v>
      </c>
      <c r="F39" s="2">
        <v>12500</v>
      </c>
      <c r="G39" s="16">
        <f t="shared" si="0"/>
        <v>3034.5534030316558</v>
      </c>
      <c r="H39" s="18">
        <f t="shared" si="1"/>
        <v>17765.763573600816</v>
      </c>
    </row>
    <row r="40" spans="2:8">
      <c r="B40" s="5" t="s">
        <v>35</v>
      </c>
      <c r="C40" s="1">
        <v>785</v>
      </c>
      <c r="D40" s="3">
        <f>15380/15650</f>
        <v>0.98274760383386583</v>
      </c>
      <c r="E40" s="1">
        <v>0.44</v>
      </c>
      <c r="F40" s="2">
        <v>7620</v>
      </c>
      <c r="G40" s="16">
        <f t="shared" si="0"/>
        <v>4125.9343195520642</v>
      </c>
      <c r="H40" s="18">
        <f t="shared" si="1"/>
        <v>37599.32879346791</v>
      </c>
    </row>
    <row r="41" spans="2:8">
      <c r="B41" s="5" t="s">
        <v>36</v>
      </c>
      <c r="C41" s="1">
        <v>1010</v>
      </c>
      <c r="D41" s="3">
        <f>18140/18640</f>
        <v>0.97317596566523601</v>
      </c>
      <c r="E41" s="1">
        <v>0.48</v>
      </c>
      <c r="F41" s="2">
        <v>7620</v>
      </c>
      <c r="G41" s="16">
        <f t="shared" si="0"/>
        <v>4504.5096778145289</v>
      </c>
      <c r="H41" s="18">
        <f t="shared" si="1"/>
        <v>37599.32879346791</v>
      </c>
    </row>
    <row r="42" spans="2:8">
      <c r="B42" s="5" t="s">
        <v>37</v>
      </c>
      <c r="C42" s="1">
        <v>1287</v>
      </c>
      <c r="D42" s="3">
        <f>27442/27987</f>
        <v>0.98052667309822417</v>
      </c>
      <c r="E42" s="1">
        <v>0.57999999999999996</v>
      </c>
      <c r="F42" s="2">
        <v>7620</v>
      </c>
      <c r="G42" s="16">
        <f t="shared" si="0"/>
        <v>3901.7833179844192</v>
      </c>
      <c r="H42" s="18">
        <f t="shared" si="1"/>
        <v>37599.32879346791</v>
      </c>
    </row>
    <row r="43" spans="2:8">
      <c r="B43" s="25" t="s">
        <v>38</v>
      </c>
      <c r="C43" s="26">
        <v>290</v>
      </c>
      <c r="D43" s="27">
        <f>5579/5670</f>
        <v>0.98395061728395061</v>
      </c>
      <c r="E43" s="26">
        <v>0.28999999999999998</v>
      </c>
      <c r="F43" s="26">
        <v>3050</v>
      </c>
      <c r="G43" s="28">
        <f t="shared" si="0"/>
        <v>3504.5212650889112</v>
      </c>
      <c r="H43" s="29">
        <f t="shared" si="1"/>
        <v>69662.807140331483</v>
      </c>
    </row>
    <row r="44" spans="2:8">
      <c r="B44" s="25" t="s">
        <v>39</v>
      </c>
      <c r="C44" s="26">
        <v>450</v>
      </c>
      <c r="D44" s="27">
        <f>6100/6400</f>
        <v>0.953125</v>
      </c>
      <c r="E44" s="26">
        <v>0.35</v>
      </c>
      <c r="F44" s="26">
        <v>4575</v>
      </c>
      <c r="G44" s="28">
        <f t="shared" si="0"/>
        <v>3854.1318166610909</v>
      </c>
      <c r="H44" s="29">
        <f t="shared" si="1"/>
        <v>57157.897240328515</v>
      </c>
    </row>
    <row r="45" spans="2:8">
      <c r="B45" s="5" t="s">
        <v>40</v>
      </c>
      <c r="C45" s="1">
        <v>1262</v>
      </c>
      <c r="D45" s="3">
        <f>32800/35990</f>
        <v>0.91136426785218116</v>
      </c>
      <c r="E45" s="1">
        <v>0.78</v>
      </c>
      <c r="F45" s="2">
        <v>10668</v>
      </c>
      <c r="G45" s="16">
        <f t="shared" si="0"/>
        <v>2276.0308927053766</v>
      </c>
      <c r="H45" s="18">
        <f t="shared" si="1"/>
        <v>23840.827774938512</v>
      </c>
    </row>
    <row r="46" spans="2:8">
      <c r="B46" s="5" t="s">
        <v>41</v>
      </c>
      <c r="C46" s="1">
        <v>1294</v>
      </c>
      <c r="D46" s="3">
        <f>34000/37500</f>
        <v>0.90666666666666662</v>
      </c>
      <c r="E46" s="1">
        <v>0.78</v>
      </c>
      <c r="F46" s="2">
        <v>10668</v>
      </c>
      <c r="G46" s="16">
        <f t="shared" si="0"/>
        <v>2345.834783617589</v>
      </c>
      <c r="H46" s="18">
        <f t="shared" si="1"/>
        <v>23840.827774938512</v>
      </c>
    </row>
    <row r="47" spans="2:8">
      <c r="B47" s="5" t="s">
        <v>42</v>
      </c>
      <c r="C47" s="1">
        <v>1323</v>
      </c>
      <c r="D47" s="3">
        <f>43000/47790</f>
        <v>0.89976982632349867</v>
      </c>
      <c r="E47" s="1">
        <v>0.78</v>
      </c>
      <c r="F47" s="2">
        <v>10668</v>
      </c>
      <c r="G47" s="16">
        <f t="shared" si="0"/>
        <v>2416.7916609329845</v>
      </c>
      <c r="H47" s="18">
        <f t="shared" si="1"/>
        <v>23840.827774938512</v>
      </c>
    </row>
    <row r="48" spans="2:8">
      <c r="B48" s="5" t="s">
        <v>43</v>
      </c>
      <c r="C48" s="1">
        <v>1435</v>
      </c>
      <c r="D48" s="3">
        <f>45000/48790</f>
        <v>0.9223201475712236</v>
      </c>
      <c r="E48" s="1">
        <v>0.78</v>
      </c>
      <c r="F48" s="2">
        <v>10668</v>
      </c>
      <c r="G48" s="16">
        <f t="shared" si="0"/>
        <v>2557.2960040908756</v>
      </c>
      <c r="H48" s="18">
        <f t="shared" si="1"/>
        <v>23840.827774938512</v>
      </c>
    </row>
    <row r="49" spans="2:8">
      <c r="B49" s="5" t="s">
        <v>44</v>
      </c>
      <c r="C49" s="1">
        <v>1400</v>
      </c>
      <c r="D49" s="3">
        <f>18700/19990</f>
        <v>0.93546773386693349</v>
      </c>
      <c r="E49" s="1">
        <v>0.64</v>
      </c>
      <c r="F49" s="1">
        <v>11278</v>
      </c>
      <c r="G49" s="16">
        <f t="shared" si="0"/>
        <v>3653.7537600267378</v>
      </c>
      <c r="H49" s="18">
        <f t="shared" si="1"/>
        <v>21655.960225832496</v>
      </c>
    </row>
    <row r="50" spans="2:8">
      <c r="B50" s="5" t="s">
        <v>45</v>
      </c>
      <c r="C50" s="1">
        <v>1370</v>
      </c>
      <c r="D50" s="3">
        <f>11250/11500</f>
        <v>0.97826086956521741</v>
      </c>
      <c r="E50" s="1">
        <v>0.43</v>
      </c>
      <c r="F50" s="1">
        <v>7620</v>
      </c>
      <c r="G50" s="16">
        <f t="shared" si="0"/>
        <v>7574.0640586503223</v>
      </c>
      <c r="H50" s="18">
        <f t="shared" si="1"/>
        <v>37599.32879346791</v>
      </c>
    </row>
    <row r="51" spans="2:8">
      <c r="B51" s="5" t="s">
        <v>46</v>
      </c>
      <c r="C51" s="1">
        <v>1130</v>
      </c>
      <c r="D51" s="3">
        <f>20030/20820</f>
        <v>0.96205571565802117</v>
      </c>
      <c r="E51" s="1">
        <v>0.44</v>
      </c>
      <c r="F51" s="1">
        <v>7620</v>
      </c>
      <c r="G51" s="16">
        <f t="shared" si="0"/>
        <v>6066.9842343922137</v>
      </c>
      <c r="H51" s="18">
        <f t="shared" si="1"/>
        <v>37599.32879346791</v>
      </c>
    </row>
    <row r="52" spans="2:8">
      <c r="B52" s="5" t="s">
        <v>47</v>
      </c>
      <c r="C52" s="1">
        <v>1345</v>
      </c>
      <c r="D52" s="3">
        <f>39915/44450</f>
        <v>0.89797525309336335</v>
      </c>
      <c r="E52" s="1">
        <v>0.74</v>
      </c>
      <c r="F52" s="1">
        <v>10668</v>
      </c>
      <c r="G52" s="16">
        <f t="shared" si="0"/>
        <v>2735.2339389573917</v>
      </c>
      <c r="H52" s="18">
        <f t="shared" si="1"/>
        <v>23840.827774938512</v>
      </c>
    </row>
    <row r="53" spans="2:8" ht="15.75" thickBot="1">
      <c r="B53" s="6" t="s">
        <v>48</v>
      </c>
      <c r="C53" s="7">
        <v>1067</v>
      </c>
      <c r="D53" s="8">
        <f>12340/12700</f>
        <v>0.97165354330708664</v>
      </c>
      <c r="E53" s="7">
        <v>0.4</v>
      </c>
      <c r="F53" s="7">
        <v>5800</v>
      </c>
      <c r="G53" s="17">
        <f t="shared" si="0"/>
        <v>6863.3002431118302</v>
      </c>
      <c r="H53" s="19">
        <f t="shared" si="1"/>
        <v>48487.835843867615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 Van Endert</dc:creator>
  <cp:lastModifiedBy>Dieter SCHOLZ</cp:lastModifiedBy>
  <dcterms:created xsi:type="dcterms:W3CDTF">2017-07-12T11:15:43Z</dcterms:created>
  <dcterms:modified xsi:type="dcterms:W3CDTF">2021-12-16T22:25:26Z</dcterms:modified>
</cp:coreProperties>
</file>