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Dateien\HAW\Arbeiten\Putri\2023-06-20_BA_LastVersion\"/>
    </mc:Choice>
  </mc:AlternateContent>
  <xr:revisionPtr revIDLastSave="0" documentId="13_ncr:1_{A2186F80-4FAD-41DF-B52A-74D16F89CAE0}" xr6:coauthVersionLast="47" xr6:coauthVersionMax="47" xr10:uidLastSave="{00000000-0000-0000-0000-000000000000}"/>
  <bookViews>
    <workbookView xWindow="-98" yWindow="-98" windowWidth="24496" windowHeight="15675" tabRatio="915" firstSheet="1" activeTab="1" xr2:uid="{00000000-000D-0000-FFFF-FFFF00000000}"/>
  </bookViews>
  <sheets>
    <sheet name="Title Page" sheetId="40" r:id="rId1"/>
    <sheet name="LD Diagram" sheetId="13" r:id="rId2"/>
    <sheet name="a_LD aircraft" sheetId="19" state="hidden" r:id="rId3"/>
    <sheet name="a_LD hyperloop" sheetId="22" state="hidden" r:id="rId4"/>
    <sheet name="LD Payload Diagram" sheetId="15" r:id="rId5"/>
    <sheet name="a_LDpl MD-11 (Cargo)" sheetId="21" state="hidden" r:id="rId6"/>
    <sheet name="a_LDpl Hyperloop" sheetId="23" state="hidden" r:id="rId7"/>
    <sheet name="Inverse Primary E Consumption" sheetId="16" r:id="rId8"/>
    <sheet name="a_E MD-11(Cargo)" sheetId="33" state="hidden" r:id="rId9"/>
    <sheet name="a_Eprim MD-11(Cargo)" sheetId="20" state="hidden" r:id="rId10"/>
    <sheet name="a_E VLBC" sheetId="24" state="hidden" r:id="rId11"/>
    <sheet name="Emission" sheetId="25" r:id="rId12"/>
    <sheet name="a_mCO2 Hyperloop" sheetId="32" state="hidden" r:id="rId13"/>
    <sheet name="a_LD" sheetId="35" r:id="rId14"/>
    <sheet name="a_LD_PL" sheetId="36" r:id="rId15"/>
    <sheet name="Sheet2" sheetId="37" state="hidden" r:id="rId16"/>
    <sheet name="a_E" sheetId="38" r:id="rId17"/>
    <sheet name="a_Eprim" sheetId="39" r:id="rId18"/>
    <sheet name="Subsonic Aircraft" sheetId="1" r:id="rId19"/>
    <sheet name="Supersonic Aircraft" sheetId="26" r:id="rId20"/>
    <sheet name="Helicopter" sheetId="2" r:id="rId21"/>
    <sheet name="Airship" sheetId="3" r:id="rId22"/>
    <sheet name="Glider" sheetId="4" r:id="rId23"/>
    <sheet name="Bulker, Tanker, Container" sheetId="5" r:id="rId24"/>
    <sheet name="Cruise Ship" sheetId="6" r:id="rId25"/>
    <sheet name="Car" sheetId="7" r:id="rId26"/>
    <sheet name="Truck" sheetId="31" r:id="rId27"/>
    <sheet name="Bus" sheetId="28" r:id="rId28"/>
    <sheet name="Train" sheetId="8" r:id="rId29"/>
    <sheet name="Human and Animal" sheetId="9" r:id="rId30"/>
    <sheet name="Hyperloop" sheetId="10" r:id="rId31"/>
    <sheet name="Oil &amp; Gas Pipeline" sheetId="27" r:id="rId32"/>
    <sheet name="(c)" sheetId="41" r:id="rId33"/>
  </sheets>
  <externalReferences>
    <externalReference r:id="rId34"/>
    <externalReference r:id="rId35"/>
    <externalReference r:id="rId36"/>
    <externalReference r:id="rId37"/>
  </externalReferences>
  <definedNames>
    <definedName name="_z">'[1]Input Data'!$E$12</definedName>
    <definedName name="A" localSheetId="32">'[1]Input Data'!$E$47</definedName>
    <definedName name="A" localSheetId="0">'[1]Input Data'!$E$47</definedName>
    <definedName name="A">[2]Inputs_Outputs!$B$4</definedName>
    <definedName name="a_sound">[2]Inputs_Outputs!$J$5</definedName>
    <definedName name="Airfoil">'[1]Input Data'!$I$27</definedName>
    <definedName name="Airfoil_transition">[3]Results!$Q$14</definedName>
    <definedName name="AirfoilTransition" localSheetId="0">'[1]Input Data'!#REF!</definedName>
    <definedName name="AirfoilTransition">'[1]Input Data'!#REF!</definedName>
    <definedName name="Alpha_min">'[1]Subroutine Xi'!$B$3</definedName>
    <definedName name="AOA_EpsilonMax_NACA0012">[1]Airfoils!$L$5</definedName>
    <definedName name="AOA_EpsilonMax_NACA0015">[1]Airfoils!$D$5</definedName>
    <definedName name="AOA_EpsilonMax_NACA0018">[1]Airfoils!$T$5</definedName>
    <definedName name="Beta0">'[1]Input Data'!$M$12</definedName>
    <definedName name="BetaS">'[1]Input Data'!$M$14</definedName>
    <definedName name="Betat">'[1]Input Data'!$M$10</definedName>
    <definedName name="BPR">[2]Inputs_Outputs!$F$3</definedName>
    <definedName name="c_dw">[2]Fuel!$C$23</definedName>
    <definedName name="Cd">[2]Fuel!$C$31</definedName>
    <definedName name="Cd0">[2]Fuel!$C$28</definedName>
    <definedName name="Cdoc">[2]DOC!$C$92</definedName>
    <definedName name="CF_AIC">[2]Environmental!$C$65</definedName>
    <definedName name="CF_NOx">[2]Environmental!$C$64</definedName>
    <definedName name="CL">[2]Fuel!$C$29</definedName>
    <definedName name="CL_m" localSheetId="0">#REF!</definedName>
    <definedName name="CL_m">#REF!</definedName>
    <definedName name="d_f" localSheetId="0">[2]Inputs_Outputs!#REF!</definedName>
    <definedName name="d_f">[2]Inputs_Outputs!#REF!</definedName>
    <definedName name="Delta_R">'[1]Input Data'!$E$22</definedName>
    <definedName name="Delta_Theta">'[1]Input Data'!$E$20</definedName>
    <definedName name="df" localSheetId="0">[2]Inputs_Outputs!#REF!</definedName>
    <definedName name="df">[2]Inputs_Outputs!#REF!</definedName>
    <definedName name="DmG">'[4]Schneeballfaktor '!$B$32</definedName>
    <definedName name="DmL">'[4]Schneeballfaktor '!$B$4</definedName>
    <definedName name="e">[2]Fuel!$C$15</definedName>
    <definedName name="E_glide">[2]Fuel!$C$33</definedName>
    <definedName name="EI_NOx">[2]Environmental!$C$50</definedName>
    <definedName name="FL">'[2]Flight time'!$B$167</definedName>
    <definedName name="fuel_km">[2]Fuel!$I$41</definedName>
    <definedName name="fuel_mile">[2]Fuel!$I$42</definedName>
    <definedName name="g">[2]Inputs_Outputs!$N$2</definedName>
    <definedName name="gamma" localSheetId="0">#REF!</definedName>
    <definedName name="gamma">#REF!</definedName>
    <definedName name="H">[2]Inputs_Outputs!$J$3</definedName>
    <definedName name="Hft">[2]Inputs_Outputs!$J$4</definedName>
    <definedName name="k_inf">[2]DOC!$C$10</definedName>
    <definedName name="Kappa">'[1]Input Data'!$H$4</definedName>
    <definedName name="L" localSheetId="32">'[1]Input Data'!$E$8</definedName>
    <definedName name="L" localSheetId="0">'[1]Input Data'!$E$8</definedName>
    <definedName name="L">[2]Inputs_Outputs!$N$4</definedName>
    <definedName name="L_D" localSheetId="0">#REF!</definedName>
    <definedName name="L_D">#REF!</definedName>
    <definedName name="L_D_max" localSheetId="0">#REF!</definedName>
    <definedName name="L_D_max">#REF!</definedName>
    <definedName name="L0">'[1]Input Data'!$E$10</definedName>
    <definedName name="M">[2]Inputs_Outputs!$J$2</definedName>
    <definedName name="m_e">[2]Inputs_Outputs!$F$8</definedName>
    <definedName name="M_opt">[2]Inputs_Outputs!$B$13</definedName>
    <definedName name="m_PL">[2]DOC!$C$84</definedName>
    <definedName name="m_PLmax">[2]Inputs_Outputs!$B$10</definedName>
    <definedName name="mF">'[4]Schneeballfaktor '!$B$9</definedName>
    <definedName name="Mff">[2]DOC!$C$43</definedName>
    <definedName name="mFmMTO">'[4]Schneeballfaktor '!$B$8</definedName>
    <definedName name="mFOB">[2]DOC!$C$50</definedName>
    <definedName name="mMPL">'[4]Schneeballfaktor '!$B$10</definedName>
    <definedName name="mMTO">'[4]Schneeballfaktor '!$B$5</definedName>
    <definedName name="mMTOG">'[4]Schneeballfaktor '!$B$13</definedName>
    <definedName name="mOE">'[4]Schneeballfaktor '!$B$7</definedName>
    <definedName name="mOEmMTO">'[4]Schneeballfaktor '!$B$6</definedName>
    <definedName name="MTOW">[2]Inputs_Outputs!$B$2</definedName>
    <definedName name="MZFW">[2]Inputs_Outputs!$B$6</definedName>
    <definedName name="n_E">[2]Inputs_Outputs!$F$2</definedName>
    <definedName name="n_PAX">[2]Inputs_Outputs!$B$11</definedName>
    <definedName name="n_shafts">[2]Inputs_Outputs!$F$7</definedName>
    <definedName name="n_stages">[2]Inputs_Outputs!$F$6</definedName>
    <definedName name="nacas">'[1]Input Data'!$F$30:$F$32</definedName>
    <definedName name="nt_a">[2]DOC!$C$40</definedName>
    <definedName name="OAPR">[2]Inputs_Outputs!$F$5</definedName>
    <definedName name="OEW">[2]Inputs_Outputs!$B$9</definedName>
    <definedName name="on_off">[1]Airfoils!$AB$50:$AB$51</definedName>
    <definedName name="p">[2]Inputs_Outputs!$J$7</definedName>
    <definedName name="p_t">[2]Inputs_Outputs!$N$9</definedName>
    <definedName name="p0">[2]Inputs_Outputs!$N$6</definedName>
    <definedName name="phi">[2]Inputs_Outputs!$B$7</definedName>
    <definedName name="phi_rad">[2]Inputs_Outputs!$B$8</definedName>
    <definedName name="price_fuel">[2]DOC!$C$7</definedName>
    <definedName name="Q">'[1]Input Data'!$E$39</definedName>
    <definedName name="R_const">[2]Inputs_Outputs!$N$3</definedName>
    <definedName name="Radius">'[1]Input Data'!$E$41</definedName>
    <definedName name="range">[2]Inputs_Outputs!$J$12</definedName>
    <definedName name="range_added">'[2]Flight time'!$B$170</definedName>
    <definedName name="range_mile">[2]DOC!$D$41</definedName>
    <definedName name="Reynolds">[1]Airfoils!$AB$46:$AB$48</definedName>
    <definedName name="rho">[2]Inputs_Outputs!$J$8</definedName>
    <definedName name="rho_t">[2]Inputs_Outputs!$N$10</definedName>
    <definedName name="rho0">[2]Inputs_Outputs!$N$7</definedName>
    <definedName name="Root" localSheetId="0">[1]Results!#REF!</definedName>
    <definedName name="Root">[1]Results!#REF!</definedName>
    <definedName name="Rt">'[1]Input Data'!$E$37</definedName>
    <definedName name="SS">[2]Inputs_Outputs!$B$3</definedName>
    <definedName name="Swet" localSheetId="0">[2]Inputs_Outputs!#REF!</definedName>
    <definedName name="Swet">[2]Inputs_Outputs!#REF!</definedName>
    <definedName name="t" localSheetId="32">'[1]Input Data'!$E$43</definedName>
    <definedName name="t" localSheetId="0">'[1]Input Data'!$E$43</definedName>
    <definedName name="T">[2]Inputs_Outputs!$J$6</definedName>
    <definedName name="T_t">[2]Inputs_Outputs!$N$8</definedName>
    <definedName name="T_to">[2]Inputs_Outputs!$F$4</definedName>
    <definedName name="t0" localSheetId="32">'[1]Input Data'!$M$6</definedName>
    <definedName name="t0" localSheetId="0">'[1]Input Data'!$M$6</definedName>
    <definedName name="T0">[2]Inputs_Outputs!$N$5</definedName>
    <definedName name="TAS">[2]Inputs_Outputs!$J$10</definedName>
    <definedName name="TAS_regulated">'[2]Flight time'!$B$166</definedName>
    <definedName name="Tau">'[1]Input Data'!$H$6</definedName>
    <definedName name="tb">[2]DOC!$C$79</definedName>
    <definedName name="tf">[2]DOC!$C$59</definedName>
    <definedName name="tf_added">'[2]Flight time'!$B$168</definedName>
    <definedName name="TSFC">[2]Fuel!$I$35</definedName>
    <definedName name="tt">'[1]Input Data'!$R$4</definedName>
    <definedName name="U">'[1]Input Data'!$E$45</definedName>
    <definedName name="Uaf">[2]DOC!$C$96</definedName>
    <definedName name="V_CR" localSheetId="0">#REF!</definedName>
    <definedName name="V_CR">#REF!</definedName>
    <definedName name="w">'[1]Input Data'!$H$14</definedName>
    <definedName name="w_co2">[2]Inputs_Outputs!$B$164</definedName>
    <definedName name="w_doc">[2]Inputs_Outputs!$B$157</definedName>
    <definedName name="w_env">[2]Inputs_Outputs!$B$158</definedName>
    <definedName name="w_resource">[2]Inputs_Outputs!$B$163</definedName>
    <definedName name="xxxx" localSheetId="0">#REF!</definedName>
    <definedName name="xxxx">#REF!</definedName>
    <definedName name="xxxxx" localSheetId="0">#REF!</definedName>
    <definedName name="xxxxx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23" l="1"/>
  <c r="C112" i="21" l="1"/>
  <c r="E112" i="21" s="1"/>
  <c r="D112" i="21"/>
  <c r="D2" i="21"/>
  <c r="C2" i="21"/>
  <c r="E2" i="21" s="1"/>
  <c r="B10" i="6" l="1"/>
  <c r="B7" i="3" l="1"/>
  <c r="I5" i="3"/>
  <c r="U5" i="10"/>
  <c r="V5" i="10" s="1"/>
  <c r="AA8" i="9"/>
  <c r="AD8" i="9" s="1"/>
  <c r="AE8" i="9" s="1"/>
  <c r="AA9" i="9"/>
  <c r="AB9" i="9" s="1"/>
  <c r="AA10" i="9"/>
  <c r="AB10" i="9" s="1"/>
  <c r="C104" i="33"/>
  <c r="E104" i="33" s="1"/>
  <c r="C105" i="21"/>
  <c r="E105" i="21" s="1"/>
  <c r="D104" i="33"/>
  <c r="D103" i="33"/>
  <c r="D102" i="33"/>
  <c r="D101" i="33"/>
  <c r="D100" i="33"/>
  <c r="D99" i="33"/>
  <c r="D98" i="33"/>
  <c r="D97" i="33"/>
  <c r="D96" i="33"/>
  <c r="D95" i="33"/>
  <c r="D94" i="33"/>
  <c r="D93" i="33"/>
  <c r="D92" i="33"/>
  <c r="D91" i="33"/>
  <c r="D90" i="33"/>
  <c r="D89" i="33"/>
  <c r="D88" i="33"/>
  <c r="D87" i="33"/>
  <c r="D86" i="33"/>
  <c r="D85" i="33"/>
  <c r="D84" i="33"/>
  <c r="D83" i="33"/>
  <c r="D82" i="33"/>
  <c r="D81" i="33"/>
  <c r="D80" i="33"/>
  <c r="D79" i="33"/>
  <c r="D78" i="33"/>
  <c r="D77" i="33"/>
  <c r="D76" i="33"/>
  <c r="D75" i="33"/>
  <c r="D74" i="33"/>
  <c r="D73" i="33"/>
  <c r="D72" i="33"/>
  <c r="D71" i="33"/>
  <c r="D70" i="33"/>
  <c r="D69" i="33"/>
  <c r="D68" i="33"/>
  <c r="D67" i="33"/>
  <c r="D66" i="33"/>
  <c r="D65" i="33"/>
  <c r="D64" i="33"/>
  <c r="D63" i="33"/>
  <c r="D62" i="33"/>
  <c r="D61" i="33"/>
  <c r="D60" i="33"/>
  <c r="D59" i="33"/>
  <c r="D58" i="33"/>
  <c r="D57" i="33"/>
  <c r="D56" i="33"/>
  <c r="D55" i="33"/>
  <c r="D54" i="33"/>
  <c r="D53" i="33"/>
  <c r="D52" i="33"/>
  <c r="D51" i="33"/>
  <c r="D50" i="33"/>
  <c r="D49" i="33"/>
  <c r="D48" i="33"/>
  <c r="D47" i="33"/>
  <c r="D46" i="33"/>
  <c r="D45" i="33"/>
  <c r="D44" i="33"/>
  <c r="D43" i="33"/>
  <c r="D42" i="33"/>
  <c r="D41" i="33"/>
  <c r="D40" i="33"/>
  <c r="D39" i="33"/>
  <c r="D38" i="33"/>
  <c r="D37" i="33"/>
  <c r="D36" i="33"/>
  <c r="D35" i="33"/>
  <c r="D34" i="33"/>
  <c r="D33" i="33"/>
  <c r="D32" i="33"/>
  <c r="D31" i="33"/>
  <c r="D30" i="33"/>
  <c r="D29" i="33"/>
  <c r="D28" i="33"/>
  <c r="D27" i="33"/>
  <c r="D26" i="33"/>
  <c r="D25" i="33"/>
  <c r="D24" i="33"/>
  <c r="D23" i="33"/>
  <c r="D22" i="33"/>
  <c r="D21" i="33"/>
  <c r="D20" i="33"/>
  <c r="D19" i="33"/>
  <c r="D18" i="33"/>
  <c r="D17" i="33"/>
  <c r="D16" i="33"/>
  <c r="D15" i="33"/>
  <c r="D14" i="33"/>
  <c r="D13" i="33"/>
  <c r="D12" i="33"/>
  <c r="D11" i="33"/>
  <c r="D10" i="33"/>
  <c r="D9" i="33"/>
  <c r="D8" i="33"/>
  <c r="D7" i="33"/>
  <c r="D6" i="33"/>
  <c r="D5" i="33"/>
  <c r="D4" i="33"/>
  <c r="D3" i="33"/>
  <c r="D2" i="33"/>
  <c r="F2" i="32"/>
  <c r="C2" i="32"/>
  <c r="F105" i="32"/>
  <c r="F104" i="32"/>
  <c r="F103" i="32"/>
  <c r="F102" i="32"/>
  <c r="C105" i="32"/>
  <c r="C104" i="32"/>
  <c r="C103" i="32"/>
  <c r="C102" i="32"/>
  <c r="F4" i="32"/>
  <c r="F5" i="32"/>
  <c r="F6" i="32"/>
  <c r="F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F44" i="32"/>
  <c r="F45" i="32"/>
  <c r="F46" i="32"/>
  <c r="F47" i="32"/>
  <c r="F48" i="32"/>
  <c r="F49" i="32"/>
  <c r="F50" i="32"/>
  <c r="F51" i="32"/>
  <c r="F52" i="32"/>
  <c r="F53" i="32"/>
  <c r="F54" i="32"/>
  <c r="F55" i="32"/>
  <c r="F56" i="32"/>
  <c r="F57" i="32"/>
  <c r="F58" i="32"/>
  <c r="F59" i="32"/>
  <c r="F60" i="32"/>
  <c r="F61" i="32"/>
  <c r="F62" i="32"/>
  <c r="F63" i="32"/>
  <c r="F64" i="32"/>
  <c r="F65" i="32"/>
  <c r="F66" i="32"/>
  <c r="F67" i="32"/>
  <c r="F68" i="32"/>
  <c r="F69" i="32"/>
  <c r="F70" i="32"/>
  <c r="F71" i="32"/>
  <c r="F72" i="32"/>
  <c r="F73" i="32"/>
  <c r="F74" i="32"/>
  <c r="F75" i="32"/>
  <c r="F76" i="32"/>
  <c r="F77" i="32"/>
  <c r="F78" i="32"/>
  <c r="F79" i="32"/>
  <c r="F80" i="32"/>
  <c r="F81" i="32"/>
  <c r="F82" i="32"/>
  <c r="F83" i="32"/>
  <c r="F84" i="32"/>
  <c r="F85" i="32"/>
  <c r="F86" i="32"/>
  <c r="F87" i="32"/>
  <c r="F88" i="32"/>
  <c r="F89" i="32"/>
  <c r="F90" i="32"/>
  <c r="F91" i="32"/>
  <c r="F92" i="32"/>
  <c r="F93" i="32"/>
  <c r="F94" i="32"/>
  <c r="F95" i="32"/>
  <c r="F96" i="32"/>
  <c r="F97" i="32"/>
  <c r="F98" i="32"/>
  <c r="F99" i="32"/>
  <c r="F100" i="32"/>
  <c r="F101" i="32"/>
  <c r="C4" i="32"/>
  <c r="C5" i="32"/>
  <c r="C6" i="32"/>
  <c r="C7" i="32"/>
  <c r="C8" i="32"/>
  <c r="C9" i="32"/>
  <c r="C10" i="32"/>
  <c r="C11" i="32"/>
  <c r="C12" i="32"/>
  <c r="C13" i="32"/>
  <c r="C14" i="32"/>
  <c r="C15" i="32"/>
  <c r="C16" i="32"/>
  <c r="C17" i="32"/>
  <c r="C18" i="32"/>
  <c r="C19" i="32"/>
  <c r="C20" i="32"/>
  <c r="C21" i="32"/>
  <c r="C22" i="32"/>
  <c r="C23" i="32"/>
  <c r="C24" i="32"/>
  <c r="C25" i="32"/>
  <c r="C26" i="32"/>
  <c r="C27" i="32"/>
  <c r="C28" i="32"/>
  <c r="C29" i="32"/>
  <c r="C30" i="32"/>
  <c r="C31" i="32"/>
  <c r="C32" i="32"/>
  <c r="C33" i="32"/>
  <c r="C34" i="32"/>
  <c r="C35" i="32"/>
  <c r="C36" i="32"/>
  <c r="C37" i="32"/>
  <c r="C38" i="32"/>
  <c r="C39" i="32"/>
  <c r="C40" i="32"/>
  <c r="C41" i="32"/>
  <c r="C42" i="32"/>
  <c r="C43" i="32"/>
  <c r="C44" i="32"/>
  <c r="C45" i="32"/>
  <c r="C46" i="32"/>
  <c r="C47" i="32"/>
  <c r="C48" i="32"/>
  <c r="C49" i="32"/>
  <c r="C50" i="32"/>
  <c r="C51" i="32"/>
  <c r="C52" i="32"/>
  <c r="C53" i="32"/>
  <c r="C54" i="32"/>
  <c r="C55" i="32"/>
  <c r="C56" i="32"/>
  <c r="C57" i="32"/>
  <c r="C58" i="32"/>
  <c r="C59" i="32"/>
  <c r="C60" i="32"/>
  <c r="C61" i="32"/>
  <c r="C62" i="32"/>
  <c r="C63" i="32"/>
  <c r="C64" i="32"/>
  <c r="C65" i="32"/>
  <c r="C66" i="32"/>
  <c r="C67" i="32"/>
  <c r="C68" i="32"/>
  <c r="C69" i="32"/>
  <c r="C70" i="32"/>
  <c r="C71" i="32"/>
  <c r="C72" i="32"/>
  <c r="C73" i="32"/>
  <c r="C74" i="32"/>
  <c r="C75" i="32"/>
  <c r="C76" i="32"/>
  <c r="C77" i="32"/>
  <c r="C78" i="32"/>
  <c r="C79" i="32"/>
  <c r="C80" i="32"/>
  <c r="C81" i="32"/>
  <c r="C82" i="32"/>
  <c r="C83" i="32"/>
  <c r="C84" i="32"/>
  <c r="C85" i="32"/>
  <c r="C86" i="32"/>
  <c r="C87" i="32"/>
  <c r="C88" i="32"/>
  <c r="C89" i="32"/>
  <c r="C90" i="32"/>
  <c r="C91" i="32"/>
  <c r="C92" i="32"/>
  <c r="C93" i="32"/>
  <c r="C94" i="32"/>
  <c r="C95" i="32"/>
  <c r="C96" i="32"/>
  <c r="C97" i="32"/>
  <c r="C98" i="32"/>
  <c r="C99" i="32"/>
  <c r="C100" i="32"/>
  <c r="C101" i="32"/>
  <c r="F3" i="32"/>
  <c r="C3" i="32"/>
  <c r="E75" i="20"/>
  <c r="E82" i="20"/>
  <c r="C104" i="20"/>
  <c r="E104" i="20" s="1"/>
  <c r="C103" i="20"/>
  <c r="E103" i="20" s="1"/>
  <c r="C102" i="20"/>
  <c r="E102" i="20" s="1"/>
  <c r="C101" i="20"/>
  <c r="E101" i="20" s="1"/>
  <c r="D104" i="20"/>
  <c r="D103" i="20"/>
  <c r="D102" i="20"/>
  <c r="D101" i="20"/>
  <c r="D100" i="20"/>
  <c r="D99" i="20"/>
  <c r="D98" i="20"/>
  <c r="D97" i="20"/>
  <c r="D96" i="20"/>
  <c r="D95" i="20"/>
  <c r="D94" i="20"/>
  <c r="D93" i="20"/>
  <c r="D92" i="20"/>
  <c r="D91" i="20"/>
  <c r="D90" i="20"/>
  <c r="D89" i="20"/>
  <c r="D88" i="20"/>
  <c r="D87" i="20"/>
  <c r="D86" i="20"/>
  <c r="D85" i="20"/>
  <c r="D84" i="20"/>
  <c r="D83" i="20"/>
  <c r="D82" i="20"/>
  <c r="D81" i="20"/>
  <c r="D80" i="20"/>
  <c r="D79" i="20"/>
  <c r="D78" i="20"/>
  <c r="D77" i="20"/>
  <c r="D76" i="20"/>
  <c r="D75" i="20"/>
  <c r="D74" i="20"/>
  <c r="D73" i="20"/>
  <c r="D72" i="20"/>
  <c r="D71" i="20"/>
  <c r="D70" i="20"/>
  <c r="D69" i="20"/>
  <c r="D68" i="20"/>
  <c r="D67" i="20"/>
  <c r="D66" i="20"/>
  <c r="D65" i="20"/>
  <c r="D64" i="20"/>
  <c r="D63" i="20"/>
  <c r="D62" i="20"/>
  <c r="D61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D5" i="20"/>
  <c r="D4" i="20"/>
  <c r="D3" i="20"/>
  <c r="D2" i="20"/>
  <c r="C3" i="20"/>
  <c r="E3" i="20" s="1"/>
  <c r="C4" i="20"/>
  <c r="E4" i="20" s="1"/>
  <c r="C5" i="20"/>
  <c r="E5" i="20" s="1"/>
  <c r="C6" i="20"/>
  <c r="E6" i="20" s="1"/>
  <c r="C7" i="20"/>
  <c r="E7" i="20" s="1"/>
  <c r="C8" i="20"/>
  <c r="E8" i="20" s="1"/>
  <c r="C9" i="20"/>
  <c r="E9" i="20" s="1"/>
  <c r="C10" i="20"/>
  <c r="E10" i="20" s="1"/>
  <c r="C11" i="20"/>
  <c r="E11" i="20" s="1"/>
  <c r="C12" i="20"/>
  <c r="E12" i="20" s="1"/>
  <c r="C13" i="20"/>
  <c r="E13" i="20" s="1"/>
  <c r="C14" i="20"/>
  <c r="E14" i="20" s="1"/>
  <c r="C15" i="20"/>
  <c r="E15" i="20" s="1"/>
  <c r="C16" i="20"/>
  <c r="E16" i="20" s="1"/>
  <c r="C17" i="20"/>
  <c r="E17" i="20" s="1"/>
  <c r="C18" i="20"/>
  <c r="E18" i="20" s="1"/>
  <c r="C19" i="20"/>
  <c r="E19" i="20" s="1"/>
  <c r="C20" i="20"/>
  <c r="E20" i="20" s="1"/>
  <c r="C21" i="20"/>
  <c r="E21" i="20" s="1"/>
  <c r="C22" i="20"/>
  <c r="E22" i="20" s="1"/>
  <c r="C23" i="20"/>
  <c r="E23" i="20" s="1"/>
  <c r="C24" i="20"/>
  <c r="E24" i="20" s="1"/>
  <c r="C25" i="20"/>
  <c r="E25" i="20" s="1"/>
  <c r="C26" i="20"/>
  <c r="E26" i="20" s="1"/>
  <c r="C27" i="20"/>
  <c r="E27" i="20" s="1"/>
  <c r="C28" i="20"/>
  <c r="E28" i="20" s="1"/>
  <c r="C29" i="20"/>
  <c r="E29" i="20" s="1"/>
  <c r="C30" i="20"/>
  <c r="E30" i="20" s="1"/>
  <c r="C31" i="20"/>
  <c r="E31" i="20" s="1"/>
  <c r="C32" i="20"/>
  <c r="E32" i="20" s="1"/>
  <c r="C33" i="20"/>
  <c r="E33" i="20" s="1"/>
  <c r="C34" i="20"/>
  <c r="E34" i="20" s="1"/>
  <c r="C35" i="20"/>
  <c r="E35" i="20" s="1"/>
  <c r="C36" i="20"/>
  <c r="E36" i="20" s="1"/>
  <c r="C37" i="20"/>
  <c r="E37" i="20" s="1"/>
  <c r="C38" i="20"/>
  <c r="E38" i="20" s="1"/>
  <c r="C39" i="20"/>
  <c r="E39" i="20" s="1"/>
  <c r="C40" i="20"/>
  <c r="E40" i="20" s="1"/>
  <c r="C41" i="20"/>
  <c r="E41" i="20" s="1"/>
  <c r="C42" i="20"/>
  <c r="E42" i="20" s="1"/>
  <c r="C43" i="20"/>
  <c r="E43" i="20" s="1"/>
  <c r="C44" i="20"/>
  <c r="E44" i="20" s="1"/>
  <c r="C45" i="20"/>
  <c r="E45" i="20" s="1"/>
  <c r="C46" i="20"/>
  <c r="E46" i="20" s="1"/>
  <c r="C47" i="20"/>
  <c r="E47" i="20" s="1"/>
  <c r="C48" i="20"/>
  <c r="E48" i="20" s="1"/>
  <c r="C49" i="20"/>
  <c r="E49" i="20" s="1"/>
  <c r="C50" i="20"/>
  <c r="E50" i="20" s="1"/>
  <c r="C51" i="20"/>
  <c r="E51" i="20" s="1"/>
  <c r="C52" i="20"/>
  <c r="E52" i="20" s="1"/>
  <c r="C53" i="20"/>
  <c r="E53" i="20" s="1"/>
  <c r="C54" i="20"/>
  <c r="E54" i="20" s="1"/>
  <c r="C55" i="20"/>
  <c r="E55" i="20" s="1"/>
  <c r="C56" i="20"/>
  <c r="E56" i="20" s="1"/>
  <c r="C57" i="20"/>
  <c r="E57" i="20" s="1"/>
  <c r="C58" i="20"/>
  <c r="E58" i="20" s="1"/>
  <c r="C59" i="20"/>
  <c r="E59" i="20" s="1"/>
  <c r="C60" i="20"/>
  <c r="E60" i="20" s="1"/>
  <c r="C61" i="20"/>
  <c r="E61" i="20" s="1"/>
  <c r="C62" i="20"/>
  <c r="E62" i="20" s="1"/>
  <c r="C63" i="20"/>
  <c r="E63" i="20" s="1"/>
  <c r="C64" i="20"/>
  <c r="E64" i="20" s="1"/>
  <c r="C65" i="20"/>
  <c r="E65" i="20" s="1"/>
  <c r="C66" i="20"/>
  <c r="E66" i="20" s="1"/>
  <c r="C67" i="20"/>
  <c r="E67" i="20" s="1"/>
  <c r="C68" i="20"/>
  <c r="E68" i="20" s="1"/>
  <c r="C69" i="20"/>
  <c r="E69" i="20" s="1"/>
  <c r="C70" i="20"/>
  <c r="E70" i="20" s="1"/>
  <c r="C71" i="20"/>
  <c r="E71" i="20" s="1"/>
  <c r="C72" i="20"/>
  <c r="E72" i="20" s="1"/>
  <c r="C73" i="20"/>
  <c r="E73" i="20" s="1"/>
  <c r="C74" i="20"/>
  <c r="E74" i="20" s="1"/>
  <c r="C75" i="20"/>
  <c r="C76" i="20"/>
  <c r="E76" i="20" s="1"/>
  <c r="C77" i="20"/>
  <c r="E77" i="20" s="1"/>
  <c r="C78" i="20"/>
  <c r="E78" i="20" s="1"/>
  <c r="C79" i="20"/>
  <c r="E79" i="20" s="1"/>
  <c r="C80" i="20"/>
  <c r="E80" i="20" s="1"/>
  <c r="C81" i="20"/>
  <c r="E81" i="20" s="1"/>
  <c r="C82" i="20"/>
  <c r="C83" i="20"/>
  <c r="E83" i="20" s="1"/>
  <c r="C84" i="20"/>
  <c r="E84" i="20" s="1"/>
  <c r="C85" i="20"/>
  <c r="E85" i="20" s="1"/>
  <c r="C86" i="20"/>
  <c r="E86" i="20" s="1"/>
  <c r="C87" i="20"/>
  <c r="E87" i="20" s="1"/>
  <c r="C88" i="20"/>
  <c r="E88" i="20" s="1"/>
  <c r="C89" i="20"/>
  <c r="E89" i="20" s="1"/>
  <c r="C90" i="20"/>
  <c r="E90" i="20" s="1"/>
  <c r="C91" i="20"/>
  <c r="E91" i="20" s="1"/>
  <c r="C92" i="20"/>
  <c r="E92" i="20" s="1"/>
  <c r="C93" i="20"/>
  <c r="E93" i="20" s="1"/>
  <c r="C94" i="20"/>
  <c r="E94" i="20" s="1"/>
  <c r="C95" i="20"/>
  <c r="E95" i="20" s="1"/>
  <c r="C96" i="20"/>
  <c r="E96" i="20" s="1"/>
  <c r="C97" i="20"/>
  <c r="E97" i="20" s="1"/>
  <c r="C98" i="20"/>
  <c r="E98" i="20" s="1"/>
  <c r="C99" i="20"/>
  <c r="E99" i="20" s="1"/>
  <c r="C100" i="20"/>
  <c r="E100" i="20" s="1"/>
  <c r="C2" i="20"/>
  <c r="E2" i="20" s="1"/>
  <c r="D102" i="21"/>
  <c r="D103" i="21"/>
  <c r="D104" i="21"/>
  <c r="D105" i="21"/>
  <c r="D106" i="21"/>
  <c r="D107" i="21"/>
  <c r="D108" i="21"/>
  <c r="D109" i="21"/>
  <c r="D110" i="21"/>
  <c r="D111" i="21"/>
  <c r="C103" i="21"/>
  <c r="E103" i="21" s="1"/>
  <c r="C104" i="21"/>
  <c r="E104" i="21" s="1"/>
  <c r="C106" i="21"/>
  <c r="E106" i="21" s="1"/>
  <c r="C108" i="21"/>
  <c r="E108" i="21" s="1"/>
  <c r="C111" i="21"/>
  <c r="E111" i="21" s="1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D70" i="21"/>
  <c r="D71" i="21"/>
  <c r="D72" i="21"/>
  <c r="D73" i="21"/>
  <c r="D74" i="21"/>
  <c r="D75" i="21"/>
  <c r="D76" i="21"/>
  <c r="D77" i="21"/>
  <c r="D78" i="21"/>
  <c r="D79" i="21"/>
  <c r="D80" i="21"/>
  <c r="D81" i="21"/>
  <c r="D82" i="21"/>
  <c r="D83" i="21"/>
  <c r="D84" i="21"/>
  <c r="D85" i="21"/>
  <c r="D86" i="21"/>
  <c r="D87" i="21"/>
  <c r="D88" i="21"/>
  <c r="D89" i="21"/>
  <c r="D90" i="21"/>
  <c r="D91" i="21"/>
  <c r="D92" i="21"/>
  <c r="D93" i="21"/>
  <c r="D94" i="21"/>
  <c r="D95" i="21"/>
  <c r="D96" i="21"/>
  <c r="D97" i="21"/>
  <c r="D98" i="21"/>
  <c r="D99" i="21"/>
  <c r="D100" i="21"/>
  <c r="D101" i="21"/>
  <c r="D3" i="21"/>
  <c r="C4" i="21"/>
  <c r="E4" i="21" s="1"/>
  <c r="C7" i="21"/>
  <c r="E7" i="21" s="1"/>
  <c r="C8" i="21"/>
  <c r="E8" i="21" s="1"/>
  <c r="C10" i="21"/>
  <c r="E10" i="21" s="1"/>
  <c r="C12" i="21"/>
  <c r="E12" i="21" s="1"/>
  <c r="C15" i="21"/>
  <c r="E15" i="21" s="1"/>
  <c r="C16" i="21"/>
  <c r="E16" i="21" s="1"/>
  <c r="C18" i="21"/>
  <c r="E18" i="21" s="1"/>
  <c r="C20" i="21"/>
  <c r="E20" i="21" s="1"/>
  <c r="C23" i="21"/>
  <c r="E23" i="21" s="1"/>
  <c r="C24" i="21"/>
  <c r="E24" i="21" s="1"/>
  <c r="C26" i="21"/>
  <c r="E26" i="21" s="1"/>
  <c r="C28" i="21"/>
  <c r="E28" i="21" s="1"/>
  <c r="C31" i="21"/>
  <c r="E31" i="21" s="1"/>
  <c r="C32" i="21"/>
  <c r="E32" i="21" s="1"/>
  <c r="C34" i="21"/>
  <c r="E34" i="21" s="1"/>
  <c r="C36" i="21"/>
  <c r="E36" i="21" s="1"/>
  <c r="C39" i="21"/>
  <c r="E39" i="21" s="1"/>
  <c r="C40" i="21"/>
  <c r="E40" i="21" s="1"/>
  <c r="C42" i="21"/>
  <c r="E42" i="21" s="1"/>
  <c r="C44" i="21"/>
  <c r="E44" i="21" s="1"/>
  <c r="C47" i="21"/>
  <c r="E47" i="21" s="1"/>
  <c r="C48" i="21"/>
  <c r="E48" i="21" s="1"/>
  <c r="C49" i="21"/>
  <c r="E49" i="21" s="1"/>
  <c r="C50" i="21"/>
  <c r="E50" i="21" s="1"/>
  <c r="C51" i="21"/>
  <c r="E51" i="21" s="1"/>
  <c r="C52" i="21"/>
  <c r="E52" i="21" s="1"/>
  <c r="C53" i="21"/>
  <c r="E53" i="21" s="1"/>
  <c r="C54" i="21"/>
  <c r="E54" i="21" s="1"/>
  <c r="C55" i="21"/>
  <c r="E55" i="21" s="1"/>
  <c r="C56" i="21"/>
  <c r="E56" i="21" s="1"/>
  <c r="C57" i="21"/>
  <c r="E57" i="21" s="1"/>
  <c r="C58" i="21"/>
  <c r="E58" i="21" s="1"/>
  <c r="C59" i="21"/>
  <c r="E59" i="21" s="1"/>
  <c r="C60" i="21"/>
  <c r="E60" i="21" s="1"/>
  <c r="C61" i="21"/>
  <c r="E61" i="21" s="1"/>
  <c r="C62" i="21"/>
  <c r="E62" i="21" s="1"/>
  <c r="C63" i="21"/>
  <c r="E63" i="21" s="1"/>
  <c r="C64" i="21"/>
  <c r="E64" i="21" s="1"/>
  <c r="C65" i="21"/>
  <c r="E65" i="21" s="1"/>
  <c r="C66" i="21"/>
  <c r="E66" i="21" s="1"/>
  <c r="C67" i="21"/>
  <c r="E67" i="21" s="1"/>
  <c r="C68" i="21"/>
  <c r="E68" i="21" s="1"/>
  <c r="C69" i="21"/>
  <c r="E69" i="21" s="1"/>
  <c r="C70" i="21"/>
  <c r="E70" i="21" s="1"/>
  <c r="C71" i="21"/>
  <c r="E71" i="21" s="1"/>
  <c r="C72" i="21"/>
  <c r="E72" i="21" s="1"/>
  <c r="C73" i="21"/>
  <c r="E73" i="21" s="1"/>
  <c r="C74" i="21"/>
  <c r="E74" i="21" s="1"/>
  <c r="C75" i="21"/>
  <c r="E75" i="21" s="1"/>
  <c r="C76" i="21"/>
  <c r="E76" i="21" s="1"/>
  <c r="C77" i="21"/>
  <c r="E77" i="21" s="1"/>
  <c r="C78" i="21"/>
  <c r="E78" i="21" s="1"/>
  <c r="C79" i="21"/>
  <c r="E79" i="21" s="1"/>
  <c r="C80" i="21"/>
  <c r="E80" i="21" s="1"/>
  <c r="C81" i="21"/>
  <c r="E81" i="21" s="1"/>
  <c r="C82" i="21"/>
  <c r="E82" i="21" s="1"/>
  <c r="C83" i="21"/>
  <c r="E83" i="21" s="1"/>
  <c r="C84" i="21"/>
  <c r="E84" i="21" s="1"/>
  <c r="C85" i="21"/>
  <c r="E85" i="21" s="1"/>
  <c r="C86" i="21"/>
  <c r="E86" i="21" s="1"/>
  <c r="C87" i="21"/>
  <c r="E87" i="21" s="1"/>
  <c r="C88" i="21"/>
  <c r="E88" i="21" s="1"/>
  <c r="C89" i="21"/>
  <c r="E89" i="21" s="1"/>
  <c r="C90" i="21"/>
  <c r="E90" i="21" s="1"/>
  <c r="C91" i="21"/>
  <c r="E91" i="21" s="1"/>
  <c r="C92" i="21"/>
  <c r="E92" i="21" s="1"/>
  <c r="C93" i="21"/>
  <c r="E93" i="21" s="1"/>
  <c r="C94" i="21"/>
  <c r="E94" i="21" s="1"/>
  <c r="C95" i="21"/>
  <c r="E95" i="21" s="1"/>
  <c r="C96" i="21"/>
  <c r="E96" i="21" s="1"/>
  <c r="C97" i="21"/>
  <c r="E97" i="21" s="1"/>
  <c r="C98" i="21"/>
  <c r="E98" i="21" s="1"/>
  <c r="C99" i="21"/>
  <c r="E99" i="21" s="1"/>
  <c r="C100" i="21"/>
  <c r="E100" i="21" s="1"/>
  <c r="C101" i="21"/>
  <c r="E101" i="21" s="1"/>
  <c r="C3" i="21"/>
  <c r="E3" i="21" s="1"/>
  <c r="BM3" i="19"/>
  <c r="BM4" i="19"/>
  <c r="BM5" i="19"/>
  <c r="BM6" i="19"/>
  <c r="BM7" i="19"/>
  <c r="BM8" i="19"/>
  <c r="BM9" i="19"/>
  <c r="BM10" i="19"/>
  <c r="BM11" i="19"/>
  <c r="BM12" i="19"/>
  <c r="BM13" i="19"/>
  <c r="BM14" i="19"/>
  <c r="BM15" i="19"/>
  <c r="BM16" i="19"/>
  <c r="BM17" i="19"/>
  <c r="BM18" i="19"/>
  <c r="BM19" i="19"/>
  <c r="BM20" i="19"/>
  <c r="BM21" i="19"/>
  <c r="BM22" i="19"/>
  <c r="BM23" i="19"/>
  <c r="BM24" i="19"/>
  <c r="BM25" i="19"/>
  <c r="BM26" i="19"/>
  <c r="BM27" i="19"/>
  <c r="BM28" i="19"/>
  <c r="BM29" i="19"/>
  <c r="BM30" i="19"/>
  <c r="BM31" i="19"/>
  <c r="BM32" i="19"/>
  <c r="BM33" i="19"/>
  <c r="BM34" i="19"/>
  <c r="BM35" i="19"/>
  <c r="BM36" i="19"/>
  <c r="BM37" i="19"/>
  <c r="BM38" i="19"/>
  <c r="BM39" i="19"/>
  <c r="BM40" i="19"/>
  <c r="BM41" i="19"/>
  <c r="BM42" i="19"/>
  <c r="BM43" i="19"/>
  <c r="BM44" i="19"/>
  <c r="BM45" i="19"/>
  <c r="BM46" i="19"/>
  <c r="BM47" i="19"/>
  <c r="BM48" i="19"/>
  <c r="BM49" i="19"/>
  <c r="BM50" i="19"/>
  <c r="BM51" i="19"/>
  <c r="BM52" i="19"/>
  <c r="BM53" i="19"/>
  <c r="BM54" i="19"/>
  <c r="BM55" i="19"/>
  <c r="BM56" i="19"/>
  <c r="BM57" i="19"/>
  <c r="BM58" i="19"/>
  <c r="BM59" i="19"/>
  <c r="BM60" i="19"/>
  <c r="BM61" i="19"/>
  <c r="BM62" i="19"/>
  <c r="BM63" i="19"/>
  <c r="BM64" i="19"/>
  <c r="BM65" i="19"/>
  <c r="BM66" i="19"/>
  <c r="BM67" i="19"/>
  <c r="BM68" i="19"/>
  <c r="BM69" i="19"/>
  <c r="BM70" i="19"/>
  <c r="BM71" i="19"/>
  <c r="BM72" i="19"/>
  <c r="BM73" i="19"/>
  <c r="BM74" i="19"/>
  <c r="BM75" i="19"/>
  <c r="BM76" i="19"/>
  <c r="BM77" i="19"/>
  <c r="BM78" i="19"/>
  <c r="BM79" i="19"/>
  <c r="BM80" i="19"/>
  <c r="BM81" i="19"/>
  <c r="BM82" i="19"/>
  <c r="BM83" i="19"/>
  <c r="BM84" i="19"/>
  <c r="BM85" i="19"/>
  <c r="BM86" i="19"/>
  <c r="BM87" i="19"/>
  <c r="BM88" i="19"/>
  <c r="BM89" i="19"/>
  <c r="BM90" i="19"/>
  <c r="BM91" i="19"/>
  <c r="BM92" i="19"/>
  <c r="BM93" i="19"/>
  <c r="BM94" i="19"/>
  <c r="BM95" i="19"/>
  <c r="BM96" i="19"/>
  <c r="BM97" i="19"/>
  <c r="BM98" i="19"/>
  <c r="BM99" i="19"/>
  <c r="BM100" i="19"/>
  <c r="BJ3" i="19"/>
  <c r="BJ4" i="19"/>
  <c r="BJ5" i="19"/>
  <c r="BJ6" i="19"/>
  <c r="BJ7" i="19"/>
  <c r="BJ8" i="19"/>
  <c r="BJ9" i="19"/>
  <c r="BJ10" i="19"/>
  <c r="BJ11" i="19"/>
  <c r="BJ12" i="19"/>
  <c r="BJ13" i="19"/>
  <c r="BJ14" i="19"/>
  <c r="BJ15" i="19"/>
  <c r="BJ16" i="19"/>
  <c r="BJ17" i="19"/>
  <c r="BJ18" i="19"/>
  <c r="BJ19" i="19"/>
  <c r="BJ20" i="19"/>
  <c r="BJ21" i="19"/>
  <c r="BJ22" i="19"/>
  <c r="BJ23" i="19"/>
  <c r="BJ24" i="19"/>
  <c r="BJ25" i="19"/>
  <c r="BJ26" i="19"/>
  <c r="BJ27" i="19"/>
  <c r="BJ28" i="19"/>
  <c r="BJ29" i="19"/>
  <c r="BJ30" i="19"/>
  <c r="BJ31" i="19"/>
  <c r="BJ32" i="19"/>
  <c r="BJ33" i="19"/>
  <c r="BJ34" i="19"/>
  <c r="BJ35" i="19"/>
  <c r="BJ36" i="19"/>
  <c r="BJ37" i="19"/>
  <c r="BJ38" i="19"/>
  <c r="BJ39" i="19"/>
  <c r="BJ40" i="19"/>
  <c r="BJ41" i="19"/>
  <c r="BJ42" i="19"/>
  <c r="BJ43" i="19"/>
  <c r="BJ44" i="19"/>
  <c r="BJ45" i="19"/>
  <c r="BJ46" i="19"/>
  <c r="BJ47" i="19"/>
  <c r="BJ48" i="19"/>
  <c r="BJ49" i="19"/>
  <c r="BJ50" i="19"/>
  <c r="BJ51" i="19"/>
  <c r="BJ52" i="19"/>
  <c r="BJ53" i="19"/>
  <c r="BJ54" i="19"/>
  <c r="BJ55" i="19"/>
  <c r="BJ56" i="19"/>
  <c r="BJ57" i="19"/>
  <c r="BJ58" i="19"/>
  <c r="BJ59" i="19"/>
  <c r="BJ60" i="19"/>
  <c r="BJ61" i="19"/>
  <c r="BJ62" i="19"/>
  <c r="BJ63" i="19"/>
  <c r="BJ64" i="19"/>
  <c r="BJ65" i="19"/>
  <c r="BJ66" i="19"/>
  <c r="BJ67" i="19"/>
  <c r="BJ68" i="19"/>
  <c r="BJ69" i="19"/>
  <c r="BJ70" i="19"/>
  <c r="BJ71" i="19"/>
  <c r="BJ72" i="19"/>
  <c r="BJ73" i="19"/>
  <c r="BJ74" i="19"/>
  <c r="BJ75" i="19"/>
  <c r="BJ76" i="19"/>
  <c r="BJ77" i="19"/>
  <c r="BJ78" i="19"/>
  <c r="BJ79" i="19"/>
  <c r="BJ80" i="19"/>
  <c r="BJ81" i="19"/>
  <c r="BJ82" i="19"/>
  <c r="BJ83" i="19"/>
  <c r="BJ84" i="19"/>
  <c r="BJ85" i="19"/>
  <c r="BJ86" i="19"/>
  <c r="BJ87" i="19"/>
  <c r="BJ88" i="19"/>
  <c r="BJ89" i="19"/>
  <c r="BJ90" i="19"/>
  <c r="BJ91" i="19"/>
  <c r="BJ92" i="19"/>
  <c r="BJ93" i="19"/>
  <c r="BJ94" i="19"/>
  <c r="BJ95" i="19"/>
  <c r="BJ96" i="19"/>
  <c r="BJ97" i="19"/>
  <c r="BJ98" i="19"/>
  <c r="BJ99" i="19"/>
  <c r="BJ100" i="19"/>
  <c r="BM2" i="19"/>
  <c r="BJ2" i="19"/>
  <c r="O21" i="1"/>
  <c r="K21" i="1"/>
  <c r="G21" i="1"/>
  <c r="E21" i="1"/>
  <c r="O20" i="1"/>
  <c r="P20" i="1" s="1"/>
  <c r="K20" i="1"/>
  <c r="G20" i="1"/>
  <c r="E20" i="1"/>
  <c r="S8" i="31"/>
  <c r="T8" i="31" s="1"/>
  <c r="S6" i="31"/>
  <c r="T6" i="31" s="1"/>
  <c r="N8" i="31"/>
  <c r="O8" i="31" s="1"/>
  <c r="N6" i="31"/>
  <c r="O6" i="31" s="1"/>
  <c r="I8" i="31"/>
  <c r="J8" i="31" s="1"/>
  <c r="I6" i="31"/>
  <c r="J6" i="31" s="1"/>
  <c r="K6" i="31" s="1"/>
  <c r="L6" i="31" s="1"/>
  <c r="M6" i="31" s="1"/>
  <c r="G8" i="31"/>
  <c r="G6" i="31"/>
  <c r="C6" i="31"/>
  <c r="J6" i="28"/>
  <c r="S6" i="28"/>
  <c r="D6" i="28"/>
  <c r="E6" i="28" s="1"/>
  <c r="R6" i="6"/>
  <c r="S6" i="6" s="1"/>
  <c r="R7" i="6"/>
  <c r="S7" i="6" s="1"/>
  <c r="R5" i="6"/>
  <c r="S5" i="6" s="1"/>
  <c r="H6" i="6"/>
  <c r="H7" i="6"/>
  <c r="H5" i="6"/>
  <c r="Z5" i="3"/>
  <c r="T12" i="9"/>
  <c r="U12" i="9" s="1"/>
  <c r="T13" i="9"/>
  <c r="W13" i="9" s="1"/>
  <c r="X13" i="9" s="1"/>
  <c r="T11" i="9"/>
  <c r="U11" i="9" s="1"/>
  <c r="N7" i="31"/>
  <c r="G7" i="31"/>
  <c r="G5" i="31"/>
  <c r="S7" i="31"/>
  <c r="T7" i="31" s="1"/>
  <c r="U7" i="31" s="1"/>
  <c r="X7" i="31" s="1"/>
  <c r="S5" i="31"/>
  <c r="T5" i="31" s="1"/>
  <c r="U5" i="31" s="1"/>
  <c r="X5" i="31" s="1"/>
  <c r="I7" i="31"/>
  <c r="J7" i="31" s="1"/>
  <c r="N5" i="31"/>
  <c r="O5" i="31" s="1"/>
  <c r="C5" i="31"/>
  <c r="I5" i="31"/>
  <c r="J5" i="31" s="1"/>
  <c r="G7" i="27"/>
  <c r="H7" i="27" s="1"/>
  <c r="I7" i="27" s="1"/>
  <c r="G6" i="27"/>
  <c r="H6" i="27" s="1"/>
  <c r="I6" i="27" s="1"/>
  <c r="R5" i="10"/>
  <c r="R6" i="10"/>
  <c r="U6" i="10" s="1"/>
  <c r="V6" i="10" s="1"/>
  <c r="W7" i="10"/>
  <c r="S5" i="28"/>
  <c r="J5" i="28"/>
  <c r="D5" i="28"/>
  <c r="E5" i="28" s="1"/>
  <c r="T6" i="9"/>
  <c r="U6" i="9" s="1"/>
  <c r="T7" i="9"/>
  <c r="U7" i="9" s="1"/>
  <c r="T8" i="9"/>
  <c r="U8" i="9" s="1"/>
  <c r="T9" i="9"/>
  <c r="U9" i="9" s="1"/>
  <c r="T10" i="9"/>
  <c r="U10" i="9" s="1"/>
  <c r="T5" i="9"/>
  <c r="U5" i="9" s="1"/>
  <c r="G5" i="27"/>
  <c r="H5" i="27" s="1"/>
  <c r="I5" i="27" s="1"/>
  <c r="C5" i="26"/>
  <c r="E5" i="26"/>
  <c r="G5" i="26" s="1"/>
  <c r="K8" i="31" l="1"/>
  <c r="L8" i="31" s="1"/>
  <c r="R5" i="27"/>
  <c r="S5" i="27"/>
  <c r="V5" i="27"/>
  <c r="R6" i="27"/>
  <c r="S6" i="27"/>
  <c r="V6" i="27"/>
  <c r="R7" i="27"/>
  <c r="V7" i="27"/>
  <c r="S7" i="27"/>
  <c r="J7" i="27"/>
  <c r="W9" i="9"/>
  <c r="X9" i="9" s="1"/>
  <c r="AB8" i="9"/>
  <c r="AD10" i="9"/>
  <c r="AE10" i="9" s="1"/>
  <c r="W12" i="9"/>
  <c r="X12" i="9" s="1"/>
  <c r="AD9" i="9"/>
  <c r="AE9" i="9" s="1"/>
  <c r="W11" i="9"/>
  <c r="X11" i="9" s="1"/>
  <c r="W10" i="9"/>
  <c r="X10" i="9" s="1"/>
  <c r="U13" i="9"/>
  <c r="W7" i="9"/>
  <c r="X7" i="9" s="1"/>
  <c r="W5" i="9"/>
  <c r="X5" i="9" s="1"/>
  <c r="W6" i="9"/>
  <c r="X6" i="9" s="1"/>
  <c r="W8" i="9"/>
  <c r="X8" i="9" s="1"/>
  <c r="C5" i="33"/>
  <c r="E5" i="33" s="1"/>
  <c r="C13" i="33"/>
  <c r="E13" i="33" s="1"/>
  <c r="C25" i="33"/>
  <c r="E25" i="33" s="1"/>
  <c r="C37" i="33"/>
  <c r="E37" i="33" s="1"/>
  <c r="C49" i="33"/>
  <c r="E49" i="33" s="1"/>
  <c r="C61" i="33"/>
  <c r="E61" i="33" s="1"/>
  <c r="C69" i="33"/>
  <c r="E69" i="33" s="1"/>
  <c r="C77" i="33"/>
  <c r="E77" i="33" s="1"/>
  <c r="C89" i="33"/>
  <c r="E89" i="33" s="1"/>
  <c r="C97" i="33"/>
  <c r="E97" i="33" s="1"/>
  <c r="C9" i="33"/>
  <c r="E9" i="33" s="1"/>
  <c r="C17" i="33"/>
  <c r="E17" i="33" s="1"/>
  <c r="C21" i="33"/>
  <c r="E21" i="33" s="1"/>
  <c r="C29" i="33"/>
  <c r="E29" i="33" s="1"/>
  <c r="C33" i="33"/>
  <c r="E33" i="33" s="1"/>
  <c r="C41" i="33"/>
  <c r="E41" i="33" s="1"/>
  <c r="C45" i="33"/>
  <c r="E45" i="33" s="1"/>
  <c r="C53" i="33"/>
  <c r="E53" i="33" s="1"/>
  <c r="C57" i="33"/>
  <c r="E57" i="33" s="1"/>
  <c r="C65" i="33"/>
  <c r="E65" i="33" s="1"/>
  <c r="C73" i="33"/>
  <c r="E73" i="33" s="1"/>
  <c r="C81" i="33"/>
  <c r="E81" i="33" s="1"/>
  <c r="C85" i="33"/>
  <c r="E85" i="33" s="1"/>
  <c r="C93" i="33"/>
  <c r="E93" i="33" s="1"/>
  <c r="C101" i="33"/>
  <c r="E101" i="33" s="1"/>
  <c r="C2" i="33"/>
  <c r="E2" i="33" s="1"/>
  <c r="C6" i="33"/>
  <c r="E6" i="33" s="1"/>
  <c r="C10" i="33"/>
  <c r="E10" i="33" s="1"/>
  <c r="C14" i="33"/>
  <c r="E14" i="33" s="1"/>
  <c r="C18" i="33"/>
  <c r="E18" i="33" s="1"/>
  <c r="C22" i="33"/>
  <c r="E22" i="33" s="1"/>
  <c r="C26" i="33"/>
  <c r="E26" i="33" s="1"/>
  <c r="C30" i="33"/>
  <c r="E30" i="33" s="1"/>
  <c r="C34" i="33"/>
  <c r="E34" i="33" s="1"/>
  <c r="C38" i="33"/>
  <c r="E38" i="33" s="1"/>
  <c r="C42" i="33"/>
  <c r="E42" i="33" s="1"/>
  <c r="C46" i="33"/>
  <c r="E46" i="33" s="1"/>
  <c r="C50" i="33"/>
  <c r="E50" i="33" s="1"/>
  <c r="C54" i="33"/>
  <c r="E54" i="33" s="1"/>
  <c r="C58" i="33"/>
  <c r="E58" i="33" s="1"/>
  <c r="C62" i="33"/>
  <c r="E62" i="33" s="1"/>
  <c r="C66" i="33"/>
  <c r="E66" i="33" s="1"/>
  <c r="C70" i="33"/>
  <c r="E70" i="33" s="1"/>
  <c r="C74" i="33"/>
  <c r="E74" i="33" s="1"/>
  <c r="C78" i="33"/>
  <c r="E78" i="33" s="1"/>
  <c r="C82" i="33"/>
  <c r="E82" i="33" s="1"/>
  <c r="C86" i="33"/>
  <c r="E86" i="33" s="1"/>
  <c r="C90" i="33"/>
  <c r="E90" i="33" s="1"/>
  <c r="C94" i="33"/>
  <c r="E94" i="33" s="1"/>
  <c r="C98" i="33"/>
  <c r="E98" i="33" s="1"/>
  <c r="C102" i="33"/>
  <c r="E102" i="33" s="1"/>
  <c r="C3" i="33"/>
  <c r="E3" i="33" s="1"/>
  <c r="C7" i="33"/>
  <c r="E7" i="33" s="1"/>
  <c r="C11" i="33"/>
  <c r="E11" i="33" s="1"/>
  <c r="C15" i="33"/>
  <c r="E15" i="33" s="1"/>
  <c r="C19" i="33"/>
  <c r="E19" i="33" s="1"/>
  <c r="C23" i="33"/>
  <c r="E23" i="33" s="1"/>
  <c r="C27" i="33"/>
  <c r="E27" i="33" s="1"/>
  <c r="C31" i="33"/>
  <c r="E31" i="33" s="1"/>
  <c r="C35" i="33"/>
  <c r="E35" i="33" s="1"/>
  <c r="C39" i="33"/>
  <c r="E39" i="33" s="1"/>
  <c r="C43" i="33"/>
  <c r="E43" i="33" s="1"/>
  <c r="C47" i="33"/>
  <c r="E47" i="33" s="1"/>
  <c r="C51" i="33"/>
  <c r="E51" i="33" s="1"/>
  <c r="C55" i="33"/>
  <c r="E55" i="33" s="1"/>
  <c r="C59" i="33"/>
  <c r="E59" i="33" s="1"/>
  <c r="C63" i="33"/>
  <c r="E63" i="33" s="1"/>
  <c r="C67" i="33"/>
  <c r="E67" i="33" s="1"/>
  <c r="C71" i="33"/>
  <c r="E71" i="33" s="1"/>
  <c r="C75" i="33"/>
  <c r="E75" i="33" s="1"/>
  <c r="C79" i="33"/>
  <c r="E79" i="33" s="1"/>
  <c r="C83" i="33"/>
  <c r="E83" i="33" s="1"/>
  <c r="C87" i="33"/>
  <c r="E87" i="33" s="1"/>
  <c r="C91" i="33"/>
  <c r="E91" i="33" s="1"/>
  <c r="C95" i="33"/>
  <c r="E95" i="33" s="1"/>
  <c r="C99" i="33"/>
  <c r="E99" i="33" s="1"/>
  <c r="C103" i="33"/>
  <c r="E103" i="33" s="1"/>
  <c r="C4" i="33"/>
  <c r="E4" i="33" s="1"/>
  <c r="C8" i="33"/>
  <c r="E8" i="33" s="1"/>
  <c r="C12" i="33"/>
  <c r="E12" i="33" s="1"/>
  <c r="C16" i="33"/>
  <c r="E16" i="33" s="1"/>
  <c r="C20" i="33"/>
  <c r="E20" i="33" s="1"/>
  <c r="C24" i="33"/>
  <c r="E24" i="33" s="1"/>
  <c r="C28" i="33"/>
  <c r="E28" i="33" s="1"/>
  <c r="C32" i="33"/>
  <c r="E32" i="33" s="1"/>
  <c r="C36" i="33"/>
  <c r="E36" i="33" s="1"/>
  <c r="C40" i="33"/>
  <c r="E40" i="33" s="1"/>
  <c r="C44" i="33"/>
  <c r="E44" i="33" s="1"/>
  <c r="C48" i="33"/>
  <c r="E48" i="33" s="1"/>
  <c r="C52" i="33"/>
  <c r="E52" i="33" s="1"/>
  <c r="C56" i="33"/>
  <c r="E56" i="33" s="1"/>
  <c r="C60" i="33"/>
  <c r="E60" i="33" s="1"/>
  <c r="C64" i="33"/>
  <c r="E64" i="33" s="1"/>
  <c r="C68" i="33"/>
  <c r="E68" i="33" s="1"/>
  <c r="C72" i="33"/>
  <c r="E72" i="33" s="1"/>
  <c r="C76" i="33"/>
  <c r="E76" i="33" s="1"/>
  <c r="C80" i="33"/>
  <c r="E80" i="33" s="1"/>
  <c r="C84" i="33"/>
  <c r="E84" i="33" s="1"/>
  <c r="C88" i="33"/>
  <c r="E88" i="33" s="1"/>
  <c r="C92" i="33"/>
  <c r="E92" i="33" s="1"/>
  <c r="C96" i="33"/>
  <c r="E96" i="33" s="1"/>
  <c r="C100" i="33"/>
  <c r="E100" i="33" s="1"/>
  <c r="C46" i="21"/>
  <c r="E46" i="21" s="1"/>
  <c r="C38" i="21"/>
  <c r="E38" i="21" s="1"/>
  <c r="C30" i="21"/>
  <c r="E30" i="21" s="1"/>
  <c r="C22" i="21"/>
  <c r="E22" i="21" s="1"/>
  <c r="C14" i="21"/>
  <c r="E14" i="21" s="1"/>
  <c r="C6" i="21"/>
  <c r="E6" i="21" s="1"/>
  <c r="C110" i="21"/>
  <c r="E110" i="21" s="1"/>
  <c r="C102" i="21"/>
  <c r="E102" i="21" s="1"/>
  <c r="C45" i="21"/>
  <c r="E45" i="21" s="1"/>
  <c r="C37" i="21"/>
  <c r="E37" i="21" s="1"/>
  <c r="C29" i="21"/>
  <c r="E29" i="21" s="1"/>
  <c r="C21" i="21"/>
  <c r="E21" i="21" s="1"/>
  <c r="C13" i="21"/>
  <c r="E13" i="21" s="1"/>
  <c r="C5" i="21"/>
  <c r="E5" i="21" s="1"/>
  <c r="C109" i="21"/>
  <c r="E109" i="21" s="1"/>
  <c r="C43" i="21"/>
  <c r="E43" i="21" s="1"/>
  <c r="C35" i="21"/>
  <c r="E35" i="21" s="1"/>
  <c r="C27" i="21"/>
  <c r="E27" i="21" s="1"/>
  <c r="C19" i="21"/>
  <c r="E19" i="21" s="1"/>
  <c r="C11" i="21"/>
  <c r="E11" i="21" s="1"/>
  <c r="C107" i="21"/>
  <c r="E107" i="21" s="1"/>
  <c r="C41" i="21"/>
  <c r="E41" i="21" s="1"/>
  <c r="C33" i="21"/>
  <c r="E33" i="21" s="1"/>
  <c r="C25" i="21"/>
  <c r="E25" i="21" s="1"/>
  <c r="C17" i="21"/>
  <c r="E17" i="21" s="1"/>
  <c r="C9" i="21"/>
  <c r="E9" i="21" s="1"/>
  <c r="T6" i="28"/>
  <c r="AA6" i="28" s="1"/>
  <c r="H20" i="1"/>
  <c r="U20" i="1" s="1"/>
  <c r="V20" i="1" s="1"/>
  <c r="N7" i="27"/>
  <c r="O7" i="27" s="1"/>
  <c r="G6" i="28"/>
  <c r="K6" i="28" s="1"/>
  <c r="L6" i="28" s="1"/>
  <c r="N6" i="28"/>
  <c r="O6" i="28" s="1"/>
  <c r="AA8" i="31"/>
  <c r="U8" i="31"/>
  <c r="AA7" i="31"/>
  <c r="H21" i="1"/>
  <c r="Q21" i="1" s="1"/>
  <c r="P21" i="1"/>
  <c r="J20" i="1"/>
  <c r="L20" i="1"/>
  <c r="Q20" i="1"/>
  <c r="M8" i="31"/>
  <c r="P8" i="31"/>
  <c r="Q8" i="31" s="1"/>
  <c r="P6" i="31"/>
  <c r="Q6" i="31" s="1"/>
  <c r="U6" i="31"/>
  <c r="AA6" i="31"/>
  <c r="K5" i="31"/>
  <c r="L5" i="31" s="1"/>
  <c r="M5" i="31" s="1"/>
  <c r="AA5" i="31"/>
  <c r="K7" i="31"/>
  <c r="L7" i="31" s="1"/>
  <c r="M7" i="31" s="1"/>
  <c r="J6" i="27"/>
  <c r="P6" i="27" s="1"/>
  <c r="Q6" i="27" s="1"/>
  <c r="V7" i="31"/>
  <c r="W7" i="31" s="1"/>
  <c r="Y7" i="31" s="1"/>
  <c r="Z7" i="31" s="1"/>
  <c r="V5" i="31"/>
  <c r="W5" i="31" s="1"/>
  <c r="Y5" i="31" s="1"/>
  <c r="Z5" i="31" s="1"/>
  <c r="O7" i="31"/>
  <c r="G5" i="28"/>
  <c r="K5" i="28" s="1"/>
  <c r="L5" i="28" s="1"/>
  <c r="N5" i="28"/>
  <c r="O5" i="28" s="1"/>
  <c r="T5" i="28"/>
  <c r="U5" i="28" s="1"/>
  <c r="J5" i="27"/>
  <c r="P5" i="27" s="1"/>
  <c r="Q5" i="27" s="1"/>
  <c r="K7" i="27" l="1"/>
  <c r="P7" i="27"/>
  <c r="Q7" i="27" s="1"/>
  <c r="AB5" i="27"/>
  <c r="W5" i="27"/>
  <c r="X5" i="27" s="1"/>
  <c r="Y5" i="27"/>
  <c r="T5" i="27"/>
  <c r="U5" i="27" s="1"/>
  <c r="Y7" i="27"/>
  <c r="AE7" i="27" s="1"/>
  <c r="T7" i="27"/>
  <c r="U7" i="27" s="1"/>
  <c r="W7" i="27"/>
  <c r="X7" i="27" s="1"/>
  <c r="AB7" i="27"/>
  <c r="AK7" i="27" s="1"/>
  <c r="W6" i="27"/>
  <c r="X6" i="27" s="1"/>
  <c r="AB6" i="27"/>
  <c r="Y6" i="27"/>
  <c r="T6" i="27"/>
  <c r="U6" i="27" s="1"/>
  <c r="AD6" i="28"/>
  <c r="AE6" i="28" s="1"/>
  <c r="AF6" i="28" s="1"/>
  <c r="AB6" i="28"/>
  <c r="AC6" i="28" s="1"/>
  <c r="U6" i="28"/>
  <c r="V6" i="28" s="1"/>
  <c r="W6" i="28" s="1"/>
  <c r="AD6" i="31"/>
  <c r="AE6" i="31" s="1"/>
  <c r="AF6" i="31" s="1"/>
  <c r="AB6" i="31"/>
  <c r="AC6" i="31" s="1"/>
  <c r="AD7" i="31"/>
  <c r="AE7" i="31" s="1"/>
  <c r="AF7" i="31" s="1"/>
  <c r="AB7" i="31"/>
  <c r="AC7" i="31" s="1"/>
  <c r="AD8" i="31"/>
  <c r="AE8" i="31" s="1"/>
  <c r="AF8" i="31" s="1"/>
  <c r="AB8" i="31"/>
  <c r="AC8" i="31" s="1"/>
  <c r="AD5" i="31"/>
  <c r="AE5" i="31" s="1"/>
  <c r="AF5" i="31" s="1"/>
  <c r="AB5" i="31"/>
  <c r="AC5" i="31" s="1"/>
  <c r="K6" i="27"/>
  <c r="N6" i="27"/>
  <c r="O6" i="27" s="1"/>
  <c r="M6" i="28"/>
  <c r="P6" i="28"/>
  <c r="Q6" i="28" s="1"/>
  <c r="X6" i="28"/>
  <c r="Y6" i="28" s="1"/>
  <c r="Z6" i="28" s="1"/>
  <c r="X8" i="31"/>
  <c r="Y8" i="31" s="1"/>
  <c r="Z8" i="31" s="1"/>
  <c r="V8" i="31"/>
  <c r="W8" i="31" s="1"/>
  <c r="U21" i="1"/>
  <c r="V21" i="1" s="1"/>
  <c r="W21" i="1" s="1"/>
  <c r="AD21" i="1" s="1"/>
  <c r="J21" i="1"/>
  <c r="L21" i="1"/>
  <c r="S21" i="1"/>
  <c r="R21" i="1"/>
  <c r="S20" i="1"/>
  <c r="R20" i="1"/>
  <c r="X20" i="1"/>
  <c r="W20" i="1"/>
  <c r="AD20" i="1" s="1"/>
  <c r="V6" i="31"/>
  <c r="W6" i="31" s="1"/>
  <c r="X6" i="31"/>
  <c r="Y6" i="31" s="1"/>
  <c r="Z6" i="31" s="1"/>
  <c r="P5" i="31"/>
  <c r="Q5" i="31" s="1"/>
  <c r="P7" i="31"/>
  <c r="Q7" i="31" s="1"/>
  <c r="K5" i="27"/>
  <c r="N5" i="27"/>
  <c r="O5" i="27" s="1"/>
  <c r="AA5" i="28"/>
  <c r="P5" i="28"/>
  <c r="Q5" i="28" s="1"/>
  <c r="M5" i="28"/>
  <c r="Z7" i="27" l="1"/>
  <c r="AA7" i="27" s="1"/>
  <c r="AH7" i="27"/>
  <c r="AI7" i="27" s="1"/>
  <c r="AJ7" i="27" s="1"/>
  <c r="AF7" i="27"/>
  <c r="AG7" i="27" s="1"/>
  <c r="AD5" i="28"/>
  <c r="AE5" i="28" s="1"/>
  <c r="AF5" i="28" s="1"/>
  <c r="AB5" i="28"/>
  <c r="AC5" i="28" s="1"/>
  <c r="AG21" i="1"/>
  <c r="AH21" i="1" s="1"/>
  <c r="AI21" i="1" s="1"/>
  <c r="AE21" i="1"/>
  <c r="AF21" i="1" s="1"/>
  <c r="AG20" i="1"/>
  <c r="AH20" i="1" s="1"/>
  <c r="AI20" i="1" s="1"/>
  <c r="AE20" i="1"/>
  <c r="AF20" i="1" s="1"/>
  <c r="AN7" i="27"/>
  <c r="AO7" i="27" s="1"/>
  <c r="AP7" i="27" s="1"/>
  <c r="AL7" i="27"/>
  <c r="AM7" i="27" s="1"/>
  <c r="X21" i="1"/>
  <c r="AA21" i="1" s="1"/>
  <c r="AB21" i="1" s="1"/>
  <c r="AC21" i="1" s="1"/>
  <c r="AA20" i="1"/>
  <c r="AB20" i="1" s="1"/>
  <c r="AC20" i="1" s="1"/>
  <c r="Y20" i="1"/>
  <c r="Z20" i="1" s="1"/>
  <c r="AC7" i="27"/>
  <c r="AD7" i="27" s="1"/>
  <c r="AC5" i="27"/>
  <c r="AD5" i="27" s="1"/>
  <c r="AK5" i="27"/>
  <c r="AK6" i="27"/>
  <c r="AC6" i="27"/>
  <c r="AD6" i="27" s="1"/>
  <c r="Z5" i="27"/>
  <c r="AA5" i="27" s="1"/>
  <c r="AE5" i="27"/>
  <c r="AE6" i="27"/>
  <c r="Z6" i="27"/>
  <c r="AA6" i="27" s="1"/>
  <c r="X5" i="28"/>
  <c r="Y5" i="28" s="1"/>
  <c r="Z5" i="28" s="1"/>
  <c r="V5" i="28"/>
  <c r="W5" i="28" s="1"/>
  <c r="AH6" i="27" l="1"/>
  <c r="AI6" i="27" s="1"/>
  <c r="AJ6" i="27" s="1"/>
  <c r="AF6" i="27"/>
  <c r="AG6" i="27" s="1"/>
  <c r="AH5" i="27"/>
  <c r="AI5" i="27" s="1"/>
  <c r="AJ5" i="27" s="1"/>
  <c r="AF5" i="27"/>
  <c r="AG5" i="27" s="1"/>
  <c r="AN6" i="27"/>
  <c r="AO6" i="27" s="1"/>
  <c r="AP6" i="27" s="1"/>
  <c r="AL6" i="27"/>
  <c r="AM6" i="27" s="1"/>
  <c r="AN5" i="27"/>
  <c r="AO5" i="27" s="1"/>
  <c r="AP5" i="27" s="1"/>
  <c r="AL5" i="27"/>
  <c r="AM5" i="27" s="1"/>
  <c r="Y21" i="1"/>
  <c r="Z21" i="1" s="1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0" i="24"/>
  <c r="G61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0" i="24"/>
  <c r="G81" i="24"/>
  <c r="G82" i="24"/>
  <c r="G83" i="24"/>
  <c r="G84" i="24"/>
  <c r="G85" i="24"/>
  <c r="G86" i="24"/>
  <c r="G87" i="24"/>
  <c r="G88" i="24"/>
  <c r="G89" i="24"/>
  <c r="G90" i="24"/>
  <c r="G91" i="24"/>
  <c r="G92" i="24"/>
  <c r="G93" i="24"/>
  <c r="G94" i="24"/>
  <c r="G95" i="24"/>
  <c r="G96" i="24"/>
  <c r="G97" i="24"/>
  <c r="G98" i="24"/>
  <c r="G99" i="24"/>
  <c r="G100" i="24"/>
  <c r="G101" i="24"/>
  <c r="G2" i="24"/>
  <c r="O6" i="8"/>
  <c r="P6" i="8" s="1"/>
  <c r="O5" i="8"/>
  <c r="P5" i="8" s="1"/>
  <c r="J6" i="4" l="1"/>
  <c r="K6" i="4"/>
  <c r="M6" i="4" s="1"/>
  <c r="N6" i="4" s="1"/>
  <c r="L6" i="4"/>
  <c r="I6" i="4"/>
  <c r="G6" i="4"/>
  <c r="M5" i="26"/>
  <c r="N5" i="26" s="1"/>
  <c r="F5" i="26"/>
  <c r="S6" i="7"/>
  <c r="S9" i="7"/>
  <c r="S10" i="7"/>
  <c r="S5" i="7"/>
  <c r="AC5" i="7" s="1"/>
  <c r="Y6" i="5"/>
  <c r="Z6" i="5" s="1"/>
  <c r="AA6" i="5" s="1"/>
  <c r="Y7" i="5"/>
  <c r="Z7" i="5" s="1"/>
  <c r="AA7" i="5" s="1"/>
  <c r="Y8" i="5"/>
  <c r="Z8" i="5" s="1"/>
  <c r="AA8" i="5" s="1"/>
  <c r="Y9" i="5"/>
  <c r="Z9" i="5" s="1"/>
  <c r="AA9" i="5" s="1"/>
  <c r="Y10" i="5"/>
  <c r="Z10" i="5" s="1"/>
  <c r="AA10" i="5" s="1"/>
  <c r="Y11" i="5"/>
  <c r="Z11" i="5" s="1"/>
  <c r="AA11" i="5" s="1"/>
  <c r="Y12" i="5"/>
  <c r="Z12" i="5" s="1"/>
  <c r="AA12" i="5" s="1"/>
  <c r="Y13" i="5"/>
  <c r="Z13" i="5" s="1"/>
  <c r="AA13" i="5" s="1"/>
  <c r="Y14" i="5"/>
  <c r="Z14" i="5" s="1"/>
  <c r="AA14" i="5" s="1"/>
  <c r="Y15" i="5"/>
  <c r="Z15" i="5" s="1"/>
  <c r="AA15" i="5" s="1"/>
  <c r="Y16" i="5"/>
  <c r="Z16" i="5" s="1"/>
  <c r="AA16" i="5" s="1"/>
  <c r="Y17" i="5"/>
  <c r="Z17" i="5" s="1"/>
  <c r="AA17" i="5" s="1"/>
  <c r="Y18" i="5"/>
  <c r="Z18" i="5" s="1"/>
  <c r="AA18" i="5" s="1"/>
  <c r="Y19" i="5"/>
  <c r="Z19" i="5" s="1"/>
  <c r="AA19" i="5" s="1"/>
  <c r="Y20" i="5"/>
  <c r="Z20" i="5" s="1"/>
  <c r="AA20" i="5" s="1"/>
  <c r="Y21" i="5"/>
  <c r="Z21" i="5" s="1"/>
  <c r="AA21" i="5" s="1"/>
  <c r="Y5" i="5"/>
  <c r="Z5" i="5" s="1"/>
  <c r="AA5" i="5" s="1"/>
  <c r="AF5" i="7" l="1"/>
  <c r="AG5" i="7" s="1"/>
  <c r="AH5" i="7" s="1"/>
  <c r="AD5" i="7"/>
  <c r="AE5" i="7" s="1"/>
  <c r="AD20" i="5"/>
  <c r="AE20" i="5" s="1"/>
  <c r="AB20" i="5"/>
  <c r="AD10" i="5"/>
  <c r="AE10" i="5" s="1"/>
  <c r="AB10" i="5"/>
  <c r="AD18" i="5"/>
  <c r="AE18" i="5" s="1"/>
  <c r="AB18" i="5"/>
  <c r="AD11" i="5"/>
  <c r="AE11" i="5" s="1"/>
  <c r="AB11" i="5"/>
  <c r="AD17" i="5"/>
  <c r="AE17" i="5" s="1"/>
  <c r="AB17" i="5"/>
  <c r="AD9" i="5"/>
  <c r="AE9" i="5" s="1"/>
  <c r="AB9" i="5"/>
  <c r="AD12" i="5"/>
  <c r="AE12" i="5" s="1"/>
  <c r="AB12" i="5"/>
  <c r="AD16" i="5"/>
  <c r="AE16" i="5" s="1"/>
  <c r="AB16" i="5"/>
  <c r="AD8" i="5"/>
  <c r="AE8" i="5" s="1"/>
  <c r="AB8" i="5"/>
  <c r="AD21" i="5"/>
  <c r="AE21" i="5" s="1"/>
  <c r="AB21" i="5"/>
  <c r="AD19" i="5"/>
  <c r="AE19" i="5" s="1"/>
  <c r="AB19" i="5"/>
  <c r="AD15" i="5"/>
  <c r="AE15" i="5" s="1"/>
  <c r="AB15" i="5"/>
  <c r="AD7" i="5"/>
  <c r="AE7" i="5" s="1"/>
  <c r="AB7" i="5"/>
  <c r="AD13" i="5"/>
  <c r="AE13" i="5" s="1"/>
  <c r="AB13" i="5"/>
  <c r="AD5" i="5"/>
  <c r="AE5" i="5" s="1"/>
  <c r="AB5" i="5"/>
  <c r="AD14" i="5"/>
  <c r="AE14" i="5" s="1"/>
  <c r="AB14" i="5"/>
  <c r="AD6" i="5"/>
  <c r="AE6" i="5" s="1"/>
  <c r="AB6" i="5"/>
  <c r="S5" i="26"/>
  <c r="T5" i="26" s="1"/>
  <c r="U5" i="26" s="1"/>
  <c r="AB5" i="26" s="1"/>
  <c r="AC6" i="7"/>
  <c r="AC9" i="7"/>
  <c r="AC10" i="7"/>
  <c r="I5" i="26"/>
  <c r="O5" i="26"/>
  <c r="P5" i="26" s="1"/>
  <c r="O6" i="4"/>
  <c r="H5" i="26"/>
  <c r="J5" i="26"/>
  <c r="X5" i="3"/>
  <c r="Y5" i="3" s="1"/>
  <c r="AF5" i="3" s="1"/>
  <c r="C103" i="19"/>
  <c r="D103" i="19"/>
  <c r="E103" i="19" s="1"/>
  <c r="C102" i="19"/>
  <c r="D102" i="19"/>
  <c r="E102" i="19" s="1"/>
  <c r="C101" i="19"/>
  <c r="D101" i="19"/>
  <c r="E101" i="19" s="1"/>
  <c r="G5" i="4"/>
  <c r="I5" i="4"/>
  <c r="H5" i="3"/>
  <c r="E6" i="2"/>
  <c r="E7" i="2"/>
  <c r="E8" i="2"/>
  <c r="E5" i="2"/>
  <c r="Q8" i="2"/>
  <c r="R8" i="2" s="1"/>
  <c r="J8" i="2"/>
  <c r="K8" i="2" s="1"/>
  <c r="F8" i="2"/>
  <c r="H8" i="2" s="1"/>
  <c r="Q7" i="2"/>
  <c r="R7" i="2" s="1"/>
  <c r="J7" i="2"/>
  <c r="K7" i="2" s="1"/>
  <c r="F7" i="2"/>
  <c r="H7" i="2" s="1"/>
  <c r="E7" i="19"/>
  <c r="E8" i="19"/>
  <c r="E15" i="19"/>
  <c r="E16" i="19"/>
  <c r="E23" i="19"/>
  <c r="E24" i="19"/>
  <c r="E31" i="19"/>
  <c r="E32" i="19"/>
  <c r="E39" i="19"/>
  <c r="E40" i="19"/>
  <c r="E47" i="19"/>
  <c r="E48" i="19"/>
  <c r="E55" i="19"/>
  <c r="E56" i="19"/>
  <c r="E63" i="19"/>
  <c r="E64" i="19"/>
  <c r="E71" i="19"/>
  <c r="E72" i="19"/>
  <c r="E79" i="19"/>
  <c r="E80" i="19"/>
  <c r="E87" i="19"/>
  <c r="E88" i="19"/>
  <c r="E95" i="19"/>
  <c r="E96" i="19"/>
  <c r="D3" i="19"/>
  <c r="E3" i="19" s="1"/>
  <c r="D4" i="19"/>
  <c r="E4" i="19" s="1"/>
  <c r="D5" i="19"/>
  <c r="E5" i="19" s="1"/>
  <c r="D6" i="19"/>
  <c r="E6" i="19" s="1"/>
  <c r="D7" i="19"/>
  <c r="D8" i="19"/>
  <c r="D9" i="19"/>
  <c r="E9" i="19" s="1"/>
  <c r="D10" i="19"/>
  <c r="E10" i="19" s="1"/>
  <c r="D11" i="19"/>
  <c r="E11" i="19" s="1"/>
  <c r="D12" i="19"/>
  <c r="E12" i="19" s="1"/>
  <c r="D13" i="19"/>
  <c r="E13" i="19" s="1"/>
  <c r="D14" i="19"/>
  <c r="E14" i="19" s="1"/>
  <c r="D15" i="19"/>
  <c r="D16" i="19"/>
  <c r="D17" i="19"/>
  <c r="E17" i="19" s="1"/>
  <c r="D18" i="19"/>
  <c r="E18" i="19" s="1"/>
  <c r="D19" i="19"/>
  <c r="E19" i="19" s="1"/>
  <c r="D20" i="19"/>
  <c r="E20" i="19" s="1"/>
  <c r="D21" i="19"/>
  <c r="E21" i="19" s="1"/>
  <c r="D22" i="19"/>
  <c r="E22" i="19" s="1"/>
  <c r="D23" i="19"/>
  <c r="D24" i="19"/>
  <c r="D25" i="19"/>
  <c r="E25" i="19" s="1"/>
  <c r="D26" i="19"/>
  <c r="E26" i="19" s="1"/>
  <c r="D27" i="19"/>
  <c r="E27" i="19" s="1"/>
  <c r="D28" i="19"/>
  <c r="E28" i="19" s="1"/>
  <c r="D29" i="19"/>
  <c r="E29" i="19" s="1"/>
  <c r="D30" i="19"/>
  <c r="E30" i="19" s="1"/>
  <c r="D31" i="19"/>
  <c r="D32" i="19"/>
  <c r="D33" i="19"/>
  <c r="E33" i="19" s="1"/>
  <c r="D34" i="19"/>
  <c r="E34" i="19" s="1"/>
  <c r="D35" i="19"/>
  <c r="E35" i="19" s="1"/>
  <c r="D36" i="19"/>
  <c r="E36" i="19" s="1"/>
  <c r="D37" i="19"/>
  <c r="E37" i="19" s="1"/>
  <c r="D38" i="19"/>
  <c r="E38" i="19" s="1"/>
  <c r="D39" i="19"/>
  <c r="D40" i="19"/>
  <c r="D41" i="19"/>
  <c r="E41" i="19" s="1"/>
  <c r="D42" i="19"/>
  <c r="E42" i="19" s="1"/>
  <c r="D43" i="19"/>
  <c r="E43" i="19" s="1"/>
  <c r="D44" i="19"/>
  <c r="E44" i="19" s="1"/>
  <c r="D45" i="19"/>
  <c r="E45" i="19" s="1"/>
  <c r="D46" i="19"/>
  <c r="E46" i="19" s="1"/>
  <c r="D47" i="19"/>
  <c r="D48" i="19"/>
  <c r="D49" i="19"/>
  <c r="E49" i="19" s="1"/>
  <c r="D50" i="19"/>
  <c r="E50" i="19" s="1"/>
  <c r="D51" i="19"/>
  <c r="E51" i="19" s="1"/>
  <c r="D52" i="19"/>
  <c r="E52" i="19" s="1"/>
  <c r="D53" i="19"/>
  <c r="E53" i="19" s="1"/>
  <c r="D54" i="19"/>
  <c r="E54" i="19" s="1"/>
  <c r="D55" i="19"/>
  <c r="D56" i="19"/>
  <c r="D57" i="19"/>
  <c r="E57" i="19" s="1"/>
  <c r="D58" i="19"/>
  <c r="E58" i="19" s="1"/>
  <c r="D59" i="19"/>
  <c r="E59" i="19" s="1"/>
  <c r="D60" i="19"/>
  <c r="E60" i="19" s="1"/>
  <c r="D61" i="19"/>
  <c r="E61" i="19" s="1"/>
  <c r="D62" i="19"/>
  <c r="E62" i="19" s="1"/>
  <c r="D63" i="19"/>
  <c r="D64" i="19"/>
  <c r="D65" i="19"/>
  <c r="E65" i="19" s="1"/>
  <c r="D66" i="19"/>
  <c r="E66" i="19" s="1"/>
  <c r="D67" i="19"/>
  <c r="E67" i="19" s="1"/>
  <c r="D68" i="19"/>
  <c r="E68" i="19" s="1"/>
  <c r="D69" i="19"/>
  <c r="E69" i="19" s="1"/>
  <c r="D70" i="19"/>
  <c r="E70" i="19" s="1"/>
  <c r="D71" i="19"/>
  <c r="D72" i="19"/>
  <c r="D73" i="19"/>
  <c r="E73" i="19" s="1"/>
  <c r="D74" i="19"/>
  <c r="E74" i="19" s="1"/>
  <c r="D75" i="19"/>
  <c r="E75" i="19" s="1"/>
  <c r="D76" i="19"/>
  <c r="E76" i="19" s="1"/>
  <c r="D77" i="19"/>
  <c r="E77" i="19" s="1"/>
  <c r="D78" i="19"/>
  <c r="E78" i="19" s="1"/>
  <c r="D79" i="19"/>
  <c r="D80" i="19"/>
  <c r="D81" i="19"/>
  <c r="E81" i="19" s="1"/>
  <c r="D82" i="19"/>
  <c r="E82" i="19" s="1"/>
  <c r="D83" i="19"/>
  <c r="E83" i="19" s="1"/>
  <c r="D84" i="19"/>
  <c r="E84" i="19" s="1"/>
  <c r="D85" i="19"/>
  <c r="E85" i="19" s="1"/>
  <c r="D86" i="19"/>
  <c r="E86" i="19" s="1"/>
  <c r="D87" i="19"/>
  <c r="D88" i="19"/>
  <c r="D89" i="19"/>
  <c r="E89" i="19" s="1"/>
  <c r="D90" i="19"/>
  <c r="E90" i="19" s="1"/>
  <c r="D91" i="19"/>
  <c r="E91" i="19" s="1"/>
  <c r="D92" i="19"/>
  <c r="E92" i="19" s="1"/>
  <c r="D93" i="19"/>
  <c r="E93" i="19" s="1"/>
  <c r="D94" i="19"/>
  <c r="E94" i="19" s="1"/>
  <c r="D95" i="19"/>
  <c r="D96" i="19"/>
  <c r="D97" i="19"/>
  <c r="E97" i="19" s="1"/>
  <c r="D98" i="19"/>
  <c r="E98" i="19" s="1"/>
  <c r="D99" i="19"/>
  <c r="E99" i="19" s="1"/>
  <c r="D100" i="19"/>
  <c r="E100" i="19" s="1"/>
  <c r="D2" i="19"/>
  <c r="E2" i="19" s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5" i="1"/>
  <c r="C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C4" i="24"/>
  <c r="C3" i="24"/>
  <c r="D6" i="10"/>
  <c r="D5" i="10"/>
  <c r="C1000" i="23"/>
  <c r="C999" i="23"/>
  <c r="C998" i="23"/>
  <c r="C997" i="23"/>
  <c r="C996" i="23"/>
  <c r="C995" i="23"/>
  <c r="C994" i="23"/>
  <c r="C993" i="23"/>
  <c r="C992" i="23"/>
  <c r="C991" i="23"/>
  <c r="C990" i="23"/>
  <c r="C989" i="23"/>
  <c r="C988" i="23"/>
  <c r="C987" i="23"/>
  <c r="C986" i="23"/>
  <c r="C985" i="23"/>
  <c r="C984" i="23"/>
  <c r="C983" i="23"/>
  <c r="C982" i="23"/>
  <c r="C981" i="23"/>
  <c r="C980" i="23"/>
  <c r="C979" i="23"/>
  <c r="C978" i="23"/>
  <c r="C977" i="23"/>
  <c r="C976" i="23"/>
  <c r="C975" i="23"/>
  <c r="C974" i="23"/>
  <c r="C973" i="23"/>
  <c r="C972" i="23"/>
  <c r="C971" i="23"/>
  <c r="C970" i="23"/>
  <c r="C969" i="23"/>
  <c r="C968" i="23"/>
  <c r="C967" i="23"/>
  <c r="C966" i="23"/>
  <c r="C965" i="23"/>
  <c r="C964" i="23"/>
  <c r="C963" i="23"/>
  <c r="C962" i="23"/>
  <c r="C961" i="23"/>
  <c r="C960" i="23"/>
  <c r="C959" i="23"/>
  <c r="C958" i="23"/>
  <c r="C957" i="23"/>
  <c r="C956" i="23"/>
  <c r="C955" i="23"/>
  <c r="C954" i="23"/>
  <c r="C953" i="23"/>
  <c r="C952" i="23"/>
  <c r="C951" i="23"/>
  <c r="C950" i="23"/>
  <c r="C949" i="23"/>
  <c r="C948" i="23"/>
  <c r="C947" i="23"/>
  <c r="C946" i="23"/>
  <c r="C945" i="23"/>
  <c r="C944" i="23"/>
  <c r="C943" i="23"/>
  <c r="C942" i="23"/>
  <c r="C941" i="23"/>
  <c r="C940" i="23"/>
  <c r="C939" i="23"/>
  <c r="C938" i="23"/>
  <c r="C937" i="23"/>
  <c r="C936" i="23"/>
  <c r="C935" i="23"/>
  <c r="C934" i="23"/>
  <c r="C933" i="23"/>
  <c r="C932" i="23"/>
  <c r="C931" i="23"/>
  <c r="C930" i="23"/>
  <c r="C929" i="23"/>
  <c r="C928" i="23"/>
  <c r="C927" i="23"/>
  <c r="C926" i="23"/>
  <c r="C925" i="23"/>
  <c r="C924" i="23"/>
  <c r="C923" i="23"/>
  <c r="C922" i="23"/>
  <c r="C921" i="23"/>
  <c r="C920" i="23"/>
  <c r="C919" i="23"/>
  <c r="C918" i="23"/>
  <c r="C917" i="23"/>
  <c r="C916" i="23"/>
  <c r="C915" i="23"/>
  <c r="C914" i="23"/>
  <c r="C913" i="23"/>
  <c r="C912" i="23"/>
  <c r="C911" i="23"/>
  <c r="C910" i="23"/>
  <c r="C909" i="23"/>
  <c r="C908" i="23"/>
  <c r="C907" i="23"/>
  <c r="C906" i="23"/>
  <c r="C905" i="23"/>
  <c r="C904" i="23"/>
  <c r="C903" i="23"/>
  <c r="C902" i="23"/>
  <c r="C901" i="23"/>
  <c r="C900" i="23"/>
  <c r="C899" i="23"/>
  <c r="C898" i="23"/>
  <c r="C897" i="23"/>
  <c r="C896" i="23"/>
  <c r="C895" i="23"/>
  <c r="C894" i="23"/>
  <c r="C893" i="23"/>
  <c r="C892" i="23"/>
  <c r="C891" i="23"/>
  <c r="C890" i="23"/>
  <c r="C889" i="23"/>
  <c r="C888" i="23"/>
  <c r="C887" i="23"/>
  <c r="C886" i="23"/>
  <c r="C885" i="23"/>
  <c r="C884" i="23"/>
  <c r="C883" i="23"/>
  <c r="C882" i="23"/>
  <c r="C881" i="23"/>
  <c r="C880" i="23"/>
  <c r="C879" i="23"/>
  <c r="C878" i="23"/>
  <c r="C877" i="23"/>
  <c r="C876" i="23"/>
  <c r="C875" i="23"/>
  <c r="C874" i="23"/>
  <c r="C873" i="23"/>
  <c r="C872" i="23"/>
  <c r="C871" i="23"/>
  <c r="C870" i="23"/>
  <c r="C869" i="23"/>
  <c r="C868" i="23"/>
  <c r="C867" i="23"/>
  <c r="C866" i="23"/>
  <c r="C865" i="23"/>
  <c r="C864" i="23"/>
  <c r="C863" i="23"/>
  <c r="C862" i="23"/>
  <c r="C861" i="23"/>
  <c r="C860" i="23"/>
  <c r="C859" i="23"/>
  <c r="C858" i="23"/>
  <c r="C857" i="23"/>
  <c r="C856" i="23"/>
  <c r="C855" i="23"/>
  <c r="C854" i="23"/>
  <c r="C853" i="23"/>
  <c r="C852" i="23"/>
  <c r="C851" i="23"/>
  <c r="C850" i="23"/>
  <c r="C849" i="23"/>
  <c r="C848" i="23"/>
  <c r="C847" i="23"/>
  <c r="C846" i="23"/>
  <c r="C845" i="23"/>
  <c r="C844" i="23"/>
  <c r="C843" i="23"/>
  <c r="C842" i="23"/>
  <c r="C841" i="23"/>
  <c r="C840" i="23"/>
  <c r="C839" i="23"/>
  <c r="C838" i="23"/>
  <c r="C837" i="23"/>
  <c r="C836" i="23"/>
  <c r="C835" i="23"/>
  <c r="C834" i="23"/>
  <c r="C833" i="23"/>
  <c r="C832" i="23"/>
  <c r="C831" i="23"/>
  <c r="C830" i="23"/>
  <c r="C829" i="23"/>
  <c r="C828" i="23"/>
  <c r="C827" i="23"/>
  <c r="C826" i="23"/>
  <c r="C825" i="23"/>
  <c r="C824" i="23"/>
  <c r="C823" i="23"/>
  <c r="C822" i="23"/>
  <c r="C821" i="23"/>
  <c r="C820" i="23"/>
  <c r="C819" i="23"/>
  <c r="C818" i="23"/>
  <c r="C817" i="23"/>
  <c r="C816" i="23"/>
  <c r="C815" i="23"/>
  <c r="C814" i="23"/>
  <c r="C813" i="23"/>
  <c r="C812" i="23"/>
  <c r="C811" i="23"/>
  <c r="C810" i="23"/>
  <c r="C809" i="23"/>
  <c r="C808" i="23"/>
  <c r="C807" i="23"/>
  <c r="C806" i="23"/>
  <c r="C805" i="23"/>
  <c r="C804" i="23"/>
  <c r="C803" i="23"/>
  <c r="C802" i="23"/>
  <c r="C801" i="23"/>
  <c r="C800" i="23"/>
  <c r="C799" i="23"/>
  <c r="C798" i="23"/>
  <c r="C797" i="23"/>
  <c r="C796" i="23"/>
  <c r="C795" i="23"/>
  <c r="C794" i="23"/>
  <c r="C793" i="23"/>
  <c r="C792" i="23"/>
  <c r="C791" i="23"/>
  <c r="C790" i="23"/>
  <c r="C789" i="23"/>
  <c r="C788" i="23"/>
  <c r="C787" i="23"/>
  <c r="C786" i="23"/>
  <c r="C785" i="23"/>
  <c r="C784" i="23"/>
  <c r="C783" i="23"/>
  <c r="C782" i="23"/>
  <c r="C781" i="23"/>
  <c r="C780" i="23"/>
  <c r="C779" i="23"/>
  <c r="C778" i="23"/>
  <c r="C777" i="23"/>
  <c r="C776" i="23"/>
  <c r="C775" i="23"/>
  <c r="C774" i="23"/>
  <c r="C773" i="23"/>
  <c r="C772" i="23"/>
  <c r="C771" i="23"/>
  <c r="C770" i="23"/>
  <c r="C769" i="23"/>
  <c r="C768" i="23"/>
  <c r="C767" i="23"/>
  <c r="C766" i="23"/>
  <c r="C765" i="23"/>
  <c r="C764" i="23"/>
  <c r="C763" i="23"/>
  <c r="C762" i="23"/>
  <c r="C761" i="23"/>
  <c r="C760" i="23"/>
  <c r="C759" i="23"/>
  <c r="C758" i="23"/>
  <c r="C757" i="23"/>
  <c r="C756" i="23"/>
  <c r="C755" i="23"/>
  <c r="C754" i="23"/>
  <c r="C753" i="23"/>
  <c r="C752" i="23"/>
  <c r="C751" i="23"/>
  <c r="C750" i="23"/>
  <c r="C749" i="23"/>
  <c r="C748" i="23"/>
  <c r="C747" i="23"/>
  <c r="C746" i="23"/>
  <c r="C745" i="23"/>
  <c r="C744" i="23"/>
  <c r="C743" i="23"/>
  <c r="C742" i="23"/>
  <c r="C741" i="23"/>
  <c r="C740" i="23"/>
  <c r="C739" i="23"/>
  <c r="C738" i="23"/>
  <c r="C737" i="23"/>
  <c r="C736" i="23"/>
  <c r="C735" i="23"/>
  <c r="C734" i="23"/>
  <c r="C733" i="23"/>
  <c r="C732" i="23"/>
  <c r="C731" i="23"/>
  <c r="C730" i="23"/>
  <c r="C729" i="23"/>
  <c r="C728" i="23"/>
  <c r="C727" i="23"/>
  <c r="C726" i="23"/>
  <c r="C725" i="23"/>
  <c r="C724" i="23"/>
  <c r="C723" i="23"/>
  <c r="C722" i="23"/>
  <c r="C721" i="23"/>
  <c r="C720" i="23"/>
  <c r="C719" i="23"/>
  <c r="C718" i="23"/>
  <c r="C717" i="23"/>
  <c r="C716" i="23"/>
  <c r="C715" i="23"/>
  <c r="C714" i="23"/>
  <c r="C713" i="23"/>
  <c r="C712" i="23"/>
  <c r="C711" i="23"/>
  <c r="C710" i="23"/>
  <c r="C709" i="23"/>
  <c r="C708" i="23"/>
  <c r="C707" i="23"/>
  <c r="C706" i="23"/>
  <c r="C705" i="23"/>
  <c r="C704" i="23"/>
  <c r="C703" i="23"/>
  <c r="C702" i="23"/>
  <c r="C701" i="23"/>
  <c r="C700" i="23"/>
  <c r="C699" i="23"/>
  <c r="C698" i="23"/>
  <c r="C697" i="23"/>
  <c r="C696" i="23"/>
  <c r="C695" i="23"/>
  <c r="C694" i="23"/>
  <c r="C693" i="23"/>
  <c r="C692" i="23"/>
  <c r="C691" i="23"/>
  <c r="C690" i="23"/>
  <c r="C689" i="23"/>
  <c r="C688" i="23"/>
  <c r="C687" i="23"/>
  <c r="C686" i="23"/>
  <c r="C685" i="23"/>
  <c r="C684" i="23"/>
  <c r="C683" i="23"/>
  <c r="C682" i="23"/>
  <c r="C681" i="23"/>
  <c r="C680" i="23"/>
  <c r="C679" i="23"/>
  <c r="C678" i="23"/>
  <c r="C677" i="23"/>
  <c r="C676" i="23"/>
  <c r="C675" i="23"/>
  <c r="C674" i="23"/>
  <c r="C673" i="23"/>
  <c r="C672" i="23"/>
  <c r="C671" i="23"/>
  <c r="C670" i="23"/>
  <c r="C669" i="23"/>
  <c r="C668" i="23"/>
  <c r="C667" i="23"/>
  <c r="C666" i="23"/>
  <c r="C665" i="23"/>
  <c r="C664" i="23"/>
  <c r="C663" i="23"/>
  <c r="C662" i="23"/>
  <c r="C661" i="23"/>
  <c r="C660" i="23"/>
  <c r="C659" i="23"/>
  <c r="C658" i="23"/>
  <c r="C657" i="23"/>
  <c r="C656" i="23"/>
  <c r="C655" i="23"/>
  <c r="C654" i="23"/>
  <c r="C653" i="23"/>
  <c r="C652" i="23"/>
  <c r="C651" i="23"/>
  <c r="C650" i="23"/>
  <c r="C649" i="23"/>
  <c r="C648" i="23"/>
  <c r="C647" i="23"/>
  <c r="C646" i="23"/>
  <c r="C645" i="23"/>
  <c r="C644" i="23"/>
  <c r="C643" i="23"/>
  <c r="C642" i="23"/>
  <c r="C641" i="23"/>
  <c r="C640" i="23"/>
  <c r="C639" i="23"/>
  <c r="C638" i="23"/>
  <c r="C637" i="23"/>
  <c r="C636" i="23"/>
  <c r="C635" i="23"/>
  <c r="C634" i="23"/>
  <c r="C633" i="23"/>
  <c r="C632" i="23"/>
  <c r="C631" i="23"/>
  <c r="C630" i="23"/>
  <c r="C629" i="23"/>
  <c r="C628" i="23"/>
  <c r="C627" i="23"/>
  <c r="C626" i="23"/>
  <c r="C625" i="23"/>
  <c r="C624" i="23"/>
  <c r="C623" i="23"/>
  <c r="C622" i="23"/>
  <c r="C621" i="23"/>
  <c r="C620" i="23"/>
  <c r="C619" i="23"/>
  <c r="C618" i="23"/>
  <c r="C617" i="23"/>
  <c r="C616" i="23"/>
  <c r="C615" i="23"/>
  <c r="C614" i="23"/>
  <c r="C613" i="23"/>
  <c r="C612" i="23"/>
  <c r="C611" i="23"/>
  <c r="C610" i="23"/>
  <c r="C609" i="23"/>
  <c r="C608" i="23"/>
  <c r="C607" i="23"/>
  <c r="C606" i="23"/>
  <c r="C605" i="23"/>
  <c r="C604" i="23"/>
  <c r="C603" i="23"/>
  <c r="C602" i="23"/>
  <c r="C601" i="23"/>
  <c r="C600" i="23"/>
  <c r="C599" i="23"/>
  <c r="C598" i="23"/>
  <c r="C597" i="23"/>
  <c r="C596" i="23"/>
  <c r="C595" i="23"/>
  <c r="C594" i="23"/>
  <c r="C593" i="23"/>
  <c r="C592" i="23"/>
  <c r="C591" i="23"/>
  <c r="C590" i="23"/>
  <c r="C589" i="23"/>
  <c r="C588" i="23"/>
  <c r="C587" i="23"/>
  <c r="C586" i="23"/>
  <c r="C585" i="23"/>
  <c r="C584" i="23"/>
  <c r="C583" i="23"/>
  <c r="C582" i="23"/>
  <c r="C581" i="23"/>
  <c r="C580" i="23"/>
  <c r="C579" i="23"/>
  <c r="C578" i="23"/>
  <c r="C577" i="23"/>
  <c r="C576" i="23"/>
  <c r="C575" i="23"/>
  <c r="C574" i="23"/>
  <c r="C573" i="23"/>
  <c r="C572" i="23"/>
  <c r="C571" i="23"/>
  <c r="C570" i="23"/>
  <c r="C569" i="23"/>
  <c r="C568" i="23"/>
  <c r="C567" i="23"/>
  <c r="C566" i="23"/>
  <c r="C565" i="23"/>
  <c r="C564" i="23"/>
  <c r="C563" i="23"/>
  <c r="C562" i="23"/>
  <c r="C561" i="23"/>
  <c r="C560" i="23"/>
  <c r="C559" i="23"/>
  <c r="C558" i="23"/>
  <c r="C557" i="23"/>
  <c r="C556" i="23"/>
  <c r="C555" i="23"/>
  <c r="C554" i="23"/>
  <c r="C553" i="23"/>
  <c r="C552" i="23"/>
  <c r="C551" i="23"/>
  <c r="C550" i="23"/>
  <c r="C549" i="23"/>
  <c r="C548" i="23"/>
  <c r="C547" i="23"/>
  <c r="C546" i="23"/>
  <c r="C545" i="23"/>
  <c r="C544" i="23"/>
  <c r="C543" i="23"/>
  <c r="C542" i="23"/>
  <c r="C541" i="23"/>
  <c r="C540" i="23"/>
  <c r="C539" i="23"/>
  <c r="C538" i="23"/>
  <c r="C537" i="23"/>
  <c r="C536" i="23"/>
  <c r="C535" i="23"/>
  <c r="C534" i="23"/>
  <c r="C533" i="23"/>
  <c r="C532" i="23"/>
  <c r="C531" i="23"/>
  <c r="C530" i="23"/>
  <c r="C529" i="23"/>
  <c r="C528" i="23"/>
  <c r="C527" i="23"/>
  <c r="C526" i="23"/>
  <c r="C525" i="23"/>
  <c r="C524" i="23"/>
  <c r="C523" i="23"/>
  <c r="C522" i="23"/>
  <c r="C521" i="23"/>
  <c r="C520" i="23"/>
  <c r="C519" i="23"/>
  <c r="C518" i="23"/>
  <c r="C517" i="23"/>
  <c r="C516" i="23"/>
  <c r="C515" i="23"/>
  <c r="C514" i="23"/>
  <c r="C513" i="23"/>
  <c r="C512" i="23"/>
  <c r="C511" i="23"/>
  <c r="C510" i="23"/>
  <c r="C509" i="23"/>
  <c r="C508" i="23"/>
  <c r="C507" i="23"/>
  <c r="C506" i="23"/>
  <c r="C505" i="23"/>
  <c r="C504" i="23"/>
  <c r="C503" i="23"/>
  <c r="C502" i="23"/>
  <c r="C501" i="23"/>
  <c r="C500" i="23"/>
  <c r="C499" i="23"/>
  <c r="C498" i="23"/>
  <c r="C497" i="23"/>
  <c r="C496" i="23"/>
  <c r="C495" i="23"/>
  <c r="C494" i="23"/>
  <c r="C493" i="23"/>
  <c r="C492" i="23"/>
  <c r="C491" i="23"/>
  <c r="C490" i="23"/>
  <c r="C489" i="23"/>
  <c r="C488" i="23"/>
  <c r="C487" i="23"/>
  <c r="C486" i="23"/>
  <c r="C485" i="23"/>
  <c r="C484" i="23"/>
  <c r="C483" i="23"/>
  <c r="C482" i="23"/>
  <c r="C481" i="23"/>
  <c r="C480" i="23"/>
  <c r="C479" i="23"/>
  <c r="C478" i="23"/>
  <c r="C477" i="23"/>
  <c r="C476" i="23"/>
  <c r="C475" i="23"/>
  <c r="C474" i="23"/>
  <c r="C473" i="23"/>
  <c r="C472" i="23"/>
  <c r="C471" i="23"/>
  <c r="C470" i="23"/>
  <c r="C469" i="23"/>
  <c r="C468" i="23"/>
  <c r="C467" i="23"/>
  <c r="C466" i="23"/>
  <c r="C465" i="23"/>
  <c r="C464" i="23"/>
  <c r="C463" i="23"/>
  <c r="C462" i="23"/>
  <c r="C461" i="23"/>
  <c r="C460" i="23"/>
  <c r="C459" i="23"/>
  <c r="C458" i="23"/>
  <c r="C457" i="23"/>
  <c r="C456" i="23"/>
  <c r="C455" i="23"/>
  <c r="C454" i="23"/>
  <c r="C453" i="23"/>
  <c r="C452" i="23"/>
  <c r="C451" i="23"/>
  <c r="C450" i="23"/>
  <c r="C449" i="23"/>
  <c r="C448" i="23"/>
  <c r="C447" i="23"/>
  <c r="C446" i="23"/>
  <c r="C445" i="23"/>
  <c r="C444" i="23"/>
  <c r="C443" i="23"/>
  <c r="C442" i="23"/>
  <c r="C441" i="23"/>
  <c r="C440" i="23"/>
  <c r="C439" i="23"/>
  <c r="C438" i="23"/>
  <c r="C437" i="23"/>
  <c r="C436" i="23"/>
  <c r="C435" i="23"/>
  <c r="C434" i="23"/>
  <c r="C433" i="23"/>
  <c r="C432" i="23"/>
  <c r="C431" i="23"/>
  <c r="C430" i="23"/>
  <c r="C429" i="23"/>
  <c r="C428" i="23"/>
  <c r="C427" i="23"/>
  <c r="C426" i="23"/>
  <c r="C425" i="23"/>
  <c r="C424" i="23"/>
  <c r="C423" i="23"/>
  <c r="C422" i="23"/>
  <c r="C421" i="23"/>
  <c r="C420" i="23"/>
  <c r="C419" i="23"/>
  <c r="C418" i="23"/>
  <c r="C417" i="23"/>
  <c r="C416" i="23"/>
  <c r="C415" i="23"/>
  <c r="C414" i="23"/>
  <c r="C413" i="23"/>
  <c r="C412" i="23"/>
  <c r="C411" i="23"/>
  <c r="C410" i="23"/>
  <c r="C409" i="23"/>
  <c r="C408" i="23"/>
  <c r="C407" i="23"/>
  <c r="C406" i="23"/>
  <c r="C405" i="23"/>
  <c r="C404" i="23"/>
  <c r="C403" i="23"/>
  <c r="C402" i="23"/>
  <c r="C401" i="23"/>
  <c r="C400" i="23"/>
  <c r="C399" i="23"/>
  <c r="C398" i="23"/>
  <c r="C397" i="23"/>
  <c r="C396" i="23"/>
  <c r="C395" i="23"/>
  <c r="C394" i="23"/>
  <c r="C393" i="23"/>
  <c r="C392" i="23"/>
  <c r="C391" i="23"/>
  <c r="C390" i="23"/>
  <c r="C389" i="23"/>
  <c r="C388" i="23"/>
  <c r="C387" i="23"/>
  <c r="C386" i="23"/>
  <c r="C385" i="23"/>
  <c r="C384" i="23"/>
  <c r="C383" i="23"/>
  <c r="C382" i="23"/>
  <c r="C381" i="23"/>
  <c r="C380" i="23"/>
  <c r="C379" i="23"/>
  <c r="C378" i="23"/>
  <c r="C377" i="23"/>
  <c r="C376" i="23"/>
  <c r="C375" i="23"/>
  <c r="C374" i="23"/>
  <c r="C373" i="23"/>
  <c r="C372" i="23"/>
  <c r="C371" i="23"/>
  <c r="C370" i="23"/>
  <c r="C369" i="23"/>
  <c r="C368" i="23"/>
  <c r="C367" i="23"/>
  <c r="C366" i="23"/>
  <c r="C365" i="23"/>
  <c r="C364" i="23"/>
  <c r="C363" i="23"/>
  <c r="C362" i="23"/>
  <c r="C361" i="23"/>
  <c r="C360" i="23"/>
  <c r="C359" i="23"/>
  <c r="C358" i="23"/>
  <c r="C357" i="23"/>
  <c r="C356" i="23"/>
  <c r="C355" i="23"/>
  <c r="C354" i="23"/>
  <c r="C353" i="23"/>
  <c r="C352" i="23"/>
  <c r="C351" i="23"/>
  <c r="C350" i="23"/>
  <c r="C349" i="23"/>
  <c r="C348" i="23"/>
  <c r="C347" i="23"/>
  <c r="C346" i="23"/>
  <c r="C345" i="23"/>
  <c r="C344" i="23"/>
  <c r="C343" i="23"/>
  <c r="C342" i="23"/>
  <c r="C341" i="23"/>
  <c r="C340" i="23"/>
  <c r="C339" i="23"/>
  <c r="C338" i="23"/>
  <c r="C337" i="23"/>
  <c r="C336" i="23"/>
  <c r="C335" i="23"/>
  <c r="C334" i="23"/>
  <c r="C333" i="23"/>
  <c r="C332" i="23"/>
  <c r="C331" i="23"/>
  <c r="C330" i="23"/>
  <c r="C329" i="23"/>
  <c r="C328" i="23"/>
  <c r="C327" i="23"/>
  <c r="C326" i="23"/>
  <c r="C325" i="23"/>
  <c r="C324" i="23"/>
  <c r="C323" i="23"/>
  <c r="C322" i="23"/>
  <c r="C321" i="23"/>
  <c r="C320" i="23"/>
  <c r="C319" i="23"/>
  <c r="C318" i="23"/>
  <c r="C317" i="23"/>
  <c r="C316" i="23"/>
  <c r="C315" i="23"/>
  <c r="C314" i="23"/>
  <c r="C313" i="23"/>
  <c r="C312" i="23"/>
  <c r="C311" i="23"/>
  <c r="C310" i="23"/>
  <c r="C309" i="23"/>
  <c r="C308" i="23"/>
  <c r="C307" i="23"/>
  <c r="C306" i="23"/>
  <c r="C305" i="23"/>
  <c r="C304" i="23"/>
  <c r="C303" i="23"/>
  <c r="C302" i="23"/>
  <c r="C301" i="23"/>
  <c r="C300" i="23"/>
  <c r="C299" i="23"/>
  <c r="C298" i="23"/>
  <c r="C297" i="23"/>
  <c r="C296" i="23"/>
  <c r="C295" i="23"/>
  <c r="C294" i="23"/>
  <c r="C293" i="23"/>
  <c r="C292" i="23"/>
  <c r="C291" i="23"/>
  <c r="C290" i="23"/>
  <c r="C289" i="23"/>
  <c r="C288" i="23"/>
  <c r="C287" i="23"/>
  <c r="C286" i="23"/>
  <c r="C285" i="23"/>
  <c r="C284" i="23"/>
  <c r="C283" i="23"/>
  <c r="C282" i="23"/>
  <c r="C281" i="23"/>
  <c r="C280" i="23"/>
  <c r="C279" i="23"/>
  <c r="C278" i="23"/>
  <c r="C277" i="23"/>
  <c r="C276" i="23"/>
  <c r="C275" i="23"/>
  <c r="C274" i="23"/>
  <c r="C273" i="23"/>
  <c r="C272" i="23"/>
  <c r="C271" i="23"/>
  <c r="C270" i="23"/>
  <c r="C269" i="23"/>
  <c r="C268" i="23"/>
  <c r="C267" i="23"/>
  <c r="C266" i="23"/>
  <c r="C265" i="23"/>
  <c r="C264" i="23"/>
  <c r="C263" i="23"/>
  <c r="C262" i="23"/>
  <c r="C261" i="23"/>
  <c r="C260" i="23"/>
  <c r="C259" i="23"/>
  <c r="C258" i="23"/>
  <c r="C257" i="23"/>
  <c r="C256" i="23"/>
  <c r="C255" i="23"/>
  <c r="C254" i="23"/>
  <c r="C253" i="23"/>
  <c r="C252" i="23"/>
  <c r="C251" i="23"/>
  <c r="C250" i="23"/>
  <c r="C249" i="23"/>
  <c r="C248" i="23"/>
  <c r="C247" i="23"/>
  <c r="C246" i="23"/>
  <c r="C245" i="23"/>
  <c r="C244" i="23"/>
  <c r="C243" i="23"/>
  <c r="C242" i="23"/>
  <c r="C241" i="23"/>
  <c r="C240" i="23"/>
  <c r="C239" i="23"/>
  <c r="C238" i="23"/>
  <c r="C237" i="23"/>
  <c r="C236" i="23"/>
  <c r="C235" i="23"/>
  <c r="C234" i="23"/>
  <c r="C233" i="23"/>
  <c r="C232" i="23"/>
  <c r="C231" i="23"/>
  <c r="C230" i="23"/>
  <c r="C229" i="23"/>
  <c r="C228" i="23"/>
  <c r="C227" i="23"/>
  <c r="C226" i="23"/>
  <c r="C225" i="23"/>
  <c r="C224" i="23"/>
  <c r="C223" i="23"/>
  <c r="C222" i="23"/>
  <c r="C221" i="23"/>
  <c r="C220" i="23"/>
  <c r="C219" i="23"/>
  <c r="C218" i="23"/>
  <c r="C217" i="23"/>
  <c r="C216" i="23"/>
  <c r="C215" i="23"/>
  <c r="C214" i="23"/>
  <c r="C213" i="23"/>
  <c r="C212" i="23"/>
  <c r="C211" i="23"/>
  <c r="C210" i="23"/>
  <c r="C209" i="23"/>
  <c r="C208" i="23"/>
  <c r="C207" i="23"/>
  <c r="C206" i="23"/>
  <c r="C205" i="23"/>
  <c r="C204" i="23"/>
  <c r="C203" i="23"/>
  <c r="C202" i="23"/>
  <c r="C201" i="23"/>
  <c r="C200" i="23"/>
  <c r="C199" i="23"/>
  <c r="C198" i="23"/>
  <c r="C197" i="23"/>
  <c r="C196" i="23"/>
  <c r="C195" i="23"/>
  <c r="C194" i="23"/>
  <c r="C193" i="23"/>
  <c r="C192" i="23"/>
  <c r="C191" i="23"/>
  <c r="C190" i="23"/>
  <c r="C189" i="23"/>
  <c r="C188" i="23"/>
  <c r="C187" i="23"/>
  <c r="C186" i="23"/>
  <c r="C185" i="23"/>
  <c r="C184" i="23"/>
  <c r="C183" i="23"/>
  <c r="C182" i="23"/>
  <c r="C181" i="23"/>
  <c r="C180" i="23"/>
  <c r="C179" i="23"/>
  <c r="C178" i="23"/>
  <c r="C177" i="23"/>
  <c r="C176" i="23"/>
  <c r="C175" i="23"/>
  <c r="C174" i="23"/>
  <c r="C173" i="23"/>
  <c r="C172" i="23"/>
  <c r="C171" i="23"/>
  <c r="C170" i="23"/>
  <c r="C169" i="23"/>
  <c r="C168" i="23"/>
  <c r="C167" i="23"/>
  <c r="C166" i="23"/>
  <c r="C165" i="23"/>
  <c r="C164" i="23"/>
  <c r="C163" i="23"/>
  <c r="C162" i="23"/>
  <c r="C161" i="23"/>
  <c r="C160" i="23"/>
  <c r="C159" i="23"/>
  <c r="C158" i="23"/>
  <c r="C157" i="23"/>
  <c r="C156" i="23"/>
  <c r="C155" i="23"/>
  <c r="C154" i="23"/>
  <c r="C153" i="23"/>
  <c r="C152" i="23"/>
  <c r="C151" i="23"/>
  <c r="C150" i="23"/>
  <c r="C149" i="23"/>
  <c r="C148" i="23"/>
  <c r="C147" i="23"/>
  <c r="C146" i="23"/>
  <c r="C145" i="23"/>
  <c r="C144" i="23"/>
  <c r="C143" i="23"/>
  <c r="C142" i="23"/>
  <c r="C141" i="23"/>
  <c r="C140" i="23"/>
  <c r="C139" i="23"/>
  <c r="C138" i="23"/>
  <c r="C137" i="23"/>
  <c r="C136" i="23"/>
  <c r="C135" i="23"/>
  <c r="C134" i="23"/>
  <c r="C133" i="23"/>
  <c r="C132" i="23"/>
  <c r="C131" i="23"/>
  <c r="C130" i="23"/>
  <c r="C129" i="23"/>
  <c r="C128" i="23"/>
  <c r="C127" i="23"/>
  <c r="C126" i="23"/>
  <c r="C125" i="23"/>
  <c r="C124" i="23"/>
  <c r="C123" i="23"/>
  <c r="C122" i="23"/>
  <c r="C121" i="23"/>
  <c r="C120" i="23"/>
  <c r="C119" i="23"/>
  <c r="C118" i="23"/>
  <c r="C117" i="23"/>
  <c r="C116" i="23"/>
  <c r="C115" i="23"/>
  <c r="C114" i="23"/>
  <c r="C113" i="23"/>
  <c r="C112" i="23"/>
  <c r="C111" i="23"/>
  <c r="C110" i="23"/>
  <c r="C109" i="23"/>
  <c r="C108" i="23"/>
  <c r="C107" i="23"/>
  <c r="C106" i="23"/>
  <c r="C105" i="23"/>
  <c r="C104" i="23"/>
  <c r="C103" i="23"/>
  <c r="C102" i="23"/>
  <c r="C101" i="23"/>
  <c r="C100" i="23"/>
  <c r="C99" i="23"/>
  <c r="C98" i="23"/>
  <c r="C97" i="23"/>
  <c r="C96" i="23"/>
  <c r="C95" i="23"/>
  <c r="C94" i="23"/>
  <c r="C93" i="23"/>
  <c r="C92" i="23"/>
  <c r="C91" i="23"/>
  <c r="C90" i="23"/>
  <c r="C89" i="23"/>
  <c r="C88" i="23"/>
  <c r="C87" i="23"/>
  <c r="C86" i="23"/>
  <c r="C85" i="23"/>
  <c r="C84" i="23"/>
  <c r="C83" i="23"/>
  <c r="C82" i="23"/>
  <c r="C81" i="23"/>
  <c r="C80" i="23"/>
  <c r="C79" i="23"/>
  <c r="C78" i="23"/>
  <c r="C77" i="23"/>
  <c r="C76" i="23"/>
  <c r="C75" i="23"/>
  <c r="C74" i="23"/>
  <c r="C73" i="23"/>
  <c r="C72" i="23"/>
  <c r="C71" i="23"/>
  <c r="C70" i="23"/>
  <c r="C69" i="23"/>
  <c r="C68" i="23"/>
  <c r="C67" i="23"/>
  <c r="C66" i="23"/>
  <c r="C65" i="23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5" i="23"/>
  <c r="C4" i="23"/>
  <c r="C3" i="23"/>
  <c r="C3" i="22"/>
  <c r="C4" i="22"/>
  <c r="C5" i="22"/>
  <c r="C6" i="22"/>
  <c r="C7" i="22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151" i="22"/>
  <c r="C152" i="22"/>
  <c r="C153" i="22"/>
  <c r="C154" i="22"/>
  <c r="C155" i="22"/>
  <c r="C156" i="22"/>
  <c r="C157" i="22"/>
  <c r="C158" i="22"/>
  <c r="C159" i="22"/>
  <c r="C160" i="22"/>
  <c r="C161" i="22"/>
  <c r="C162" i="22"/>
  <c r="C163" i="22"/>
  <c r="C164" i="22"/>
  <c r="C165" i="22"/>
  <c r="C166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C179" i="22"/>
  <c r="C180" i="22"/>
  <c r="C181" i="22"/>
  <c r="C182" i="22"/>
  <c r="C183" i="22"/>
  <c r="C184" i="22"/>
  <c r="C185" i="22"/>
  <c r="C186" i="22"/>
  <c r="C187" i="22"/>
  <c r="C188" i="22"/>
  <c r="C189" i="22"/>
  <c r="C190" i="22"/>
  <c r="C191" i="22"/>
  <c r="C192" i="22"/>
  <c r="C193" i="22"/>
  <c r="C194" i="22"/>
  <c r="C195" i="22"/>
  <c r="C196" i="22"/>
  <c r="C197" i="22"/>
  <c r="C198" i="22"/>
  <c r="C199" i="22"/>
  <c r="C200" i="22"/>
  <c r="C201" i="22"/>
  <c r="C202" i="22"/>
  <c r="C203" i="22"/>
  <c r="C204" i="22"/>
  <c r="C205" i="22"/>
  <c r="C206" i="22"/>
  <c r="C207" i="22"/>
  <c r="C208" i="22"/>
  <c r="C209" i="22"/>
  <c r="C210" i="22"/>
  <c r="C211" i="22"/>
  <c r="C212" i="22"/>
  <c r="C213" i="22"/>
  <c r="C214" i="22"/>
  <c r="C215" i="22"/>
  <c r="C216" i="22"/>
  <c r="C217" i="22"/>
  <c r="C218" i="22"/>
  <c r="C219" i="22"/>
  <c r="C220" i="22"/>
  <c r="C221" i="22"/>
  <c r="C222" i="22"/>
  <c r="C223" i="22"/>
  <c r="C224" i="22"/>
  <c r="C225" i="22"/>
  <c r="C226" i="22"/>
  <c r="C227" i="22"/>
  <c r="C228" i="22"/>
  <c r="C229" i="22"/>
  <c r="C230" i="22"/>
  <c r="C231" i="22"/>
  <c r="C232" i="22"/>
  <c r="C233" i="22"/>
  <c r="C234" i="22"/>
  <c r="C235" i="22"/>
  <c r="C236" i="22"/>
  <c r="C237" i="22"/>
  <c r="C238" i="22"/>
  <c r="C239" i="22"/>
  <c r="C240" i="22"/>
  <c r="C241" i="22"/>
  <c r="C242" i="22"/>
  <c r="C243" i="22"/>
  <c r="C244" i="22"/>
  <c r="C245" i="22"/>
  <c r="C246" i="22"/>
  <c r="C247" i="22"/>
  <c r="C248" i="22"/>
  <c r="C249" i="22"/>
  <c r="C250" i="22"/>
  <c r="C251" i="22"/>
  <c r="C252" i="22"/>
  <c r="C253" i="22"/>
  <c r="C254" i="22"/>
  <c r="C255" i="22"/>
  <c r="C256" i="22"/>
  <c r="C257" i="22"/>
  <c r="C258" i="22"/>
  <c r="C259" i="22"/>
  <c r="C260" i="22"/>
  <c r="C261" i="22"/>
  <c r="C262" i="22"/>
  <c r="C263" i="22"/>
  <c r="C264" i="22"/>
  <c r="C265" i="22"/>
  <c r="C266" i="22"/>
  <c r="C267" i="22"/>
  <c r="C268" i="22"/>
  <c r="C269" i="22"/>
  <c r="C270" i="22"/>
  <c r="C271" i="22"/>
  <c r="C272" i="22"/>
  <c r="C273" i="22"/>
  <c r="C274" i="22"/>
  <c r="C275" i="22"/>
  <c r="C276" i="22"/>
  <c r="C277" i="22"/>
  <c r="C278" i="22"/>
  <c r="C279" i="22"/>
  <c r="C280" i="22"/>
  <c r="C281" i="22"/>
  <c r="C282" i="22"/>
  <c r="C283" i="22"/>
  <c r="C284" i="22"/>
  <c r="C285" i="22"/>
  <c r="C286" i="22"/>
  <c r="C287" i="22"/>
  <c r="C288" i="22"/>
  <c r="C289" i="22"/>
  <c r="C290" i="22"/>
  <c r="C291" i="22"/>
  <c r="C292" i="22"/>
  <c r="C293" i="22"/>
  <c r="C294" i="22"/>
  <c r="C295" i="22"/>
  <c r="C296" i="22"/>
  <c r="C297" i="22"/>
  <c r="C298" i="22"/>
  <c r="C299" i="22"/>
  <c r="C300" i="22"/>
  <c r="C301" i="22"/>
  <c r="C302" i="22"/>
  <c r="C303" i="22"/>
  <c r="C304" i="22"/>
  <c r="C305" i="22"/>
  <c r="C306" i="22"/>
  <c r="C307" i="22"/>
  <c r="C308" i="22"/>
  <c r="C309" i="22"/>
  <c r="C310" i="22"/>
  <c r="C311" i="22"/>
  <c r="C312" i="22"/>
  <c r="C313" i="22"/>
  <c r="C314" i="22"/>
  <c r="C315" i="22"/>
  <c r="C316" i="22"/>
  <c r="C317" i="22"/>
  <c r="C318" i="22"/>
  <c r="C319" i="22"/>
  <c r="C320" i="22"/>
  <c r="C321" i="22"/>
  <c r="C322" i="22"/>
  <c r="C323" i="22"/>
  <c r="C324" i="22"/>
  <c r="C325" i="22"/>
  <c r="C326" i="22"/>
  <c r="C327" i="22"/>
  <c r="C328" i="22"/>
  <c r="C329" i="22"/>
  <c r="C330" i="22"/>
  <c r="C331" i="22"/>
  <c r="C332" i="22"/>
  <c r="C333" i="22"/>
  <c r="C334" i="22"/>
  <c r="C335" i="22"/>
  <c r="C336" i="22"/>
  <c r="C337" i="22"/>
  <c r="C338" i="22"/>
  <c r="C339" i="22"/>
  <c r="C340" i="22"/>
  <c r="C341" i="22"/>
  <c r="C342" i="22"/>
  <c r="C343" i="22"/>
  <c r="C344" i="22"/>
  <c r="C345" i="22"/>
  <c r="C346" i="22"/>
  <c r="C347" i="22"/>
  <c r="C348" i="22"/>
  <c r="C349" i="22"/>
  <c r="C350" i="22"/>
  <c r="C351" i="22"/>
  <c r="C352" i="22"/>
  <c r="C353" i="22"/>
  <c r="C354" i="22"/>
  <c r="C355" i="22"/>
  <c r="C356" i="22"/>
  <c r="C357" i="22"/>
  <c r="C358" i="22"/>
  <c r="C359" i="22"/>
  <c r="C360" i="22"/>
  <c r="C361" i="22"/>
  <c r="C362" i="22"/>
  <c r="C363" i="22"/>
  <c r="C364" i="22"/>
  <c r="C365" i="22"/>
  <c r="C366" i="22"/>
  <c r="C367" i="22"/>
  <c r="C368" i="22"/>
  <c r="C369" i="22"/>
  <c r="C370" i="22"/>
  <c r="C371" i="22"/>
  <c r="C372" i="22"/>
  <c r="C373" i="22"/>
  <c r="C374" i="22"/>
  <c r="C375" i="22"/>
  <c r="C376" i="22"/>
  <c r="C377" i="22"/>
  <c r="C378" i="22"/>
  <c r="C379" i="22"/>
  <c r="C380" i="22"/>
  <c r="C381" i="22"/>
  <c r="C382" i="22"/>
  <c r="C383" i="22"/>
  <c r="C384" i="22"/>
  <c r="C385" i="22"/>
  <c r="C386" i="22"/>
  <c r="C387" i="22"/>
  <c r="C388" i="22"/>
  <c r="C389" i="22"/>
  <c r="C390" i="22"/>
  <c r="C391" i="22"/>
  <c r="C392" i="22"/>
  <c r="C393" i="22"/>
  <c r="C394" i="22"/>
  <c r="C395" i="22"/>
  <c r="C396" i="22"/>
  <c r="C397" i="22"/>
  <c r="C398" i="22"/>
  <c r="C399" i="22"/>
  <c r="C400" i="22"/>
  <c r="C401" i="22"/>
  <c r="C402" i="22"/>
  <c r="C403" i="22"/>
  <c r="C404" i="22"/>
  <c r="C405" i="22"/>
  <c r="C406" i="22"/>
  <c r="C407" i="22"/>
  <c r="C408" i="22"/>
  <c r="C409" i="22"/>
  <c r="C410" i="22"/>
  <c r="C411" i="22"/>
  <c r="C412" i="22"/>
  <c r="C413" i="22"/>
  <c r="C414" i="22"/>
  <c r="C415" i="22"/>
  <c r="C416" i="22"/>
  <c r="C417" i="22"/>
  <c r="C418" i="22"/>
  <c r="C419" i="22"/>
  <c r="C420" i="22"/>
  <c r="C421" i="22"/>
  <c r="C422" i="22"/>
  <c r="C423" i="22"/>
  <c r="C424" i="22"/>
  <c r="C425" i="22"/>
  <c r="C426" i="22"/>
  <c r="C427" i="22"/>
  <c r="C428" i="22"/>
  <c r="C429" i="22"/>
  <c r="C430" i="22"/>
  <c r="C431" i="22"/>
  <c r="C432" i="22"/>
  <c r="C433" i="22"/>
  <c r="C434" i="22"/>
  <c r="C435" i="22"/>
  <c r="C436" i="22"/>
  <c r="C437" i="22"/>
  <c r="C438" i="22"/>
  <c r="C439" i="22"/>
  <c r="C440" i="22"/>
  <c r="C441" i="22"/>
  <c r="C442" i="22"/>
  <c r="C443" i="22"/>
  <c r="C444" i="22"/>
  <c r="C445" i="22"/>
  <c r="C446" i="22"/>
  <c r="C447" i="22"/>
  <c r="C448" i="22"/>
  <c r="C449" i="22"/>
  <c r="C450" i="22"/>
  <c r="C451" i="22"/>
  <c r="C452" i="22"/>
  <c r="C453" i="22"/>
  <c r="C454" i="22"/>
  <c r="C455" i="22"/>
  <c r="C456" i="22"/>
  <c r="C457" i="22"/>
  <c r="C458" i="22"/>
  <c r="C459" i="22"/>
  <c r="C460" i="22"/>
  <c r="C461" i="22"/>
  <c r="C462" i="22"/>
  <c r="C463" i="22"/>
  <c r="C464" i="22"/>
  <c r="C465" i="22"/>
  <c r="C466" i="22"/>
  <c r="C467" i="22"/>
  <c r="C468" i="22"/>
  <c r="C469" i="22"/>
  <c r="C470" i="22"/>
  <c r="C471" i="22"/>
  <c r="C472" i="22"/>
  <c r="C473" i="22"/>
  <c r="C474" i="22"/>
  <c r="C475" i="22"/>
  <c r="C476" i="22"/>
  <c r="C477" i="22"/>
  <c r="C478" i="22"/>
  <c r="C479" i="22"/>
  <c r="C480" i="22"/>
  <c r="C481" i="22"/>
  <c r="C482" i="22"/>
  <c r="C483" i="22"/>
  <c r="C484" i="22"/>
  <c r="C485" i="22"/>
  <c r="C486" i="22"/>
  <c r="C487" i="22"/>
  <c r="C488" i="22"/>
  <c r="C489" i="22"/>
  <c r="C490" i="22"/>
  <c r="C491" i="22"/>
  <c r="C492" i="22"/>
  <c r="C493" i="22"/>
  <c r="C494" i="22"/>
  <c r="C495" i="22"/>
  <c r="C496" i="22"/>
  <c r="C497" i="22"/>
  <c r="C498" i="22"/>
  <c r="C499" i="22"/>
  <c r="C500" i="22"/>
  <c r="C501" i="22"/>
  <c r="C502" i="22"/>
  <c r="C503" i="22"/>
  <c r="C504" i="22"/>
  <c r="C505" i="22"/>
  <c r="C506" i="22"/>
  <c r="C507" i="22"/>
  <c r="C508" i="22"/>
  <c r="C509" i="22"/>
  <c r="C510" i="22"/>
  <c r="C511" i="22"/>
  <c r="C512" i="22"/>
  <c r="C513" i="22"/>
  <c r="C514" i="22"/>
  <c r="C515" i="22"/>
  <c r="C516" i="22"/>
  <c r="C517" i="22"/>
  <c r="C518" i="22"/>
  <c r="C519" i="22"/>
  <c r="C520" i="22"/>
  <c r="C521" i="22"/>
  <c r="C522" i="22"/>
  <c r="C523" i="22"/>
  <c r="C524" i="22"/>
  <c r="C525" i="22"/>
  <c r="C526" i="22"/>
  <c r="C527" i="22"/>
  <c r="C528" i="22"/>
  <c r="C529" i="22"/>
  <c r="C530" i="22"/>
  <c r="C531" i="22"/>
  <c r="C532" i="22"/>
  <c r="C533" i="22"/>
  <c r="C534" i="22"/>
  <c r="C535" i="22"/>
  <c r="C536" i="22"/>
  <c r="C537" i="22"/>
  <c r="C538" i="22"/>
  <c r="C539" i="22"/>
  <c r="C540" i="22"/>
  <c r="C541" i="22"/>
  <c r="C542" i="22"/>
  <c r="C543" i="22"/>
  <c r="C544" i="22"/>
  <c r="C545" i="22"/>
  <c r="C546" i="22"/>
  <c r="C547" i="22"/>
  <c r="C548" i="22"/>
  <c r="C549" i="22"/>
  <c r="C550" i="22"/>
  <c r="C551" i="22"/>
  <c r="C552" i="22"/>
  <c r="C553" i="22"/>
  <c r="C554" i="22"/>
  <c r="C555" i="22"/>
  <c r="C556" i="22"/>
  <c r="C557" i="22"/>
  <c r="C558" i="22"/>
  <c r="C559" i="22"/>
  <c r="C560" i="22"/>
  <c r="C561" i="22"/>
  <c r="C562" i="22"/>
  <c r="C563" i="22"/>
  <c r="C564" i="22"/>
  <c r="C565" i="22"/>
  <c r="C566" i="22"/>
  <c r="C567" i="22"/>
  <c r="C568" i="22"/>
  <c r="C569" i="22"/>
  <c r="C570" i="22"/>
  <c r="C571" i="22"/>
  <c r="C572" i="22"/>
  <c r="C573" i="22"/>
  <c r="C574" i="22"/>
  <c r="C575" i="22"/>
  <c r="C576" i="22"/>
  <c r="C577" i="22"/>
  <c r="C578" i="22"/>
  <c r="C579" i="22"/>
  <c r="C580" i="22"/>
  <c r="C581" i="22"/>
  <c r="C582" i="22"/>
  <c r="C583" i="22"/>
  <c r="C584" i="22"/>
  <c r="C585" i="22"/>
  <c r="C586" i="22"/>
  <c r="C587" i="22"/>
  <c r="C588" i="22"/>
  <c r="C589" i="22"/>
  <c r="C590" i="22"/>
  <c r="C591" i="22"/>
  <c r="C592" i="22"/>
  <c r="C593" i="22"/>
  <c r="C594" i="22"/>
  <c r="C595" i="22"/>
  <c r="C596" i="22"/>
  <c r="C597" i="22"/>
  <c r="C598" i="22"/>
  <c r="C599" i="22"/>
  <c r="C600" i="22"/>
  <c r="C601" i="22"/>
  <c r="C602" i="22"/>
  <c r="C603" i="22"/>
  <c r="C604" i="22"/>
  <c r="C605" i="22"/>
  <c r="C606" i="22"/>
  <c r="C607" i="22"/>
  <c r="C608" i="22"/>
  <c r="C609" i="22"/>
  <c r="C610" i="22"/>
  <c r="C611" i="22"/>
  <c r="C612" i="22"/>
  <c r="C613" i="22"/>
  <c r="C614" i="22"/>
  <c r="C615" i="22"/>
  <c r="C616" i="22"/>
  <c r="C617" i="22"/>
  <c r="C618" i="22"/>
  <c r="C619" i="22"/>
  <c r="C620" i="22"/>
  <c r="C621" i="22"/>
  <c r="C622" i="22"/>
  <c r="C623" i="22"/>
  <c r="C624" i="22"/>
  <c r="C625" i="22"/>
  <c r="C626" i="22"/>
  <c r="C627" i="22"/>
  <c r="C628" i="22"/>
  <c r="C629" i="22"/>
  <c r="C630" i="22"/>
  <c r="C631" i="22"/>
  <c r="C632" i="22"/>
  <c r="C633" i="22"/>
  <c r="C634" i="22"/>
  <c r="C635" i="22"/>
  <c r="C636" i="22"/>
  <c r="C637" i="22"/>
  <c r="C638" i="22"/>
  <c r="C639" i="22"/>
  <c r="C640" i="22"/>
  <c r="C641" i="22"/>
  <c r="C642" i="22"/>
  <c r="C643" i="22"/>
  <c r="C644" i="22"/>
  <c r="C645" i="22"/>
  <c r="C646" i="22"/>
  <c r="C647" i="22"/>
  <c r="C648" i="22"/>
  <c r="C649" i="22"/>
  <c r="C650" i="22"/>
  <c r="C651" i="22"/>
  <c r="C652" i="22"/>
  <c r="C653" i="22"/>
  <c r="C654" i="22"/>
  <c r="C655" i="22"/>
  <c r="C656" i="22"/>
  <c r="C657" i="22"/>
  <c r="C658" i="22"/>
  <c r="C659" i="22"/>
  <c r="C660" i="22"/>
  <c r="C661" i="22"/>
  <c r="C662" i="22"/>
  <c r="C663" i="22"/>
  <c r="C664" i="22"/>
  <c r="C665" i="22"/>
  <c r="C666" i="22"/>
  <c r="C667" i="22"/>
  <c r="C668" i="22"/>
  <c r="C669" i="22"/>
  <c r="C670" i="22"/>
  <c r="C671" i="22"/>
  <c r="C672" i="22"/>
  <c r="C673" i="22"/>
  <c r="C674" i="22"/>
  <c r="C675" i="22"/>
  <c r="C676" i="22"/>
  <c r="C677" i="22"/>
  <c r="C678" i="22"/>
  <c r="C679" i="22"/>
  <c r="C680" i="22"/>
  <c r="C681" i="22"/>
  <c r="C682" i="22"/>
  <c r="C683" i="22"/>
  <c r="C684" i="22"/>
  <c r="C685" i="22"/>
  <c r="C686" i="22"/>
  <c r="C687" i="22"/>
  <c r="C688" i="22"/>
  <c r="C689" i="22"/>
  <c r="C690" i="22"/>
  <c r="C691" i="22"/>
  <c r="C692" i="22"/>
  <c r="C693" i="22"/>
  <c r="C694" i="22"/>
  <c r="C695" i="22"/>
  <c r="C696" i="22"/>
  <c r="C697" i="22"/>
  <c r="C698" i="22"/>
  <c r="C699" i="22"/>
  <c r="C700" i="22"/>
  <c r="C701" i="22"/>
  <c r="C702" i="22"/>
  <c r="C703" i="22"/>
  <c r="C704" i="22"/>
  <c r="C705" i="22"/>
  <c r="C706" i="22"/>
  <c r="C707" i="22"/>
  <c r="C708" i="22"/>
  <c r="C709" i="22"/>
  <c r="C710" i="22"/>
  <c r="C711" i="22"/>
  <c r="C712" i="22"/>
  <c r="C713" i="22"/>
  <c r="C714" i="22"/>
  <c r="C715" i="22"/>
  <c r="C716" i="22"/>
  <c r="C717" i="22"/>
  <c r="C718" i="22"/>
  <c r="C719" i="22"/>
  <c r="C720" i="22"/>
  <c r="C721" i="22"/>
  <c r="C722" i="22"/>
  <c r="C723" i="22"/>
  <c r="C724" i="22"/>
  <c r="C725" i="22"/>
  <c r="C726" i="22"/>
  <c r="C727" i="22"/>
  <c r="C728" i="22"/>
  <c r="C729" i="22"/>
  <c r="C730" i="22"/>
  <c r="C731" i="22"/>
  <c r="C732" i="22"/>
  <c r="C733" i="22"/>
  <c r="C734" i="22"/>
  <c r="C735" i="22"/>
  <c r="C736" i="22"/>
  <c r="C737" i="22"/>
  <c r="C738" i="22"/>
  <c r="C739" i="22"/>
  <c r="C740" i="22"/>
  <c r="C741" i="22"/>
  <c r="C742" i="22"/>
  <c r="C743" i="22"/>
  <c r="C744" i="22"/>
  <c r="C745" i="22"/>
  <c r="C746" i="22"/>
  <c r="C747" i="22"/>
  <c r="C748" i="22"/>
  <c r="C749" i="22"/>
  <c r="C750" i="22"/>
  <c r="C751" i="22"/>
  <c r="C752" i="22"/>
  <c r="C753" i="22"/>
  <c r="C754" i="22"/>
  <c r="C755" i="22"/>
  <c r="C756" i="22"/>
  <c r="C757" i="22"/>
  <c r="C758" i="22"/>
  <c r="C759" i="22"/>
  <c r="C760" i="22"/>
  <c r="C761" i="22"/>
  <c r="C762" i="22"/>
  <c r="C763" i="22"/>
  <c r="C764" i="22"/>
  <c r="C765" i="22"/>
  <c r="C766" i="22"/>
  <c r="C767" i="22"/>
  <c r="C768" i="22"/>
  <c r="C769" i="22"/>
  <c r="C770" i="22"/>
  <c r="C771" i="22"/>
  <c r="C772" i="22"/>
  <c r="C773" i="22"/>
  <c r="C774" i="22"/>
  <c r="C775" i="22"/>
  <c r="C776" i="22"/>
  <c r="C777" i="22"/>
  <c r="C778" i="22"/>
  <c r="C779" i="22"/>
  <c r="C780" i="22"/>
  <c r="C781" i="22"/>
  <c r="C782" i="22"/>
  <c r="C783" i="22"/>
  <c r="C784" i="22"/>
  <c r="C785" i="22"/>
  <c r="C786" i="22"/>
  <c r="C787" i="22"/>
  <c r="C788" i="22"/>
  <c r="C789" i="22"/>
  <c r="C790" i="22"/>
  <c r="C791" i="22"/>
  <c r="C792" i="22"/>
  <c r="C793" i="22"/>
  <c r="C794" i="22"/>
  <c r="C795" i="22"/>
  <c r="C796" i="22"/>
  <c r="C797" i="22"/>
  <c r="C798" i="22"/>
  <c r="C799" i="22"/>
  <c r="C800" i="22"/>
  <c r="C801" i="22"/>
  <c r="C802" i="22"/>
  <c r="C803" i="22"/>
  <c r="C804" i="22"/>
  <c r="C805" i="22"/>
  <c r="C806" i="22"/>
  <c r="C807" i="22"/>
  <c r="C808" i="22"/>
  <c r="C809" i="22"/>
  <c r="C810" i="22"/>
  <c r="C811" i="22"/>
  <c r="C812" i="22"/>
  <c r="C813" i="22"/>
  <c r="C814" i="22"/>
  <c r="C815" i="22"/>
  <c r="C816" i="22"/>
  <c r="C817" i="22"/>
  <c r="C818" i="22"/>
  <c r="C819" i="22"/>
  <c r="C820" i="22"/>
  <c r="C821" i="22"/>
  <c r="C822" i="22"/>
  <c r="C823" i="22"/>
  <c r="C824" i="22"/>
  <c r="C825" i="22"/>
  <c r="C826" i="22"/>
  <c r="C827" i="22"/>
  <c r="C828" i="22"/>
  <c r="C829" i="22"/>
  <c r="C830" i="22"/>
  <c r="C831" i="22"/>
  <c r="C832" i="22"/>
  <c r="C833" i="22"/>
  <c r="C834" i="22"/>
  <c r="C835" i="22"/>
  <c r="C836" i="22"/>
  <c r="C837" i="22"/>
  <c r="C838" i="22"/>
  <c r="C839" i="22"/>
  <c r="C840" i="22"/>
  <c r="C841" i="22"/>
  <c r="C842" i="22"/>
  <c r="C843" i="22"/>
  <c r="C844" i="22"/>
  <c r="C845" i="22"/>
  <c r="C846" i="22"/>
  <c r="C847" i="22"/>
  <c r="C848" i="22"/>
  <c r="C849" i="22"/>
  <c r="C850" i="22"/>
  <c r="C851" i="22"/>
  <c r="C852" i="22"/>
  <c r="C853" i="22"/>
  <c r="C854" i="22"/>
  <c r="C855" i="22"/>
  <c r="C856" i="22"/>
  <c r="C857" i="22"/>
  <c r="C858" i="22"/>
  <c r="C859" i="22"/>
  <c r="C860" i="22"/>
  <c r="C861" i="22"/>
  <c r="C862" i="22"/>
  <c r="C863" i="22"/>
  <c r="C864" i="22"/>
  <c r="C865" i="22"/>
  <c r="C866" i="22"/>
  <c r="C867" i="22"/>
  <c r="C868" i="22"/>
  <c r="C869" i="22"/>
  <c r="C870" i="22"/>
  <c r="C871" i="22"/>
  <c r="C872" i="22"/>
  <c r="C873" i="22"/>
  <c r="C874" i="22"/>
  <c r="C875" i="22"/>
  <c r="C876" i="22"/>
  <c r="C877" i="22"/>
  <c r="C878" i="22"/>
  <c r="C879" i="22"/>
  <c r="C880" i="22"/>
  <c r="C881" i="22"/>
  <c r="C882" i="22"/>
  <c r="C883" i="22"/>
  <c r="C884" i="22"/>
  <c r="C885" i="22"/>
  <c r="C886" i="22"/>
  <c r="C887" i="22"/>
  <c r="C888" i="22"/>
  <c r="C889" i="22"/>
  <c r="C890" i="22"/>
  <c r="C891" i="22"/>
  <c r="C892" i="22"/>
  <c r="C893" i="22"/>
  <c r="C894" i="22"/>
  <c r="C895" i="22"/>
  <c r="C896" i="22"/>
  <c r="C897" i="22"/>
  <c r="C898" i="22"/>
  <c r="C899" i="22"/>
  <c r="C900" i="22"/>
  <c r="C901" i="22"/>
  <c r="C902" i="22"/>
  <c r="C903" i="22"/>
  <c r="C904" i="22"/>
  <c r="C905" i="22"/>
  <c r="C906" i="22"/>
  <c r="C907" i="22"/>
  <c r="C908" i="22"/>
  <c r="C909" i="22"/>
  <c r="C910" i="22"/>
  <c r="C911" i="22"/>
  <c r="C912" i="22"/>
  <c r="C913" i="22"/>
  <c r="C914" i="22"/>
  <c r="C915" i="22"/>
  <c r="C916" i="22"/>
  <c r="C917" i="22"/>
  <c r="C918" i="22"/>
  <c r="C919" i="22"/>
  <c r="C920" i="22"/>
  <c r="C921" i="22"/>
  <c r="C922" i="22"/>
  <c r="C923" i="22"/>
  <c r="C924" i="22"/>
  <c r="C925" i="22"/>
  <c r="C926" i="22"/>
  <c r="C927" i="22"/>
  <c r="C928" i="22"/>
  <c r="C929" i="22"/>
  <c r="C930" i="22"/>
  <c r="C931" i="22"/>
  <c r="C932" i="22"/>
  <c r="C933" i="22"/>
  <c r="C934" i="22"/>
  <c r="C935" i="22"/>
  <c r="C936" i="22"/>
  <c r="C937" i="22"/>
  <c r="C938" i="22"/>
  <c r="C939" i="22"/>
  <c r="C940" i="22"/>
  <c r="C941" i="22"/>
  <c r="C942" i="22"/>
  <c r="C943" i="22"/>
  <c r="C944" i="22"/>
  <c r="C945" i="22"/>
  <c r="C946" i="22"/>
  <c r="C947" i="22"/>
  <c r="C948" i="22"/>
  <c r="C949" i="22"/>
  <c r="C950" i="22"/>
  <c r="C951" i="22"/>
  <c r="C952" i="22"/>
  <c r="C953" i="22"/>
  <c r="C954" i="22"/>
  <c r="C955" i="22"/>
  <c r="C956" i="22"/>
  <c r="C957" i="22"/>
  <c r="C958" i="22"/>
  <c r="C959" i="22"/>
  <c r="C960" i="22"/>
  <c r="C961" i="22"/>
  <c r="C962" i="22"/>
  <c r="C963" i="22"/>
  <c r="C964" i="22"/>
  <c r="C965" i="22"/>
  <c r="C966" i="22"/>
  <c r="C967" i="22"/>
  <c r="C968" i="22"/>
  <c r="C969" i="22"/>
  <c r="C970" i="22"/>
  <c r="C971" i="22"/>
  <c r="C972" i="22"/>
  <c r="C973" i="22"/>
  <c r="C974" i="22"/>
  <c r="C975" i="22"/>
  <c r="C976" i="22"/>
  <c r="C977" i="22"/>
  <c r="C978" i="22"/>
  <c r="C979" i="22"/>
  <c r="C980" i="22"/>
  <c r="C981" i="22"/>
  <c r="C982" i="22"/>
  <c r="C983" i="22"/>
  <c r="C984" i="22"/>
  <c r="C985" i="22"/>
  <c r="C986" i="22"/>
  <c r="C987" i="22"/>
  <c r="C988" i="22"/>
  <c r="C989" i="22"/>
  <c r="C990" i="22"/>
  <c r="C991" i="22"/>
  <c r="C992" i="22"/>
  <c r="C993" i="22"/>
  <c r="C994" i="22"/>
  <c r="C995" i="22"/>
  <c r="C996" i="22"/>
  <c r="C997" i="22"/>
  <c r="C998" i="22"/>
  <c r="C999" i="22"/>
  <c r="C1000" i="22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47" i="19"/>
  <c r="C48" i="19"/>
  <c r="C49" i="19"/>
  <c r="C50" i="19"/>
  <c r="C51" i="19"/>
  <c r="C52" i="19"/>
  <c r="C53" i="19"/>
  <c r="C54" i="19"/>
  <c r="C55" i="19"/>
  <c r="C56" i="19"/>
  <c r="C57" i="19"/>
  <c r="C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7" i="19"/>
  <c r="C88" i="19"/>
  <c r="C89" i="19"/>
  <c r="C90" i="19"/>
  <c r="C91" i="19"/>
  <c r="C92" i="19"/>
  <c r="C93" i="19"/>
  <c r="C94" i="19"/>
  <c r="C95" i="19"/>
  <c r="C96" i="19"/>
  <c r="C97" i="19"/>
  <c r="C98" i="19"/>
  <c r="C99" i="19"/>
  <c r="C100" i="19"/>
  <c r="C3" i="19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" i="19"/>
  <c r="C2" i="22"/>
  <c r="AF10" i="7" l="1"/>
  <c r="AG10" i="7" s="1"/>
  <c r="AH10" i="7" s="1"/>
  <c r="AD10" i="7"/>
  <c r="AE10" i="7" s="1"/>
  <c r="AF9" i="7"/>
  <c r="AG9" i="7" s="1"/>
  <c r="AH9" i="7" s="1"/>
  <c r="AD9" i="7"/>
  <c r="AE9" i="7" s="1"/>
  <c r="AF6" i="7"/>
  <c r="AG6" i="7" s="1"/>
  <c r="AH6" i="7" s="1"/>
  <c r="AD6" i="7"/>
  <c r="AE6" i="7" s="1"/>
  <c r="AI5" i="3"/>
  <c r="AJ5" i="3" s="1"/>
  <c r="AK5" i="3" s="1"/>
  <c r="AG5" i="3"/>
  <c r="AH5" i="3" s="1"/>
  <c r="AE5" i="26"/>
  <c r="AF5" i="26" s="1"/>
  <c r="AG5" i="26" s="1"/>
  <c r="AC5" i="26"/>
  <c r="AD5" i="26" s="1"/>
  <c r="V5" i="26"/>
  <c r="Y5" i="26" s="1"/>
  <c r="Z5" i="26" s="1"/>
  <c r="AA5" i="26" s="1"/>
  <c r="U7" i="2"/>
  <c r="V7" i="2" s="1"/>
  <c r="W7" i="2" s="1"/>
  <c r="S7" i="2"/>
  <c r="T7" i="2" s="1"/>
  <c r="U8" i="2"/>
  <c r="V8" i="2" s="1"/>
  <c r="W8" i="2" s="1"/>
  <c r="S8" i="2"/>
  <c r="T8" i="2" s="1"/>
  <c r="Q5" i="26"/>
  <c r="X8" i="2"/>
  <c r="X7" i="2"/>
  <c r="L7" i="2"/>
  <c r="G8" i="2"/>
  <c r="G7" i="2"/>
  <c r="L8" i="2"/>
  <c r="BA2" i="19"/>
  <c r="AX2" i="19"/>
  <c r="BG3" i="19"/>
  <c r="BG4" i="19"/>
  <c r="BG5" i="19"/>
  <c r="BG6" i="19"/>
  <c r="BG7" i="19"/>
  <c r="BG8" i="19"/>
  <c r="BG9" i="19"/>
  <c r="BG10" i="19"/>
  <c r="BG11" i="19"/>
  <c r="BG12" i="19"/>
  <c r="BG13" i="19"/>
  <c r="BG14" i="19"/>
  <c r="BG15" i="19"/>
  <c r="BG16" i="19"/>
  <c r="BG17" i="19"/>
  <c r="BG18" i="19"/>
  <c r="BG19" i="19"/>
  <c r="BG20" i="19"/>
  <c r="BG21" i="19"/>
  <c r="BG22" i="19"/>
  <c r="BG23" i="19"/>
  <c r="BG24" i="19"/>
  <c r="BG25" i="19"/>
  <c r="BG26" i="19"/>
  <c r="BG27" i="19"/>
  <c r="BG28" i="19"/>
  <c r="BG29" i="19"/>
  <c r="BG30" i="19"/>
  <c r="BG31" i="19"/>
  <c r="BG32" i="19"/>
  <c r="BG33" i="19"/>
  <c r="BG34" i="19"/>
  <c r="BG35" i="19"/>
  <c r="BG36" i="19"/>
  <c r="BG37" i="19"/>
  <c r="BG38" i="19"/>
  <c r="BG39" i="19"/>
  <c r="BG40" i="19"/>
  <c r="BG41" i="19"/>
  <c r="BG42" i="19"/>
  <c r="BG43" i="19"/>
  <c r="BG44" i="19"/>
  <c r="BG45" i="19"/>
  <c r="BG46" i="19"/>
  <c r="BG47" i="19"/>
  <c r="BG48" i="19"/>
  <c r="BG49" i="19"/>
  <c r="BG50" i="19"/>
  <c r="BG51" i="19"/>
  <c r="BG52" i="19"/>
  <c r="BG53" i="19"/>
  <c r="BG54" i="19"/>
  <c r="BG55" i="19"/>
  <c r="BG56" i="19"/>
  <c r="BG57" i="19"/>
  <c r="BG58" i="19"/>
  <c r="BG59" i="19"/>
  <c r="BG60" i="19"/>
  <c r="BG61" i="19"/>
  <c r="BG62" i="19"/>
  <c r="BG63" i="19"/>
  <c r="BG64" i="19"/>
  <c r="BG65" i="19"/>
  <c r="BG66" i="19"/>
  <c r="BG67" i="19"/>
  <c r="BG68" i="19"/>
  <c r="BG69" i="19"/>
  <c r="BG70" i="19"/>
  <c r="BG71" i="19"/>
  <c r="BG72" i="19"/>
  <c r="BG73" i="19"/>
  <c r="BG74" i="19"/>
  <c r="BG75" i="19"/>
  <c r="BG76" i="19"/>
  <c r="BG77" i="19"/>
  <c r="BG78" i="19"/>
  <c r="BG79" i="19"/>
  <c r="BG80" i="19"/>
  <c r="BG81" i="19"/>
  <c r="BG82" i="19"/>
  <c r="BG83" i="19"/>
  <c r="BG84" i="19"/>
  <c r="BG85" i="19"/>
  <c r="BG86" i="19"/>
  <c r="BG87" i="19"/>
  <c r="BG88" i="19"/>
  <c r="BG89" i="19"/>
  <c r="BG90" i="19"/>
  <c r="BG91" i="19"/>
  <c r="BG92" i="19"/>
  <c r="BG93" i="19"/>
  <c r="BG94" i="19"/>
  <c r="BG95" i="19"/>
  <c r="BG96" i="19"/>
  <c r="BG97" i="19"/>
  <c r="BG98" i="19"/>
  <c r="BG99" i="19"/>
  <c r="BG100" i="19"/>
  <c r="BG2" i="19"/>
  <c r="BD3" i="19"/>
  <c r="BD4" i="19"/>
  <c r="BD5" i="19"/>
  <c r="BD6" i="19"/>
  <c r="BD7" i="19"/>
  <c r="BD8" i="19"/>
  <c r="BD9" i="19"/>
  <c r="BD10" i="19"/>
  <c r="BD11" i="19"/>
  <c r="BD12" i="19"/>
  <c r="BD13" i="19"/>
  <c r="BD14" i="19"/>
  <c r="BD15" i="19"/>
  <c r="BD16" i="19"/>
  <c r="BD17" i="19"/>
  <c r="BD18" i="19"/>
  <c r="BD19" i="19"/>
  <c r="BD20" i="19"/>
  <c r="BD21" i="19"/>
  <c r="BD22" i="19"/>
  <c r="BD23" i="19"/>
  <c r="BD24" i="19"/>
  <c r="BD25" i="19"/>
  <c r="BD26" i="19"/>
  <c r="BD27" i="19"/>
  <c r="BD28" i="19"/>
  <c r="BD29" i="19"/>
  <c r="BD30" i="19"/>
  <c r="BD31" i="19"/>
  <c r="BD32" i="19"/>
  <c r="BD33" i="19"/>
  <c r="BD34" i="19"/>
  <c r="BD35" i="19"/>
  <c r="BD36" i="19"/>
  <c r="BD37" i="19"/>
  <c r="BD38" i="19"/>
  <c r="BD39" i="19"/>
  <c r="BD40" i="19"/>
  <c r="BD41" i="19"/>
  <c r="BD42" i="19"/>
  <c r="BD43" i="19"/>
  <c r="BD44" i="19"/>
  <c r="BD45" i="19"/>
  <c r="BD46" i="19"/>
  <c r="BD47" i="19"/>
  <c r="BD48" i="19"/>
  <c r="BD49" i="19"/>
  <c r="BD50" i="19"/>
  <c r="BD51" i="19"/>
  <c r="BD52" i="19"/>
  <c r="BD53" i="19"/>
  <c r="BD54" i="19"/>
  <c r="BD55" i="19"/>
  <c r="BD56" i="19"/>
  <c r="BD57" i="19"/>
  <c r="BD58" i="19"/>
  <c r="BD59" i="19"/>
  <c r="BD60" i="19"/>
  <c r="BD61" i="19"/>
  <c r="BD62" i="19"/>
  <c r="BD63" i="19"/>
  <c r="BD64" i="19"/>
  <c r="BD65" i="19"/>
  <c r="BD66" i="19"/>
  <c r="BD67" i="19"/>
  <c r="BD68" i="19"/>
  <c r="BD69" i="19"/>
  <c r="BD70" i="19"/>
  <c r="BD71" i="19"/>
  <c r="BD72" i="19"/>
  <c r="BD73" i="19"/>
  <c r="BD74" i="19"/>
  <c r="BD75" i="19"/>
  <c r="BD76" i="19"/>
  <c r="BD77" i="19"/>
  <c r="BD78" i="19"/>
  <c r="BD79" i="19"/>
  <c r="BD80" i="19"/>
  <c r="BD81" i="19"/>
  <c r="BD82" i="19"/>
  <c r="BD83" i="19"/>
  <c r="BD84" i="19"/>
  <c r="BD85" i="19"/>
  <c r="BD86" i="19"/>
  <c r="BD87" i="19"/>
  <c r="BD88" i="19"/>
  <c r="BD89" i="19"/>
  <c r="BD90" i="19"/>
  <c r="BD91" i="19"/>
  <c r="BD92" i="19"/>
  <c r="BD93" i="19"/>
  <c r="BD94" i="19"/>
  <c r="BD95" i="19"/>
  <c r="BD96" i="19"/>
  <c r="BD97" i="19"/>
  <c r="BD98" i="19"/>
  <c r="BD99" i="19"/>
  <c r="BD100" i="19"/>
  <c r="BD2" i="19"/>
  <c r="BA4" i="19"/>
  <c r="BA5" i="19"/>
  <c r="BA6" i="19"/>
  <c r="BA7" i="19"/>
  <c r="BA8" i="19"/>
  <c r="BA9" i="19"/>
  <c r="BA10" i="19"/>
  <c r="BA11" i="19"/>
  <c r="BA12" i="19"/>
  <c r="BA13" i="19"/>
  <c r="BA14" i="19"/>
  <c r="BA15" i="19"/>
  <c r="BA16" i="19"/>
  <c r="BA17" i="19"/>
  <c r="BA18" i="19"/>
  <c r="BA19" i="19"/>
  <c r="BA20" i="19"/>
  <c r="BA21" i="19"/>
  <c r="BA22" i="19"/>
  <c r="BA23" i="19"/>
  <c r="BA24" i="19"/>
  <c r="BA25" i="19"/>
  <c r="BA26" i="19"/>
  <c r="BA27" i="19"/>
  <c r="BA28" i="19"/>
  <c r="BA29" i="19"/>
  <c r="BA30" i="19"/>
  <c r="BA31" i="19"/>
  <c r="BA32" i="19"/>
  <c r="BA33" i="19"/>
  <c r="BA34" i="19"/>
  <c r="BA35" i="19"/>
  <c r="BA36" i="19"/>
  <c r="BA37" i="19"/>
  <c r="BA38" i="19"/>
  <c r="BA39" i="19"/>
  <c r="BA40" i="19"/>
  <c r="BA41" i="19"/>
  <c r="BA42" i="19"/>
  <c r="BA43" i="19"/>
  <c r="BA44" i="19"/>
  <c r="BA45" i="19"/>
  <c r="BA46" i="19"/>
  <c r="BA47" i="19"/>
  <c r="BA48" i="19"/>
  <c r="BA49" i="19"/>
  <c r="BA50" i="19"/>
  <c r="BA51" i="19"/>
  <c r="BA52" i="19"/>
  <c r="BA53" i="19"/>
  <c r="BA54" i="19"/>
  <c r="BA55" i="19"/>
  <c r="BA56" i="19"/>
  <c r="BA57" i="19"/>
  <c r="BA58" i="19"/>
  <c r="BA59" i="19"/>
  <c r="BA60" i="19"/>
  <c r="BA61" i="19"/>
  <c r="BA62" i="19"/>
  <c r="BA63" i="19"/>
  <c r="BA64" i="19"/>
  <c r="BA65" i="19"/>
  <c r="BA66" i="19"/>
  <c r="BA67" i="19"/>
  <c r="BA68" i="19"/>
  <c r="BA69" i="19"/>
  <c r="BA70" i="19"/>
  <c r="BA71" i="19"/>
  <c r="BA72" i="19"/>
  <c r="BA73" i="19"/>
  <c r="BA74" i="19"/>
  <c r="BA75" i="19"/>
  <c r="BA76" i="19"/>
  <c r="BA77" i="19"/>
  <c r="BA78" i="19"/>
  <c r="BA79" i="19"/>
  <c r="BA80" i="19"/>
  <c r="BA81" i="19"/>
  <c r="BA82" i="19"/>
  <c r="BA83" i="19"/>
  <c r="BA84" i="19"/>
  <c r="BA85" i="19"/>
  <c r="BA86" i="19"/>
  <c r="BA87" i="19"/>
  <c r="BA88" i="19"/>
  <c r="BA89" i="19"/>
  <c r="BA90" i="19"/>
  <c r="BA91" i="19"/>
  <c r="BA92" i="19"/>
  <c r="BA93" i="19"/>
  <c r="BA94" i="19"/>
  <c r="BA95" i="19"/>
  <c r="BA96" i="19"/>
  <c r="BA97" i="19"/>
  <c r="BA98" i="19"/>
  <c r="BA99" i="19"/>
  <c r="BA100" i="19"/>
  <c r="BA101" i="19"/>
  <c r="BA3" i="19"/>
  <c r="AX4" i="19"/>
  <c r="AX5" i="19"/>
  <c r="AX6" i="19"/>
  <c r="AX7" i="19"/>
  <c r="AX8" i="19"/>
  <c r="AX9" i="19"/>
  <c r="AX10" i="19"/>
  <c r="AX11" i="19"/>
  <c r="AX12" i="19"/>
  <c r="AX13" i="19"/>
  <c r="AX14" i="19"/>
  <c r="AX15" i="19"/>
  <c r="AX16" i="19"/>
  <c r="AX17" i="19"/>
  <c r="AX18" i="19"/>
  <c r="AX19" i="19"/>
  <c r="AX20" i="19"/>
  <c r="AX21" i="19"/>
  <c r="AX22" i="19"/>
  <c r="AX23" i="19"/>
  <c r="AX24" i="19"/>
  <c r="AX25" i="19"/>
  <c r="AX26" i="19"/>
  <c r="AX27" i="19"/>
  <c r="AX28" i="19"/>
  <c r="AX29" i="19"/>
  <c r="AX30" i="19"/>
  <c r="AX31" i="19"/>
  <c r="AX32" i="19"/>
  <c r="AX33" i="19"/>
  <c r="AX34" i="19"/>
  <c r="AX35" i="19"/>
  <c r="AX36" i="19"/>
  <c r="AX37" i="19"/>
  <c r="AX38" i="19"/>
  <c r="AX39" i="19"/>
  <c r="AX40" i="19"/>
  <c r="AX41" i="19"/>
  <c r="AX42" i="19"/>
  <c r="AX43" i="19"/>
  <c r="AX44" i="19"/>
  <c r="AX45" i="19"/>
  <c r="AX46" i="19"/>
  <c r="AX47" i="19"/>
  <c r="AX48" i="19"/>
  <c r="AX49" i="19"/>
  <c r="AX50" i="19"/>
  <c r="AX51" i="19"/>
  <c r="AX52" i="19"/>
  <c r="AX53" i="19"/>
  <c r="AX54" i="19"/>
  <c r="AX55" i="19"/>
  <c r="AX56" i="19"/>
  <c r="AX57" i="19"/>
  <c r="AX58" i="19"/>
  <c r="AX59" i="19"/>
  <c r="AX60" i="19"/>
  <c r="AX61" i="19"/>
  <c r="AX62" i="19"/>
  <c r="AX63" i="19"/>
  <c r="AX64" i="19"/>
  <c r="AX65" i="19"/>
  <c r="AX66" i="19"/>
  <c r="AX67" i="19"/>
  <c r="AX68" i="19"/>
  <c r="AX69" i="19"/>
  <c r="AX70" i="19"/>
  <c r="AX71" i="19"/>
  <c r="AX72" i="19"/>
  <c r="AX73" i="19"/>
  <c r="AX74" i="19"/>
  <c r="AX75" i="19"/>
  <c r="AX76" i="19"/>
  <c r="AX77" i="19"/>
  <c r="AX78" i="19"/>
  <c r="AX79" i="19"/>
  <c r="AX80" i="19"/>
  <c r="AX81" i="19"/>
  <c r="AX82" i="19"/>
  <c r="AX83" i="19"/>
  <c r="AX84" i="19"/>
  <c r="AX85" i="19"/>
  <c r="AX86" i="19"/>
  <c r="AX87" i="19"/>
  <c r="AX88" i="19"/>
  <c r="AX89" i="19"/>
  <c r="AX90" i="19"/>
  <c r="AX91" i="19"/>
  <c r="AX92" i="19"/>
  <c r="AX93" i="19"/>
  <c r="AX94" i="19"/>
  <c r="AX95" i="19"/>
  <c r="AX96" i="19"/>
  <c r="AX97" i="19"/>
  <c r="AX98" i="19"/>
  <c r="AX99" i="19"/>
  <c r="AX100" i="19"/>
  <c r="AX101" i="19"/>
  <c r="AX3" i="19"/>
  <c r="AU3" i="19"/>
  <c r="AU4" i="19"/>
  <c r="AU5" i="19"/>
  <c r="AU6" i="19"/>
  <c r="AU7" i="19"/>
  <c r="AU8" i="19"/>
  <c r="AU9" i="19"/>
  <c r="AU10" i="19"/>
  <c r="AU11" i="19"/>
  <c r="AU12" i="19"/>
  <c r="AU13" i="19"/>
  <c r="AU14" i="19"/>
  <c r="AU15" i="19"/>
  <c r="AU16" i="19"/>
  <c r="AU17" i="19"/>
  <c r="AU18" i="19"/>
  <c r="AU19" i="19"/>
  <c r="AU20" i="19"/>
  <c r="AU21" i="19"/>
  <c r="AU22" i="19"/>
  <c r="AU23" i="19"/>
  <c r="AU24" i="19"/>
  <c r="AU25" i="19"/>
  <c r="AU26" i="19"/>
  <c r="AU27" i="19"/>
  <c r="AU28" i="19"/>
  <c r="AU29" i="19"/>
  <c r="AU30" i="19"/>
  <c r="AU31" i="19"/>
  <c r="AU32" i="19"/>
  <c r="AU33" i="19"/>
  <c r="AU34" i="19"/>
  <c r="AU35" i="19"/>
  <c r="AU36" i="19"/>
  <c r="AU37" i="19"/>
  <c r="AU38" i="19"/>
  <c r="AU39" i="19"/>
  <c r="AU40" i="19"/>
  <c r="AU41" i="19"/>
  <c r="AU42" i="19"/>
  <c r="AU43" i="19"/>
  <c r="AU44" i="19"/>
  <c r="AU45" i="19"/>
  <c r="AU46" i="19"/>
  <c r="AU47" i="19"/>
  <c r="AU48" i="19"/>
  <c r="AU49" i="19"/>
  <c r="AU50" i="19"/>
  <c r="AU51" i="19"/>
  <c r="AU52" i="19"/>
  <c r="AU53" i="19"/>
  <c r="AU54" i="19"/>
  <c r="AU55" i="19"/>
  <c r="AU56" i="19"/>
  <c r="AU57" i="19"/>
  <c r="AU58" i="19"/>
  <c r="AU59" i="19"/>
  <c r="AU60" i="19"/>
  <c r="AU61" i="19"/>
  <c r="AU62" i="19"/>
  <c r="AU63" i="19"/>
  <c r="AU64" i="19"/>
  <c r="AU65" i="19"/>
  <c r="AU66" i="19"/>
  <c r="AU67" i="19"/>
  <c r="AU68" i="19"/>
  <c r="AU69" i="19"/>
  <c r="AU70" i="19"/>
  <c r="AU71" i="19"/>
  <c r="AU72" i="19"/>
  <c r="AU73" i="19"/>
  <c r="AU74" i="19"/>
  <c r="AU75" i="19"/>
  <c r="AU76" i="19"/>
  <c r="AU77" i="19"/>
  <c r="AU78" i="19"/>
  <c r="AU79" i="19"/>
  <c r="AU80" i="19"/>
  <c r="AU81" i="19"/>
  <c r="AU82" i="19"/>
  <c r="AU83" i="19"/>
  <c r="AU84" i="19"/>
  <c r="AU85" i="19"/>
  <c r="AU86" i="19"/>
  <c r="AU87" i="19"/>
  <c r="AU88" i="19"/>
  <c r="AU89" i="19"/>
  <c r="AU90" i="19"/>
  <c r="AU91" i="19"/>
  <c r="AU92" i="19"/>
  <c r="AU93" i="19"/>
  <c r="AU94" i="19"/>
  <c r="AU95" i="19"/>
  <c r="AU96" i="19"/>
  <c r="AU97" i="19"/>
  <c r="AU98" i="19"/>
  <c r="AU99" i="19"/>
  <c r="AU100" i="19"/>
  <c r="AU2" i="19"/>
  <c r="AR3" i="19"/>
  <c r="AR4" i="19"/>
  <c r="AR5" i="19"/>
  <c r="AR6" i="19"/>
  <c r="AR7" i="19"/>
  <c r="AR8" i="19"/>
  <c r="AR9" i="19"/>
  <c r="AR10" i="19"/>
  <c r="AR11" i="19"/>
  <c r="AR12" i="19"/>
  <c r="AR13" i="19"/>
  <c r="AR14" i="19"/>
  <c r="AR15" i="19"/>
  <c r="AR16" i="19"/>
  <c r="AR17" i="19"/>
  <c r="AR18" i="19"/>
  <c r="AR19" i="19"/>
  <c r="AR20" i="19"/>
  <c r="AR21" i="19"/>
  <c r="AR22" i="19"/>
  <c r="AR23" i="19"/>
  <c r="AR24" i="19"/>
  <c r="AR25" i="19"/>
  <c r="AR26" i="19"/>
  <c r="AR27" i="19"/>
  <c r="AR28" i="19"/>
  <c r="AR29" i="19"/>
  <c r="AR30" i="19"/>
  <c r="AR31" i="19"/>
  <c r="AR32" i="19"/>
  <c r="AR33" i="19"/>
  <c r="AR34" i="19"/>
  <c r="AR35" i="19"/>
  <c r="AR36" i="19"/>
  <c r="AR37" i="19"/>
  <c r="AR38" i="19"/>
  <c r="AR39" i="19"/>
  <c r="AR40" i="19"/>
  <c r="AR41" i="19"/>
  <c r="AR42" i="19"/>
  <c r="AR43" i="19"/>
  <c r="AR44" i="19"/>
  <c r="AR45" i="19"/>
  <c r="AR46" i="19"/>
  <c r="AR47" i="19"/>
  <c r="AR48" i="19"/>
  <c r="AR49" i="19"/>
  <c r="AR50" i="19"/>
  <c r="AR51" i="19"/>
  <c r="AR52" i="19"/>
  <c r="AR53" i="19"/>
  <c r="AR54" i="19"/>
  <c r="AR55" i="19"/>
  <c r="AR56" i="19"/>
  <c r="AR57" i="19"/>
  <c r="AR58" i="19"/>
  <c r="AR59" i="19"/>
  <c r="AR60" i="19"/>
  <c r="AR61" i="19"/>
  <c r="AR62" i="19"/>
  <c r="AR63" i="19"/>
  <c r="AR64" i="19"/>
  <c r="AR65" i="19"/>
  <c r="AR66" i="19"/>
  <c r="AR67" i="19"/>
  <c r="AR68" i="19"/>
  <c r="AR69" i="19"/>
  <c r="AR70" i="19"/>
  <c r="AR71" i="19"/>
  <c r="AR72" i="19"/>
  <c r="AR73" i="19"/>
  <c r="AR74" i="19"/>
  <c r="AR75" i="19"/>
  <c r="AR76" i="19"/>
  <c r="AR77" i="19"/>
  <c r="AR78" i="19"/>
  <c r="AR79" i="19"/>
  <c r="AR80" i="19"/>
  <c r="AR81" i="19"/>
  <c r="AR82" i="19"/>
  <c r="AR83" i="19"/>
  <c r="AR84" i="19"/>
  <c r="AR85" i="19"/>
  <c r="AR86" i="19"/>
  <c r="AR87" i="19"/>
  <c r="AR88" i="19"/>
  <c r="AR89" i="19"/>
  <c r="AR90" i="19"/>
  <c r="AR91" i="19"/>
  <c r="AR92" i="19"/>
  <c r="AR93" i="19"/>
  <c r="AR94" i="19"/>
  <c r="AR95" i="19"/>
  <c r="AR96" i="19"/>
  <c r="AR97" i="19"/>
  <c r="AR98" i="19"/>
  <c r="AR99" i="19"/>
  <c r="AR100" i="19"/>
  <c r="AR2" i="19"/>
  <c r="AO3" i="19"/>
  <c r="AO4" i="19"/>
  <c r="AO5" i="19"/>
  <c r="AO6" i="19"/>
  <c r="AO7" i="19"/>
  <c r="AO8" i="19"/>
  <c r="AO9" i="19"/>
  <c r="AO10" i="19"/>
  <c r="AO11" i="19"/>
  <c r="AO12" i="19"/>
  <c r="AO13" i="19"/>
  <c r="AO14" i="19"/>
  <c r="AO15" i="19"/>
  <c r="AO16" i="19"/>
  <c r="AO17" i="19"/>
  <c r="AO18" i="19"/>
  <c r="AO19" i="19"/>
  <c r="AO20" i="19"/>
  <c r="AO21" i="19"/>
  <c r="AO22" i="19"/>
  <c r="AO23" i="19"/>
  <c r="AO24" i="19"/>
  <c r="AO25" i="19"/>
  <c r="AO26" i="19"/>
  <c r="AO27" i="19"/>
  <c r="AO28" i="19"/>
  <c r="AO29" i="19"/>
  <c r="AO30" i="19"/>
  <c r="AO31" i="19"/>
  <c r="AO32" i="19"/>
  <c r="AO33" i="19"/>
  <c r="AO34" i="19"/>
  <c r="AO35" i="19"/>
  <c r="AO36" i="19"/>
  <c r="AO37" i="19"/>
  <c r="AO38" i="19"/>
  <c r="AO39" i="19"/>
  <c r="AO40" i="19"/>
  <c r="AO41" i="19"/>
  <c r="AO42" i="19"/>
  <c r="AO43" i="19"/>
  <c r="AO44" i="19"/>
  <c r="AO45" i="19"/>
  <c r="AO46" i="19"/>
  <c r="AO47" i="19"/>
  <c r="AO48" i="19"/>
  <c r="AO49" i="19"/>
  <c r="AO50" i="19"/>
  <c r="AO51" i="19"/>
  <c r="AO52" i="19"/>
  <c r="AO53" i="19"/>
  <c r="AO54" i="19"/>
  <c r="AO55" i="19"/>
  <c r="AO56" i="19"/>
  <c r="AO57" i="19"/>
  <c r="AO58" i="19"/>
  <c r="AO59" i="19"/>
  <c r="AO60" i="19"/>
  <c r="AO61" i="19"/>
  <c r="AO62" i="19"/>
  <c r="AO63" i="19"/>
  <c r="AO64" i="19"/>
  <c r="AO65" i="19"/>
  <c r="AO66" i="19"/>
  <c r="AO67" i="19"/>
  <c r="AO68" i="19"/>
  <c r="AO69" i="19"/>
  <c r="AO70" i="19"/>
  <c r="AO71" i="19"/>
  <c r="AO72" i="19"/>
  <c r="AO73" i="19"/>
  <c r="AO74" i="19"/>
  <c r="AO75" i="19"/>
  <c r="AO76" i="19"/>
  <c r="AO77" i="19"/>
  <c r="AO78" i="19"/>
  <c r="AO79" i="19"/>
  <c r="AO80" i="19"/>
  <c r="AO81" i="19"/>
  <c r="AO82" i="19"/>
  <c r="AO83" i="19"/>
  <c r="AO84" i="19"/>
  <c r="AO85" i="19"/>
  <c r="AO86" i="19"/>
  <c r="AO87" i="19"/>
  <c r="AO88" i="19"/>
  <c r="AO89" i="19"/>
  <c r="AO90" i="19"/>
  <c r="AO91" i="19"/>
  <c r="AO92" i="19"/>
  <c r="AO93" i="19"/>
  <c r="AO94" i="19"/>
  <c r="AO95" i="19"/>
  <c r="AO96" i="19"/>
  <c r="AO97" i="19"/>
  <c r="AO98" i="19"/>
  <c r="AO99" i="19"/>
  <c r="AO100" i="19"/>
  <c r="AO2" i="19"/>
  <c r="AF3" i="19"/>
  <c r="AF4" i="19"/>
  <c r="AF5" i="19"/>
  <c r="AF6" i="19"/>
  <c r="AF7" i="19"/>
  <c r="AF8" i="19"/>
  <c r="AF9" i="19"/>
  <c r="AF10" i="19"/>
  <c r="AF11" i="19"/>
  <c r="AF12" i="19"/>
  <c r="AF13" i="19"/>
  <c r="AF14" i="19"/>
  <c r="AF15" i="19"/>
  <c r="AF16" i="19"/>
  <c r="AF17" i="19"/>
  <c r="AF18" i="19"/>
  <c r="AF19" i="19"/>
  <c r="AF20" i="19"/>
  <c r="AF21" i="19"/>
  <c r="AF22" i="19"/>
  <c r="AF23" i="19"/>
  <c r="AF24" i="19"/>
  <c r="AF25" i="19"/>
  <c r="AF26" i="19"/>
  <c r="AF27" i="19"/>
  <c r="AF28" i="19"/>
  <c r="AF29" i="19"/>
  <c r="AF30" i="19"/>
  <c r="AF31" i="19"/>
  <c r="AF32" i="19"/>
  <c r="AF33" i="19"/>
  <c r="AF34" i="19"/>
  <c r="AF35" i="19"/>
  <c r="AF36" i="19"/>
  <c r="AF37" i="19"/>
  <c r="AF38" i="19"/>
  <c r="AF39" i="19"/>
  <c r="AF40" i="19"/>
  <c r="AF41" i="19"/>
  <c r="AF42" i="19"/>
  <c r="AF43" i="19"/>
  <c r="AF44" i="19"/>
  <c r="AF45" i="19"/>
  <c r="AF46" i="19"/>
  <c r="AF47" i="19"/>
  <c r="AF48" i="19"/>
  <c r="AF49" i="19"/>
  <c r="AF50" i="19"/>
  <c r="AF51" i="19"/>
  <c r="AF52" i="19"/>
  <c r="AF53" i="19"/>
  <c r="AF54" i="19"/>
  <c r="AF55" i="19"/>
  <c r="AF56" i="19"/>
  <c r="AF57" i="19"/>
  <c r="AF58" i="19"/>
  <c r="AF59" i="19"/>
  <c r="AF60" i="19"/>
  <c r="AF61" i="19"/>
  <c r="AF62" i="19"/>
  <c r="AF63" i="19"/>
  <c r="AF64" i="19"/>
  <c r="AF65" i="19"/>
  <c r="AF66" i="19"/>
  <c r="AF67" i="19"/>
  <c r="AF68" i="19"/>
  <c r="AF69" i="19"/>
  <c r="AF70" i="19"/>
  <c r="AF71" i="19"/>
  <c r="AF72" i="19"/>
  <c r="AF73" i="19"/>
  <c r="AF74" i="19"/>
  <c r="AF75" i="19"/>
  <c r="AF76" i="19"/>
  <c r="AF77" i="19"/>
  <c r="AF78" i="19"/>
  <c r="AF79" i="19"/>
  <c r="AF80" i="19"/>
  <c r="AF81" i="19"/>
  <c r="AF82" i="19"/>
  <c r="AF83" i="19"/>
  <c r="AF84" i="19"/>
  <c r="AF85" i="19"/>
  <c r="AF86" i="19"/>
  <c r="AF87" i="19"/>
  <c r="AF88" i="19"/>
  <c r="AF89" i="19"/>
  <c r="AF90" i="19"/>
  <c r="AF91" i="19"/>
  <c r="AF92" i="19"/>
  <c r="AF93" i="19"/>
  <c r="AF94" i="19"/>
  <c r="AF95" i="19"/>
  <c r="AF96" i="19"/>
  <c r="AF97" i="19"/>
  <c r="AF98" i="19"/>
  <c r="AF99" i="19"/>
  <c r="AF100" i="19"/>
  <c r="AF2" i="19"/>
  <c r="AL3" i="19"/>
  <c r="AL4" i="19"/>
  <c r="AL5" i="19"/>
  <c r="AL6" i="19"/>
  <c r="AL7" i="19"/>
  <c r="AL8" i="19"/>
  <c r="AL9" i="19"/>
  <c r="AL10" i="19"/>
  <c r="AL11" i="19"/>
  <c r="AL12" i="19"/>
  <c r="AL13" i="19"/>
  <c r="AL14" i="19"/>
  <c r="AL15" i="19"/>
  <c r="AL16" i="19"/>
  <c r="AL17" i="19"/>
  <c r="AL18" i="19"/>
  <c r="AL19" i="19"/>
  <c r="AL20" i="19"/>
  <c r="AL21" i="19"/>
  <c r="AL22" i="19"/>
  <c r="AL23" i="19"/>
  <c r="AL24" i="19"/>
  <c r="AL25" i="19"/>
  <c r="AL26" i="19"/>
  <c r="AL27" i="19"/>
  <c r="AL28" i="19"/>
  <c r="AL29" i="19"/>
  <c r="AL30" i="19"/>
  <c r="AL31" i="19"/>
  <c r="AL32" i="19"/>
  <c r="AL33" i="19"/>
  <c r="AL34" i="19"/>
  <c r="AL35" i="19"/>
  <c r="AL36" i="19"/>
  <c r="AL37" i="19"/>
  <c r="AL38" i="19"/>
  <c r="AL39" i="19"/>
  <c r="AL40" i="19"/>
  <c r="AL41" i="19"/>
  <c r="AL42" i="19"/>
  <c r="AL43" i="19"/>
  <c r="AL44" i="19"/>
  <c r="AL45" i="19"/>
  <c r="AL46" i="19"/>
  <c r="AL47" i="19"/>
  <c r="AL48" i="19"/>
  <c r="AL49" i="19"/>
  <c r="AL50" i="19"/>
  <c r="AL51" i="19"/>
  <c r="AL52" i="19"/>
  <c r="AL53" i="19"/>
  <c r="AL54" i="19"/>
  <c r="AL55" i="19"/>
  <c r="AL56" i="19"/>
  <c r="AL57" i="19"/>
  <c r="AL58" i="19"/>
  <c r="AL59" i="19"/>
  <c r="AL60" i="19"/>
  <c r="AL61" i="19"/>
  <c r="AL62" i="19"/>
  <c r="AL63" i="19"/>
  <c r="AL64" i="19"/>
  <c r="AL65" i="19"/>
  <c r="AL66" i="19"/>
  <c r="AL67" i="19"/>
  <c r="AL68" i="19"/>
  <c r="AL69" i="19"/>
  <c r="AL70" i="19"/>
  <c r="AL71" i="19"/>
  <c r="AL72" i="19"/>
  <c r="AL73" i="19"/>
  <c r="AL74" i="19"/>
  <c r="AL75" i="19"/>
  <c r="AL76" i="19"/>
  <c r="AL77" i="19"/>
  <c r="AL78" i="19"/>
  <c r="AL79" i="19"/>
  <c r="AL80" i="19"/>
  <c r="AL81" i="19"/>
  <c r="AL82" i="19"/>
  <c r="AL83" i="19"/>
  <c r="AL84" i="19"/>
  <c r="AL85" i="19"/>
  <c r="AL86" i="19"/>
  <c r="AL87" i="19"/>
  <c r="AL88" i="19"/>
  <c r="AL89" i="19"/>
  <c r="AL90" i="19"/>
  <c r="AL91" i="19"/>
  <c r="AL92" i="19"/>
  <c r="AL93" i="19"/>
  <c r="AL94" i="19"/>
  <c r="AL95" i="19"/>
  <c r="AL96" i="19"/>
  <c r="AL97" i="19"/>
  <c r="AL98" i="19"/>
  <c r="AL99" i="19"/>
  <c r="AL100" i="19"/>
  <c r="AL2" i="19"/>
  <c r="AI3" i="19"/>
  <c r="AI4" i="19"/>
  <c r="AI5" i="19"/>
  <c r="AI6" i="19"/>
  <c r="AI7" i="19"/>
  <c r="AI8" i="19"/>
  <c r="AI9" i="19"/>
  <c r="AI10" i="19"/>
  <c r="AI11" i="19"/>
  <c r="AI12" i="19"/>
  <c r="AI13" i="19"/>
  <c r="AI14" i="19"/>
  <c r="AI15" i="19"/>
  <c r="AI16" i="19"/>
  <c r="AI17" i="19"/>
  <c r="AI18" i="19"/>
  <c r="AI19" i="19"/>
  <c r="AI20" i="19"/>
  <c r="AI21" i="19"/>
  <c r="AI22" i="19"/>
  <c r="AI23" i="19"/>
  <c r="AI24" i="19"/>
  <c r="AI25" i="19"/>
  <c r="AI26" i="19"/>
  <c r="AI27" i="19"/>
  <c r="AI28" i="19"/>
  <c r="AI29" i="19"/>
  <c r="AI30" i="19"/>
  <c r="AI31" i="19"/>
  <c r="AI32" i="19"/>
  <c r="AI33" i="19"/>
  <c r="AI34" i="19"/>
  <c r="AI35" i="19"/>
  <c r="AI36" i="19"/>
  <c r="AI37" i="19"/>
  <c r="AI38" i="19"/>
  <c r="AI39" i="19"/>
  <c r="AI40" i="19"/>
  <c r="AI41" i="19"/>
  <c r="AI42" i="19"/>
  <c r="AI43" i="19"/>
  <c r="AI44" i="19"/>
  <c r="AI45" i="19"/>
  <c r="AI46" i="19"/>
  <c r="AI47" i="19"/>
  <c r="AI48" i="19"/>
  <c r="AI49" i="19"/>
  <c r="AI50" i="19"/>
  <c r="AI51" i="19"/>
  <c r="AI52" i="19"/>
  <c r="AI53" i="19"/>
  <c r="AI54" i="19"/>
  <c r="AI55" i="19"/>
  <c r="AI56" i="19"/>
  <c r="AI57" i="19"/>
  <c r="AI58" i="19"/>
  <c r="AI59" i="19"/>
  <c r="AI60" i="19"/>
  <c r="AI61" i="19"/>
  <c r="AI62" i="19"/>
  <c r="AI63" i="19"/>
  <c r="AI64" i="19"/>
  <c r="AI65" i="19"/>
  <c r="AI66" i="19"/>
  <c r="AI67" i="19"/>
  <c r="AI68" i="19"/>
  <c r="AI69" i="19"/>
  <c r="AI70" i="19"/>
  <c r="AI71" i="19"/>
  <c r="AI72" i="19"/>
  <c r="AI73" i="19"/>
  <c r="AI74" i="19"/>
  <c r="AI75" i="19"/>
  <c r="AI76" i="19"/>
  <c r="AI77" i="19"/>
  <c r="AI78" i="19"/>
  <c r="AI79" i="19"/>
  <c r="AI80" i="19"/>
  <c r="AI81" i="19"/>
  <c r="AI82" i="19"/>
  <c r="AI83" i="19"/>
  <c r="AI84" i="19"/>
  <c r="AI85" i="19"/>
  <c r="AI86" i="19"/>
  <c r="AI87" i="19"/>
  <c r="AI88" i="19"/>
  <c r="AI89" i="19"/>
  <c r="AI90" i="19"/>
  <c r="AI91" i="19"/>
  <c r="AI92" i="19"/>
  <c r="AI93" i="19"/>
  <c r="AI94" i="19"/>
  <c r="AI95" i="19"/>
  <c r="AI96" i="19"/>
  <c r="AI97" i="19"/>
  <c r="AI98" i="19"/>
  <c r="AI99" i="19"/>
  <c r="AI100" i="19"/>
  <c r="AI2" i="19"/>
  <c r="AC3" i="19"/>
  <c r="AC4" i="19"/>
  <c r="AC5" i="19"/>
  <c r="AC6" i="19"/>
  <c r="AC7" i="19"/>
  <c r="AC8" i="19"/>
  <c r="AC9" i="19"/>
  <c r="AC10" i="19"/>
  <c r="AC11" i="19"/>
  <c r="AC12" i="19"/>
  <c r="AC13" i="19"/>
  <c r="AC14" i="19"/>
  <c r="AC15" i="19"/>
  <c r="AC16" i="19"/>
  <c r="AC17" i="19"/>
  <c r="AC18" i="19"/>
  <c r="AC19" i="19"/>
  <c r="AC20" i="19"/>
  <c r="AC21" i="19"/>
  <c r="AC22" i="19"/>
  <c r="AC23" i="19"/>
  <c r="AC24" i="19"/>
  <c r="AC25" i="19"/>
  <c r="AC26" i="19"/>
  <c r="AC27" i="19"/>
  <c r="AC28" i="19"/>
  <c r="AC29" i="19"/>
  <c r="AC30" i="19"/>
  <c r="AC31" i="19"/>
  <c r="AC32" i="19"/>
  <c r="AC33" i="19"/>
  <c r="AC34" i="19"/>
  <c r="AC35" i="19"/>
  <c r="AC36" i="19"/>
  <c r="AC37" i="19"/>
  <c r="AC38" i="19"/>
  <c r="AC39" i="19"/>
  <c r="AC40" i="19"/>
  <c r="AC41" i="19"/>
  <c r="AC42" i="19"/>
  <c r="AC43" i="19"/>
  <c r="AC44" i="19"/>
  <c r="AC45" i="19"/>
  <c r="AC46" i="19"/>
  <c r="AC47" i="19"/>
  <c r="AC48" i="19"/>
  <c r="AC49" i="19"/>
  <c r="AC50" i="19"/>
  <c r="AC51" i="19"/>
  <c r="AC52" i="19"/>
  <c r="AC53" i="19"/>
  <c r="AC54" i="19"/>
  <c r="AC55" i="19"/>
  <c r="AC56" i="19"/>
  <c r="AC57" i="19"/>
  <c r="AC58" i="19"/>
  <c r="AC59" i="19"/>
  <c r="AC60" i="19"/>
  <c r="AC61" i="19"/>
  <c r="AC62" i="19"/>
  <c r="AC63" i="19"/>
  <c r="AC64" i="19"/>
  <c r="AC65" i="19"/>
  <c r="AC66" i="19"/>
  <c r="AC67" i="19"/>
  <c r="AC68" i="19"/>
  <c r="AC69" i="19"/>
  <c r="AC70" i="19"/>
  <c r="AC71" i="19"/>
  <c r="AC72" i="19"/>
  <c r="AC73" i="19"/>
  <c r="AC74" i="19"/>
  <c r="AC75" i="19"/>
  <c r="AC76" i="19"/>
  <c r="AC77" i="19"/>
  <c r="AC78" i="19"/>
  <c r="AC79" i="19"/>
  <c r="AC80" i="19"/>
  <c r="AC81" i="19"/>
  <c r="AC82" i="19"/>
  <c r="AC83" i="19"/>
  <c r="AC84" i="19"/>
  <c r="AC85" i="19"/>
  <c r="AC86" i="19"/>
  <c r="AC87" i="19"/>
  <c r="AC88" i="19"/>
  <c r="AC89" i="19"/>
  <c r="AC90" i="19"/>
  <c r="AC91" i="19"/>
  <c r="AC92" i="19"/>
  <c r="AC93" i="19"/>
  <c r="AC94" i="19"/>
  <c r="AC95" i="19"/>
  <c r="AC96" i="19"/>
  <c r="AC97" i="19"/>
  <c r="AC98" i="19"/>
  <c r="AC99" i="19"/>
  <c r="AC100" i="19"/>
  <c r="AC2" i="19"/>
  <c r="Z3" i="19"/>
  <c r="Z4" i="19"/>
  <c r="Z5" i="19"/>
  <c r="Z6" i="19"/>
  <c r="Z7" i="19"/>
  <c r="Z8" i="19"/>
  <c r="Z9" i="19"/>
  <c r="Z10" i="19"/>
  <c r="Z11" i="19"/>
  <c r="Z12" i="19"/>
  <c r="Z13" i="19"/>
  <c r="Z14" i="19"/>
  <c r="Z15" i="19"/>
  <c r="Z16" i="19"/>
  <c r="Z17" i="19"/>
  <c r="Z18" i="19"/>
  <c r="Z19" i="19"/>
  <c r="Z20" i="19"/>
  <c r="Z21" i="19"/>
  <c r="Z22" i="19"/>
  <c r="Z23" i="19"/>
  <c r="Z24" i="19"/>
  <c r="Z25" i="19"/>
  <c r="Z26" i="19"/>
  <c r="Z27" i="19"/>
  <c r="Z28" i="19"/>
  <c r="Z29" i="19"/>
  <c r="Z30" i="19"/>
  <c r="Z31" i="19"/>
  <c r="Z32" i="19"/>
  <c r="Z33" i="19"/>
  <c r="Z34" i="19"/>
  <c r="Z35" i="19"/>
  <c r="Z36" i="19"/>
  <c r="Z37" i="19"/>
  <c r="Z38" i="19"/>
  <c r="Z39" i="19"/>
  <c r="Z40" i="19"/>
  <c r="Z41" i="19"/>
  <c r="Z42" i="19"/>
  <c r="Z43" i="19"/>
  <c r="Z44" i="19"/>
  <c r="Z45" i="19"/>
  <c r="Z46" i="19"/>
  <c r="Z47" i="19"/>
  <c r="Z48" i="19"/>
  <c r="Z49" i="19"/>
  <c r="Z50" i="19"/>
  <c r="Z51" i="19"/>
  <c r="Z52" i="19"/>
  <c r="Z53" i="19"/>
  <c r="Z54" i="19"/>
  <c r="Z55" i="19"/>
  <c r="Z56" i="19"/>
  <c r="Z57" i="19"/>
  <c r="Z58" i="19"/>
  <c r="Z59" i="19"/>
  <c r="Z60" i="19"/>
  <c r="Z61" i="19"/>
  <c r="Z62" i="19"/>
  <c r="Z63" i="19"/>
  <c r="Z64" i="19"/>
  <c r="Z65" i="19"/>
  <c r="Z66" i="19"/>
  <c r="Z67" i="19"/>
  <c r="Z68" i="19"/>
  <c r="Z69" i="19"/>
  <c r="Z70" i="19"/>
  <c r="Z71" i="19"/>
  <c r="Z72" i="19"/>
  <c r="Z73" i="19"/>
  <c r="Z74" i="19"/>
  <c r="Z75" i="19"/>
  <c r="Z76" i="19"/>
  <c r="Z77" i="19"/>
  <c r="Z78" i="19"/>
  <c r="Z79" i="19"/>
  <c r="Z80" i="19"/>
  <c r="Z81" i="19"/>
  <c r="Z82" i="19"/>
  <c r="Z83" i="19"/>
  <c r="Z84" i="19"/>
  <c r="Z85" i="19"/>
  <c r="Z86" i="19"/>
  <c r="Z87" i="19"/>
  <c r="Z88" i="19"/>
  <c r="Z89" i="19"/>
  <c r="Z90" i="19"/>
  <c r="Z91" i="19"/>
  <c r="Z92" i="19"/>
  <c r="Z93" i="19"/>
  <c r="Z94" i="19"/>
  <c r="Z95" i="19"/>
  <c r="Z96" i="19"/>
  <c r="Z97" i="19"/>
  <c r="Z98" i="19"/>
  <c r="Z99" i="19"/>
  <c r="Z100" i="19"/>
  <c r="Z2" i="19"/>
  <c r="W3" i="19"/>
  <c r="W4" i="19"/>
  <c r="W5" i="19"/>
  <c r="W6" i="19"/>
  <c r="W7" i="19"/>
  <c r="W8" i="19"/>
  <c r="W9" i="19"/>
  <c r="W10" i="19"/>
  <c r="W11" i="19"/>
  <c r="W12" i="19"/>
  <c r="W13" i="19"/>
  <c r="W14" i="19"/>
  <c r="W15" i="19"/>
  <c r="W16" i="19"/>
  <c r="W17" i="19"/>
  <c r="W18" i="19"/>
  <c r="W19" i="19"/>
  <c r="W20" i="19"/>
  <c r="W21" i="19"/>
  <c r="W22" i="19"/>
  <c r="W23" i="19"/>
  <c r="W24" i="19"/>
  <c r="W25" i="19"/>
  <c r="W26" i="19"/>
  <c r="W27" i="19"/>
  <c r="W28" i="19"/>
  <c r="W29" i="19"/>
  <c r="W30" i="19"/>
  <c r="W31" i="19"/>
  <c r="W32" i="19"/>
  <c r="W33" i="19"/>
  <c r="W34" i="19"/>
  <c r="W35" i="19"/>
  <c r="W36" i="19"/>
  <c r="W37" i="19"/>
  <c r="W38" i="19"/>
  <c r="W39" i="19"/>
  <c r="W40" i="19"/>
  <c r="W41" i="19"/>
  <c r="W42" i="19"/>
  <c r="W43" i="19"/>
  <c r="W44" i="19"/>
  <c r="W45" i="19"/>
  <c r="W46" i="19"/>
  <c r="W47" i="19"/>
  <c r="W48" i="19"/>
  <c r="W49" i="19"/>
  <c r="W50" i="19"/>
  <c r="W51" i="19"/>
  <c r="W52" i="19"/>
  <c r="W53" i="19"/>
  <c r="W54" i="19"/>
  <c r="W55" i="19"/>
  <c r="W56" i="19"/>
  <c r="W57" i="19"/>
  <c r="W58" i="19"/>
  <c r="W59" i="19"/>
  <c r="W60" i="19"/>
  <c r="W61" i="19"/>
  <c r="W62" i="19"/>
  <c r="W63" i="19"/>
  <c r="W64" i="19"/>
  <c r="W65" i="19"/>
  <c r="W66" i="19"/>
  <c r="W67" i="19"/>
  <c r="W68" i="19"/>
  <c r="W69" i="19"/>
  <c r="W70" i="19"/>
  <c r="W71" i="19"/>
  <c r="W72" i="19"/>
  <c r="W73" i="19"/>
  <c r="W74" i="19"/>
  <c r="W75" i="19"/>
  <c r="W76" i="19"/>
  <c r="W77" i="19"/>
  <c r="W78" i="19"/>
  <c r="W79" i="19"/>
  <c r="W80" i="19"/>
  <c r="W81" i="19"/>
  <c r="W82" i="19"/>
  <c r="W83" i="19"/>
  <c r="W84" i="19"/>
  <c r="W85" i="19"/>
  <c r="W86" i="19"/>
  <c r="W87" i="19"/>
  <c r="W88" i="19"/>
  <c r="W89" i="19"/>
  <c r="W90" i="19"/>
  <c r="W91" i="19"/>
  <c r="W92" i="19"/>
  <c r="W93" i="19"/>
  <c r="W94" i="19"/>
  <c r="W95" i="19"/>
  <c r="W96" i="19"/>
  <c r="W97" i="19"/>
  <c r="W98" i="19"/>
  <c r="W99" i="19"/>
  <c r="W100" i="19"/>
  <c r="W2" i="19"/>
  <c r="T3" i="19"/>
  <c r="T4" i="19"/>
  <c r="T5" i="19"/>
  <c r="T6" i="19"/>
  <c r="T7" i="19"/>
  <c r="T8" i="19"/>
  <c r="T9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T37" i="19"/>
  <c r="T38" i="19"/>
  <c r="T39" i="19"/>
  <c r="T40" i="19"/>
  <c r="T41" i="19"/>
  <c r="T42" i="19"/>
  <c r="T43" i="19"/>
  <c r="T44" i="19"/>
  <c r="T45" i="19"/>
  <c r="T46" i="19"/>
  <c r="T47" i="19"/>
  <c r="T48" i="19"/>
  <c r="T49" i="19"/>
  <c r="T50" i="19"/>
  <c r="T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76" i="19"/>
  <c r="T77" i="19"/>
  <c r="T78" i="19"/>
  <c r="T79" i="19"/>
  <c r="T80" i="19"/>
  <c r="T81" i="19"/>
  <c r="T82" i="19"/>
  <c r="T83" i="19"/>
  <c r="T84" i="19"/>
  <c r="T85" i="19"/>
  <c r="T86" i="19"/>
  <c r="T87" i="19"/>
  <c r="T88" i="19"/>
  <c r="T89" i="19"/>
  <c r="T90" i="19"/>
  <c r="T91" i="19"/>
  <c r="T92" i="19"/>
  <c r="T93" i="19"/>
  <c r="T94" i="19"/>
  <c r="T95" i="19"/>
  <c r="T96" i="19"/>
  <c r="T97" i="19"/>
  <c r="T98" i="19"/>
  <c r="T99" i="19"/>
  <c r="T100" i="19"/>
  <c r="T2" i="19"/>
  <c r="K3" i="19"/>
  <c r="K4" i="19"/>
  <c r="K5" i="19"/>
  <c r="K6" i="19"/>
  <c r="K7" i="19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6" i="19"/>
  <c r="K37" i="19"/>
  <c r="K38" i="19"/>
  <c r="K39" i="19"/>
  <c r="K40" i="19"/>
  <c r="K41" i="19"/>
  <c r="K42" i="19"/>
  <c r="K43" i="19"/>
  <c r="K44" i="19"/>
  <c r="K45" i="19"/>
  <c r="K46" i="19"/>
  <c r="K47" i="19"/>
  <c r="K48" i="19"/>
  <c r="K49" i="19"/>
  <c r="K50" i="19"/>
  <c r="K51" i="19"/>
  <c r="K52" i="19"/>
  <c r="K53" i="19"/>
  <c r="K54" i="19"/>
  <c r="K55" i="19"/>
  <c r="K56" i="19"/>
  <c r="K57" i="19"/>
  <c r="K58" i="19"/>
  <c r="K59" i="19"/>
  <c r="K60" i="19"/>
  <c r="K61" i="19"/>
  <c r="K62" i="19"/>
  <c r="K63" i="19"/>
  <c r="K64" i="19"/>
  <c r="K65" i="19"/>
  <c r="K66" i="19"/>
  <c r="K67" i="19"/>
  <c r="K68" i="19"/>
  <c r="K69" i="19"/>
  <c r="K70" i="19"/>
  <c r="K71" i="19"/>
  <c r="K72" i="19"/>
  <c r="K73" i="19"/>
  <c r="K74" i="19"/>
  <c r="K75" i="19"/>
  <c r="K76" i="19"/>
  <c r="K77" i="19"/>
  <c r="K78" i="19"/>
  <c r="K79" i="19"/>
  <c r="K80" i="19"/>
  <c r="K81" i="19"/>
  <c r="K82" i="19"/>
  <c r="K83" i="19"/>
  <c r="K84" i="19"/>
  <c r="K85" i="19"/>
  <c r="K86" i="19"/>
  <c r="K87" i="19"/>
  <c r="K88" i="19"/>
  <c r="K89" i="19"/>
  <c r="K90" i="19"/>
  <c r="K91" i="19"/>
  <c r="K92" i="19"/>
  <c r="K93" i="19"/>
  <c r="K94" i="19"/>
  <c r="K95" i="19"/>
  <c r="K96" i="19"/>
  <c r="K97" i="19"/>
  <c r="K98" i="19"/>
  <c r="K99" i="19"/>
  <c r="K100" i="19"/>
  <c r="K2" i="19"/>
  <c r="Q3" i="19"/>
  <c r="Q4" i="19"/>
  <c r="Q5" i="19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8" i="19"/>
  <c r="Q29" i="19"/>
  <c r="Q30" i="19"/>
  <c r="Q31" i="19"/>
  <c r="Q32" i="19"/>
  <c r="Q33" i="19"/>
  <c r="Q34" i="19"/>
  <c r="Q35" i="19"/>
  <c r="Q36" i="19"/>
  <c r="Q37" i="19"/>
  <c r="Q38" i="19"/>
  <c r="Q39" i="19"/>
  <c r="Q40" i="19"/>
  <c r="Q41" i="19"/>
  <c r="Q42" i="19"/>
  <c r="Q43" i="19"/>
  <c r="Q44" i="19"/>
  <c r="Q45" i="19"/>
  <c r="Q46" i="19"/>
  <c r="Q47" i="19"/>
  <c r="Q48" i="19"/>
  <c r="Q49" i="19"/>
  <c r="Q50" i="19"/>
  <c r="Q51" i="19"/>
  <c r="Q52" i="19"/>
  <c r="Q53" i="19"/>
  <c r="Q54" i="19"/>
  <c r="Q55" i="19"/>
  <c r="Q56" i="19"/>
  <c r="Q57" i="19"/>
  <c r="Q58" i="19"/>
  <c r="Q59" i="19"/>
  <c r="Q60" i="19"/>
  <c r="Q61" i="19"/>
  <c r="Q62" i="19"/>
  <c r="Q63" i="19"/>
  <c r="Q64" i="19"/>
  <c r="Q65" i="19"/>
  <c r="Q66" i="19"/>
  <c r="Q67" i="19"/>
  <c r="Q68" i="19"/>
  <c r="Q69" i="19"/>
  <c r="Q70" i="19"/>
  <c r="Q71" i="19"/>
  <c r="Q72" i="19"/>
  <c r="Q73" i="19"/>
  <c r="Q74" i="19"/>
  <c r="Q75" i="19"/>
  <c r="Q76" i="19"/>
  <c r="Q77" i="19"/>
  <c r="Q78" i="19"/>
  <c r="Q79" i="19"/>
  <c r="Q80" i="19"/>
  <c r="Q81" i="19"/>
  <c r="Q82" i="19"/>
  <c r="Q83" i="19"/>
  <c r="Q84" i="19"/>
  <c r="Q85" i="19"/>
  <c r="Q86" i="19"/>
  <c r="Q87" i="19"/>
  <c r="Q88" i="19"/>
  <c r="Q89" i="19"/>
  <c r="Q90" i="19"/>
  <c r="Q91" i="19"/>
  <c r="Q92" i="19"/>
  <c r="Q93" i="19"/>
  <c r="Q94" i="19"/>
  <c r="Q95" i="19"/>
  <c r="Q96" i="19"/>
  <c r="Q97" i="19"/>
  <c r="Q98" i="19"/>
  <c r="Q99" i="19"/>
  <c r="Q100" i="19"/>
  <c r="Q2" i="19"/>
  <c r="N3" i="19"/>
  <c r="N4" i="19"/>
  <c r="N5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N36" i="19"/>
  <c r="N37" i="19"/>
  <c r="N38" i="19"/>
  <c r="N39" i="19"/>
  <c r="N40" i="19"/>
  <c r="N41" i="19"/>
  <c r="N42" i="19"/>
  <c r="N43" i="19"/>
  <c r="N44" i="19"/>
  <c r="N45" i="19"/>
  <c r="N46" i="19"/>
  <c r="N47" i="19"/>
  <c r="N48" i="19"/>
  <c r="N49" i="19"/>
  <c r="N50" i="19"/>
  <c r="N51" i="19"/>
  <c r="N52" i="19"/>
  <c r="N53" i="19"/>
  <c r="N54" i="19"/>
  <c r="N55" i="19"/>
  <c r="N56" i="19"/>
  <c r="N57" i="19"/>
  <c r="N58" i="19"/>
  <c r="N59" i="19"/>
  <c r="N60" i="19"/>
  <c r="N61" i="19"/>
  <c r="N62" i="19"/>
  <c r="N63" i="19"/>
  <c r="N64" i="19"/>
  <c r="N65" i="19"/>
  <c r="N66" i="19"/>
  <c r="N67" i="19"/>
  <c r="N68" i="19"/>
  <c r="N69" i="19"/>
  <c r="N70" i="19"/>
  <c r="N71" i="19"/>
  <c r="N72" i="19"/>
  <c r="N73" i="19"/>
  <c r="N74" i="19"/>
  <c r="N75" i="19"/>
  <c r="N76" i="19"/>
  <c r="N77" i="19"/>
  <c r="N78" i="19"/>
  <c r="N79" i="19"/>
  <c r="N80" i="19"/>
  <c r="N81" i="19"/>
  <c r="N82" i="19"/>
  <c r="N83" i="19"/>
  <c r="N84" i="19"/>
  <c r="N85" i="19"/>
  <c r="N86" i="19"/>
  <c r="N87" i="19"/>
  <c r="N88" i="19"/>
  <c r="N89" i="19"/>
  <c r="N90" i="19"/>
  <c r="N91" i="19"/>
  <c r="N92" i="19"/>
  <c r="N93" i="19"/>
  <c r="N94" i="19"/>
  <c r="N95" i="19"/>
  <c r="N96" i="19"/>
  <c r="N97" i="19"/>
  <c r="N98" i="19"/>
  <c r="N99" i="19"/>
  <c r="N100" i="19"/>
  <c r="N2" i="19"/>
  <c r="H3" i="19"/>
  <c r="H4" i="19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H52" i="19"/>
  <c r="H53" i="19"/>
  <c r="H54" i="19"/>
  <c r="H55" i="19"/>
  <c r="H56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H69" i="19"/>
  <c r="H70" i="19"/>
  <c r="H71" i="19"/>
  <c r="H72" i="19"/>
  <c r="H73" i="19"/>
  <c r="H74" i="19"/>
  <c r="H75" i="19"/>
  <c r="H76" i="19"/>
  <c r="H77" i="19"/>
  <c r="H78" i="19"/>
  <c r="H79" i="19"/>
  <c r="H80" i="19"/>
  <c r="H81" i="19"/>
  <c r="H82" i="19"/>
  <c r="H83" i="19"/>
  <c r="H84" i="19"/>
  <c r="H85" i="19"/>
  <c r="H86" i="19"/>
  <c r="H87" i="19"/>
  <c r="H88" i="19"/>
  <c r="H89" i="19"/>
  <c r="H90" i="19"/>
  <c r="H91" i="19"/>
  <c r="H92" i="19"/>
  <c r="H93" i="19"/>
  <c r="H94" i="19"/>
  <c r="H95" i="19"/>
  <c r="H96" i="19"/>
  <c r="H97" i="19"/>
  <c r="H98" i="19"/>
  <c r="H99" i="19"/>
  <c r="H100" i="19"/>
  <c r="H2" i="19"/>
  <c r="J5" i="4"/>
  <c r="L21" i="5"/>
  <c r="M21" i="5" s="1"/>
  <c r="I21" i="5"/>
  <c r="L20" i="5"/>
  <c r="M20" i="5" s="1"/>
  <c r="I20" i="5"/>
  <c r="R19" i="5"/>
  <c r="R20" i="5"/>
  <c r="R21" i="5"/>
  <c r="L19" i="5"/>
  <c r="M19" i="5" s="1"/>
  <c r="I19" i="5"/>
  <c r="R18" i="5"/>
  <c r="L18" i="5"/>
  <c r="M18" i="5" s="1"/>
  <c r="I18" i="5"/>
  <c r="AA7" i="2" l="1"/>
  <c r="AB7" i="2" s="1"/>
  <c r="AC7" i="2" s="1"/>
  <c r="Y7" i="2"/>
  <c r="Z7" i="2" s="1"/>
  <c r="AA8" i="2"/>
  <c r="AB8" i="2" s="1"/>
  <c r="AC8" i="2" s="1"/>
  <c r="Y8" i="2"/>
  <c r="Z8" i="2" s="1"/>
  <c r="W5" i="26"/>
  <c r="X5" i="26" s="1"/>
  <c r="U18" i="5"/>
  <c r="V18" i="5" s="1"/>
  <c r="S18" i="5"/>
  <c r="U20" i="5"/>
  <c r="V20" i="5" s="1"/>
  <c r="S20" i="5"/>
  <c r="U19" i="5"/>
  <c r="V19" i="5" s="1"/>
  <c r="S19" i="5"/>
  <c r="U21" i="5"/>
  <c r="V21" i="5" s="1"/>
  <c r="S21" i="5"/>
  <c r="N8" i="2"/>
  <c r="M8" i="2"/>
  <c r="N7" i="2"/>
  <c r="M7" i="2"/>
  <c r="N21" i="5"/>
  <c r="N20" i="5"/>
  <c r="N19" i="5"/>
  <c r="N18" i="5"/>
  <c r="D18" i="5" l="1"/>
  <c r="D19" i="5"/>
  <c r="D20" i="5"/>
  <c r="D21" i="5"/>
  <c r="AF21" i="5" l="1"/>
  <c r="AC21" i="5"/>
  <c r="T20" i="5"/>
  <c r="AF20" i="5"/>
  <c r="AC20" i="5"/>
  <c r="T19" i="5"/>
  <c r="AF19" i="5"/>
  <c r="AC19" i="5"/>
  <c r="T18" i="5"/>
  <c r="AF18" i="5"/>
  <c r="AC18" i="5"/>
  <c r="T21" i="5"/>
  <c r="O21" i="5"/>
  <c r="J21" i="5"/>
  <c r="W21" i="5"/>
  <c r="O20" i="5"/>
  <c r="J20" i="5"/>
  <c r="W20" i="5"/>
  <c r="O19" i="5"/>
  <c r="J19" i="5"/>
  <c r="W19" i="5"/>
  <c r="O18" i="5"/>
  <c r="J18" i="5"/>
  <c r="W18" i="5"/>
  <c r="I6" i="8"/>
  <c r="R6" i="8" s="1"/>
  <c r="I5" i="8"/>
  <c r="R5" i="8" s="1"/>
  <c r="L12" i="9"/>
  <c r="L11" i="9"/>
  <c r="L6" i="10"/>
  <c r="M6" i="10" s="1"/>
  <c r="L5" i="10"/>
  <c r="H6" i="10"/>
  <c r="I6" i="10" s="1"/>
  <c r="H5" i="10"/>
  <c r="I5" i="10" s="1"/>
  <c r="I6" i="9"/>
  <c r="I7" i="9"/>
  <c r="I8" i="9"/>
  <c r="I9" i="9"/>
  <c r="I10" i="9"/>
  <c r="I11" i="9"/>
  <c r="I12" i="9"/>
  <c r="I13" i="9"/>
  <c r="I5" i="9"/>
  <c r="F6" i="9"/>
  <c r="Y6" i="9" s="1"/>
  <c r="F7" i="9"/>
  <c r="Y7" i="9" s="1"/>
  <c r="F8" i="9"/>
  <c r="Y8" i="9" s="1"/>
  <c r="F9" i="9"/>
  <c r="Y9" i="9" s="1"/>
  <c r="F10" i="9"/>
  <c r="Y10" i="9" s="1"/>
  <c r="F11" i="9"/>
  <c r="Y11" i="9" s="1"/>
  <c r="F12" i="9"/>
  <c r="Y12" i="9" s="1"/>
  <c r="F13" i="9"/>
  <c r="Y13" i="9" s="1"/>
  <c r="F5" i="9"/>
  <c r="Y5" i="9" s="1"/>
  <c r="D5" i="9"/>
  <c r="L5" i="9" s="1"/>
  <c r="D6" i="9"/>
  <c r="L6" i="9" s="1"/>
  <c r="D7" i="9"/>
  <c r="D8" i="9"/>
  <c r="M8" i="9" s="1"/>
  <c r="N8" i="9" s="1"/>
  <c r="D9" i="9"/>
  <c r="M9" i="9" s="1"/>
  <c r="D10" i="9"/>
  <c r="M10" i="9" s="1"/>
  <c r="D11" i="9"/>
  <c r="D12" i="9"/>
  <c r="D13" i="9"/>
  <c r="F6" i="8"/>
  <c r="F5" i="8"/>
  <c r="C6" i="8"/>
  <c r="C5" i="8"/>
  <c r="V12" i="7"/>
  <c r="W12" i="7" s="1"/>
  <c r="V11" i="7"/>
  <c r="W11" i="7" s="1"/>
  <c r="V8" i="7"/>
  <c r="W8" i="7" s="1"/>
  <c r="V7" i="7"/>
  <c r="W7" i="7" s="1"/>
  <c r="T10" i="7"/>
  <c r="W10" i="7" s="1"/>
  <c r="T9" i="7"/>
  <c r="W9" i="7" s="1"/>
  <c r="T6" i="7"/>
  <c r="W6" i="7" s="1"/>
  <c r="T5" i="7"/>
  <c r="W5" i="7" s="1"/>
  <c r="E6" i="7"/>
  <c r="N6" i="7" s="1"/>
  <c r="J6" i="7"/>
  <c r="J7" i="7"/>
  <c r="J8" i="7"/>
  <c r="J9" i="7"/>
  <c r="J10" i="7"/>
  <c r="J11" i="7"/>
  <c r="J12" i="7"/>
  <c r="J5" i="7"/>
  <c r="E7" i="7"/>
  <c r="G7" i="7" s="1"/>
  <c r="E8" i="7"/>
  <c r="G8" i="7" s="1"/>
  <c r="E9" i="7"/>
  <c r="N9" i="7" s="1"/>
  <c r="E10" i="7"/>
  <c r="G10" i="7" s="1"/>
  <c r="E11" i="7"/>
  <c r="G11" i="7" s="1"/>
  <c r="E12" i="7"/>
  <c r="G12" i="7" s="1"/>
  <c r="E5" i="7"/>
  <c r="G5" i="7" s="1"/>
  <c r="Z7" i="6"/>
  <c r="Z6" i="6"/>
  <c r="Y5" i="6"/>
  <c r="AA5" i="6" s="1"/>
  <c r="J6" i="6"/>
  <c r="J7" i="6"/>
  <c r="J5" i="6"/>
  <c r="E6" i="6"/>
  <c r="E7" i="6"/>
  <c r="K7" i="6" s="1"/>
  <c r="E5" i="6"/>
  <c r="K5" i="6" s="1"/>
  <c r="C6" i="6"/>
  <c r="C7" i="6"/>
  <c r="C5" i="6"/>
  <c r="D6" i="5"/>
  <c r="D7" i="5"/>
  <c r="D8" i="5"/>
  <c r="D9" i="5"/>
  <c r="D10" i="5"/>
  <c r="D11" i="5"/>
  <c r="D12" i="5"/>
  <c r="D13" i="5"/>
  <c r="D14" i="5"/>
  <c r="D15" i="5"/>
  <c r="D16" i="5"/>
  <c r="D17" i="5"/>
  <c r="D5" i="5"/>
  <c r="R6" i="5"/>
  <c r="R7" i="5"/>
  <c r="R8" i="5"/>
  <c r="R9" i="5"/>
  <c r="R10" i="5"/>
  <c r="R11" i="5"/>
  <c r="R12" i="5"/>
  <c r="R13" i="5"/>
  <c r="R14" i="5"/>
  <c r="R15" i="5"/>
  <c r="R16" i="5"/>
  <c r="R17" i="5"/>
  <c r="R5" i="5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L15" i="5"/>
  <c r="M15" i="5" s="1"/>
  <c r="L16" i="5"/>
  <c r="M16" i="5" s="1"/>
  <c r="L17" i="5"/>
  <c r="M17" i="5" s="1"/>
  <c r="L5" i="5"/>
  <c r="M5" i="5" s="1"/>
  <c r="I6" i="5"/>
  <c r="I7" i="5"/>
  <c r="I8" i="5"/>
  <c r="I9" i="5"/>
  <c r="I10" i="5"/>
  <c r="I11" i="5"/>
  <c r="I12" i="5"/>
  <c r="I13" i="5"/>
  <c r="I14" i="5"/>
  <c r="I15" i="5"/>
  <c r="I16" i="5"/>
  <c r="I17" i="5"/>
  <c r="I5" i="5"/>
  <c r="K5" i="4"/>
  <c r="L5" i="4" s="1"/>
  <c r="R5" i="3"/>
  <c r="S5" i="3" s="1"/>
  <c r="L5" i="3"/>
  <c r="D5" i="3"/>
  <c r="Q6" i="2"/>
  <c r="R6" i="2" s="1"/>
  <c r="Q5" i="2"/>
  <c r="R5" i="2" s="1"/>
  <c r="J6" i="2"/>
  <c r="K6" i="2" s="1"/>
  <c r="J5" i="2"/>
  <c r="F6" i="2"/>
  <c r="F5" i="2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5" i="1"/>
  <c r="AF5" i="5" l="1"/>
  <c r="AC5" i="5"/>
  <c r="AF15" i="5"/>
  <c r="AC15" i="5"/>
  <c r="AF14" i="5"/>
  <c r="AC14" i="5"/>
  <c r="AC6" i="5"/>
  <c r="AF6" i="5"/>
  <c r="AF10" i="5"/>
  <c r="AC10" i="5"/>
  <c r="AC9" i="5"/>
  <c r="AF9" i="5"/>
  <c r="Q5" i="8"/>
  <c r="Q6" i="8"/>
  <c r="AC13" i="5"/>
  <c r="AF13" i="5"/>
  <c r="AC17" i="5"/>
  <c r="AF17" i="5"/>
  <c r="AF16" i="5"/>
  <c r="AC16" i="5"/>
  <c r="G5" i="8"/>
  <c r="AF12" i="5"/>
  <c r="AC12" i="5"/>
  <c r="AF8" i="5"/>
  <c r="AC8" i="5"/>
  <c r="AF7" i="5"/>
  <c r="AC7" i="5"/>
  <c r="AF11" i="5"/>
  <c r="AC11" i="5"/>
  <c r="V7" i="9"/>
  <c r="G7" i="9"/>
  <c r="V5" i="9"/>
  <c r="G5" i="9"/>
  <c r="V6" i="9"/>
  <c r="G6" i="9"/>
  <c r="V13" i="9"/>
  <c r="G13" i="9"/>
  <c r="V12" i="9"/>
  <c r="G12" i="9"/>
  <c r="V8" i="9"/>
  <c r="G8" i="9"/>
  <c r="AF8" i="9"/>
  <c r="AC8" i="9"/>
  <c r="V11" i="9"/>
  <c r="G11" i="9"/>
  <c r="V10" i="9"/>
  <c r="G10" i="9"/>
  <c r="AC10" i="9"/>
  <c r="AF10" i="9"/>
  <c r="V9" i="9"/>
  <c r="G9" i="9"/>
  <c r="AC9" i="9"/>
  <c r="AF9" i="9"/>
  <c r="M6" i="9"/>
  <c r="N6" i="9" s="1"/>
  <c r="AA6" i="9"/>
  <c r="M5" i="9"/>
  <c r="AA5" i="9"/>
  <c r="S5" i="8"/>
  <c r="T5" i="8" s="1"/>
  <c r="U5" i="8"/>
  <c r="S6" i="8"/>
  <c r="T6" i="8" s="1"/>
  <c r="U6" i="8"/>
  <c r="J13" i="9"/>
  <c r="K13" i="9" s="1"/>
  <c r="W5" i="10"/>
  <c r="X5" i="10"/>
  <c r="S5" i="10"/>
  <c r="T5" i="10" s="1"/>
  <c r="AC5" i="3"/>
  <c r="AD5" i="3" s="1"/>
  <c r="AE5" i="3" s="1"/>
  <c r="AA5" i="3"/>
  <c r="AB5" i="3" s="1"/>
  <c r="K12" i="7"/>
  <c r="L12" i="7" s="1"/>
  <c r="M12" i="7" s="1"/>
  <c r="K11" i="7"/>
  <c r="L11" i="7" s="1"/>
  <c r="M11" i="7" s="1"/>
  <c r="K7" i="7"/>
  <c r="L7" i="7" s="1"/>
  <c r="M7" i="7" s="1"/>
  <c r="J12" i="9"/>
  <c r="K12" i="9" s="1"/>
  <c r="J11" i="9"/>
  <c r="K11" i="9" s="1"/>
  <c r="U11" i="5"/>
  <c r="V11" i="5" s="1"/>
  <c r="W11" i="5" s="1"/>
  <c r="S11" i="5"/>
  <c r="T11" i="5" s="1"/>
  <c r="U5" i="5"/>
  <c r="V5" i="5" s="1"/>
  <c r="W5" i="5" s="1"/>
  <c r="S5" i="5"/>
  <c r="T5" i="5" s="1"/>
  <c r="U10" i="5"/>
  <c r="V10" i="5" s="1"/>
  <c r="W10" i="5" s="1"/>
  <c r="S10" i="5"/>
  <c r="T10" i="5" s="1"/>
  <c r="J15" i="5"/>
  <c r="J7" i="5"/>
  <c r="U17" i="5"/>
  <c r="V17" i="5" s="1"/>
  <c r="W17" i="5" s="1"/>
  <c r="S17" i="5"/>
  <c r="T17" i="5" s="1"/>
  <c r="U9" i="5"/>
  <c r="V9" i="5" s="1"/>
  <c r="W9" i="5" s="1"/>
  <c r="S9" i="5"/>
  <c r="T9" i="5" s="1"/>
  <c r="U12" i="5"/>
  <c r="V12" i="5" s="1"/>
  <c r="W12" i="5" s="1"/>
  <c r="S12" i="5"/>
  <c r="T12" i="5" s="1"/>
  <c r="U16" i="5"/>
  <c r="V16" i="5" s="1"/>
  <c r="W16" i="5" s="1"/>
  <c r="S16" i="5"/>
  <c r="T16" i="5" s="1"/>
  <c r="U15" i="5"/>
  <c r="V15" i="5" s="1"/>
  <c r="W15" i="5" s="1"/>
  <c r="S15" i="5"/>
  <c r="T15" i="5" s="1"/>
  <c r="U7" i="5"/>
  <c r="V7" i="5" s="1"/>
  <c r="W7" i="5" s="1"/>
  <c r="S7" i="5"/>
  <c r="T7" i="5" s="1"/>
  <c r="U8" i="5"/>
  <c r="V8" i="5" s="1"/>
  <c r="W8" i="5" s="1"/>
  <c r="S8" i="5"/>
  <c r="T8" i="5" s="1"/>
  <c r="U14" i="5"/>
  <c r="V14" i="5" s="1"/>
  <c r="W14" i="5" s="1"/>
  <c r="S14" i="5"/>
  <c r="T14" i="5" s="1"/>
  <c r="U6" i="5"/>
  <c r="V6" i="5" s="1"/>
  <c r="W6" i="5" s="1"/>
  <c r="S6" i="5"/>
  <c r="T6" i="5" s="1"/>
  <c r="U13" i="5"/>
  <c r="V13" i="5" s="1"/>
  <c r="W13" i="5" s="1"/>
  <c r="S13" i="5"/>
  <c r="T13" i="5" s="1"/>
  <c r="X7" i="7"/>
  <c r="Y7" i="7" s="1"/>
  <c r="Z7" i="7"/>
  <c r="Z8" i="7"/>
  <c r="X8" i="7"/>
  <c r="Y8" i="7" s="1"/>
  <c r="Z12" i="7"/>
  <c r="X12" i="7"/>
  <c r="Y12" i="7" s="1"/>
  <c r="Z5" i="7"/>
  <c r="AA5" i="7" s="1"/>
  <c r="AB5" i="7" s="1"/>
  <c r="X5" i="7"/>
  <c r="Y5" i="7" s="1"/>
  <c r="X6" i="7"/>
  <c r="Y6" i="7" s="1"/>
  <c r="Z6" i="7"/>
  <c r="AA6" i="7" s="1"/>
  <c r="AB6" i="7" s="1"/>
  <c r="Z11" i="7"/>
  <c r="X11" i="7"/>
  <c r="Y11" i="7" s="1"/>
  <c r="Z9" i="7"/>
  <c r="AA9" i="7" s="1"/>
  <c r="AB9" i="7" s="1"/>
  <c r="X9" i="7"/>
  <c r="Y9" i="7" s="1"/>
  <c r="X10" i="7"/>
  <c r="Y10" i="7" s="1"/>
  <c r="Z10" i="7"/>
  <c r="AA10" i="7" s="1"/>
  <c r="AB10" i="7" s="1"/>
  <c r="K10" i="7"/>
  <c r="L10" i="7" s="1"/>
  <c r="M10" i="7" s="1"/>
  <c r="K8" i="7"/>
  <c r="L8" i="7" s="1"/>
  <c r="M8" i="7" s="1"/>
  <c r="K5" i="7"/>
  <c r="L5" i="7" s="1"/>
  <c r="M5" i="7" s="1"/>
  <c r="G9" i="7"/>
  <c r="K9" i="7" s="1"/>
  <c r="L9" i="7" s="1"/>
  <c r="G6" i="8"/>
  <c r="AB6" i="6"/>
  <c r="AC6" i="6" s="1"/>
  <c r="AD6" i="6" s="1"/>
  <c r="AE6" i="6" s="1"/>
  <c r="AA6" i="6"/>
  <c r="AK6" i="6" s="1"/>
  <c r="AL6" i="6" s="1"/>
  <c r="AC5" i="6"/>
  <c r="AD5" i="6" s="1"/>
  <c r="AE5" i="6" s="1"/>
  <c r="AK5" i="6"/>
  <c r="AL5" i="6" s="1"/>
  <c r="AB7" i="6"/>
  <c r="AC7" i="6" s="1"/>
  <c r="AD7" i="6" s="1"/>
  <c r="AE7" i="6" s="1"/>
  <c r="AA7" i="6"/>
  <c r="AK7" i="6" s="1"/>
  <c r="AL7" i="6" s="1"/>
  <c r="X6" i="2"/>
  <c r="X5" i="2"/>
  <c r="J5" i="8"/>
  <c r="L5" i="8" s="1"/>
  <c r="M5" i="8" s="1"/>
  <c r="J14" i="5"/>
  <c r="J6" i="5"/>
  <c r="J13" i="5"/>
  <c r="J12" i="5"/>
  <c r="J11" i="5"/>
  <c r="J5" i="5"/>
  <c r="J10" i="5"/>
  <c r="N10" i="5"/>
  <c r="O10" i="5" s="1"/>
  <c r="J17" i="5"/>
  <c r="J9" i="5"/>
  <c r="N5" i="5"/>
  <c r="O5" i="5" s="1"/>
  <c r="J16" i="5"/>
  <c r="J8" i="5"/>
  <c r="J5" i="3"/>
  <c r="M5" i="3" s="1"/>
  <c r="N5" i="3" s="1"/>
  <c r="O5" i="3" s="1"/>
  <c r="H5" i="2"/>
  <c r="G5" i="2"/>
  <c r="H6" i="2"/>
  <c r="G6" i="2"/>
  <c r="N6" i="10"/>
  <c r="O6" i="10"/>
  <c r="P6" i="10" s="1"/>
  <c r="M5" i="10"/>
  <c r="M11" i="9"/>
  <c r="M12" i="9"/>
  <c r="O12" i="9" s="1"/>
  <c r="J10" i="9"/>
  <c r="K10" i="9" s="1"/>
  <c r="J8" i="9"/>
  <c r="K8" i="9" s="1"/>
  <c r="J7" i="9"/>
  <c r="K7" i="9" s="1"/>
  <c r="N5" i="9"/>
  <c r="N10" i="9"/>
  <c r="N9" i="9"/>
  <c r="J9" i="9"/>
  <c r="L7" i="9"/>
  <c r="M13" i="9"/>
  <c r="J5" i="9"/>
  <c r="J6" i="9"/>
  <c r="K6" i="9" s="1"/>
  <c r="J6" i="8"/>
  <c r="L6" i="8" s="1"/>
  <c r="M6" i="8" s="1"/>
  <c r="N12" i="7"/>
  <c r="O6" i="7"/>
  <c r="O9" i="7"/>
  <c r="N11" i="7"/>
  <c r="N10" i="7"/>
  <c r="N8" i="7"/>
  <c r="N7" i="7"/>
  <c r="N5" i="7"/>
  <c r="L6" i="6"/>
  <c r="M6" i="6" s="1"/>
  <c r="L5" i="6"/>
  <c r="M5" i="6" s="1"/>
  <c r="N5" i="6" s="1"/>
  <c r="N8" i="5"/>
  <c r="O8" i="5" s="1"/>
  <c r="M5" i="4"/>
  <c r="L6" i="2"/>
  <c r="N13" i="5"/>
  <c r="O13" i="5" s="1"/>
  <c r="N12" i="5"/>
  <c r="O12" i="5" s="1"/>
  <c r="N6" i="5"/>
  <c r="O6" i="5" s="1"/>
  <c r="N7" i="5"/>
  <c r="O7" i="5" s="1"/>
  <c r="L5" i="2"/>
  <c r="K5" i="2"/>
  <c r="G6" i="7"/>
  <c r="K6" i="7" s="1"/>
  <c r="L6" i="7" s="1"/>
  <c r="L7" i="6"/>
  <c r="M7" i="6" s="1"/>
  <c r="N7" i="6" s="1"/>
  <c r="K6" i="6"/>
  <c r="N11" i="5"/>
  <c r="O11" i="5" s="1"/>
  <c r="N9" i="5"/>
  <c r="O9" i="5" s="1"/>
  <c r="N14" i="5"/>
  <c r="O14" i="5" s="1"/>
  <c r="M14" i="5"/>
  <c r="N17" i="5"/>
  <c r="O17" i="5" s="1"/>
  <c r="N16" i="5"/>
  <c r="O16" i="5" s="1"/>
  <c r="N15" i="5"/>
  <c r="O15" i="5" s="1"/>
  <c r="P19" i="1"/>
  <c r="P11" i="1"/>
  <c r="P18" i="1"/>
  <c r="P10" i="1"/>
  <c r="P17" i="1"/>
  <c r="P16" i="1"/>
  <c r="P9" i="1"/>
  <c r="P15" i="1"/>
  <c r="P8" i="1"/>
  <c r="P14" i="1"/>
  <c r="P7" i="1"/>
  <c r="P13" i="1"/>
  <c r="P6" i="1"/>
  <c r="P5" i="1"/>
  <c r="P12" i="1"/>
  <c r="O5" i="4" l="1"/>
  <c r="N5" i="4"/>
  <c r="AB5" i="9"/>
  <c r="AC5" i="9" s="1"/>
  <c r="AD5" i="9"/>
  <c r="AE5" i="9" s="1"/>
  <c r="AF5" i="9" s="1"/>
  <c r="AB6" i="9"/>
  <c r="AC6" i="9" s="1"/>
  <c r="AD6" i="9"/>
  <c r="AE6" i="9" s="1"/>
  <c r="AF6" i="9" s="1"/>
  <c r="M7" i="9"/>
  <c r="O7" i="9" s="1"/>
  <c r="AA7" i="9"/>
  <c r="AA5" i="10"/>
  <c r="AB5" i="10" s="1"/>
  <c r="AC5" i="10" s="1"/>
  <c r="Y5" i="10"/>
  <c r="Z5" i="10" s="1"/>
  <c r="X6" i="8"/>
  <c r="Y6" i="8" s="1"/>
  <c r="Z6" i="8" s="1"/>
  <c r="V6" i="8"/>
  <c r="W6" i="8" s="1"/>
  <c r="X5" i="8"/>
  <c r="Y5" i="8" s="1"/>
  <c r="Z5" i="8" s="1"/>
  <c r="V5" i="8"/>
  <c r="W5" i="8" s="1"/>
  <c r="AO7" i="6"/>
  <c r="AP7" i="6" s="1"/>
  <c r="AQ7" i="6" s="1"/>
  <c r="AM7" i="6"/>
  <c r="AN7" i="6" s="1"/>
  <c r="AO5" i="6"/>
  <c r="AP5" i="6" s="1"/>
  <c r="AQ5" i="6" s="1"/>
  <c r="AM5" i="6"/>
  <c r="AN5" i="6" s="1"/>
  <c r="AO6" i="6"/>
  <c r="AP6" i="6" s="1"/>
  <c r="AQ6" i="6" s="1"/>
  <c r="AM6" i="6"/>
  <c r="AN6" i="6" s="1"/>
  <c r="AA5" i="2"/>
  <c r="AB5" i="2" s="1"/>
  <c r="AC5" i="2" s="1"/>
  <c r="Y5" i="2"/>
  <c r="Z5" i="2" s="1"/>
  <c r="AA6" i="2"/>
  <c r="AB6" i="2" s="1"/>
  <c r="AC6" i="2" s="1"/>
  <c r="Y6" i="2"/>
  <c r="Z6" i="2" s="1"/>
  <c r="AA12" i="7"/>
  <c r="AB12" i="7" s="1"/>
  <c r="AC12" i="7"/>
  <c r="AA11" i="7"/>
  <c r="AB11" i="7" s="1"/>
  <c r="AC11" i="7"/>
  <c r="AA8" i="7"/>
  <c r="AB8" i="7" s="1"/>
  <c r="AC8" i="7"/>
  <c r="AA7" i="7"/>
  <c r="AB7" i="7" s="1"/>
  <c r="AC7" i="7"/>
  <c r="O5" i="6"/>
  <c r="U5" i="6" s="1"/>
  <c r="V5" i="6" s="1"/>
  <c r="O7" i="6"/>
  <c r="P7" i="6" s="1"/>
  <c r="S6" i="10"/>
  <c r="T6" i="10" s="1"/>
  <c r="U5" i="2"/>
  <c r="V5" i="2" s="1"/>
  <c r="W5" i="2" s="1"/>
  <c r="S5" i="2"/>
  <c r="T5" i="2" s="1"/>
  <c r="U6" i="2"/>
  <c r="V6" i="2" s="1"/>
  <c r="W6" i="2" s="1"/>
  <c r="S6" i="2"/>
  <c r="T6" i="2" s="1"/>
  <c r="AH7" i="6"/>
  <c r="AI7" i="6" s="1"/>
  <c r="AJ7" i="6" s="1"/>
  <c r="AF7" i="6"/>
  <c r="AG7" i="6" s="1"/>
  <c r="AH5" i="6"/>
  <c r="AI5" i="6" s="1"/>
  <c r="AJ5" i="6" s="1"/>
  <c r="AF5" i="6"/>
  <c r="AG5" i="6" s="1"/>
  <c r="AH6" i="6"/>
  <c r="AI6" i="6" s="1"/>
  <c r="AJ6" i="6" s="1"/>
  <c r="AF6" i="6"/>
  <c r="AG6" i="6" s="1"/>
  <c r="P12" i="7"/>
  <c r="Q12" i="7" s="1"/>
  <c r="O10" i="9"/>
  <c r="P10" i="9" s="1"/>
  <c r="N12" i="9"/>
  <c r="O11" i="9"/>
  <c r="P11" i="9" s="1"/>
  <c r="P12" i="9"/>
  <c r="N11" i="9"/>
  <c r="K5" i="8"/>
  <c r="O12" i="7"/>
  <c r="N6" i="2"/>
  <c r="M6" i="2"/>
  <c r="N5" i="2"/>
  <c r="M5" i="2"/>
  <c r="N6" i="6"/>
  <c r="O5" i="10"/>
  <c r="P5" i="10" s="1"/>
  <c r="N5" i="10"/>
  <c r="O9" i="9"/>
  <c r="K9" i="9"/>
  <c r="O5" i="9"/>
  <c r="K5" i="9"/>
  <c r="O6" i="9"/>
  <c r="O8" i="9"/>
  <c r="O13" i="9"/>
  <c r="N13" i="9"/>
  <c r="K6" i="8"/>
  <c r="P6" i="7"/>
  <c r="M6" i="7"/>
  <c r="P9" i="7"/>
  <c r="Q9" i="7" s="1"/>
  <c r="M9" i="7"/>
  <c r="P5" i="7"/>
  <c r="O5" i="7"/>
  <c r="P11" i="7"/>
  <c r="Q11" i="7" s="1"/>
  <c r="O11" i="7"/>
  <c r="P10" i="7"/>
  <c r="Q10" i="7" s="1"/>
  <c r="O10" i="7"/>
  <c r="P7" i="7"/>
  <c r="O7" i="7"/>
  <c r="P8" i="7"/>
  <c r="Q8" i="7" s="1"/>
  <c r="O8" i="7"/>
  <c r="T5" i="3"/>
  <c r="P5" i="3"/>
  <c r="T6" i="6"/>
  <c r="T5" i="6"/>
  <c r="T7" i="6"/>
  <c r="Q6" i="7" l="1"/>
  <c r="Q5" i="7"/>
  <c r="Q7" i="7"/>
  <c r="U7" i="6"/>
  <c r="V7" i="6" s="1"/>
  <c r="AD7" i="9"/>
  <c r="AE7" i="9" s="1"/>
  <c r="AF7" i="9" s="1"/>
  <c r="AB7" i="9"/>
  <c r="AC7" i="9" s="1"/>
  <c r="N7" i="9"/>
  <c r="AF7" i="7"/>
  <c r="AG7" i="7" s="1"/>
  <c r="AH7" i="7" s="1"/>
  <c r="AD7" i="7"/>
  <c r="AE7" i="7" s="1"/>
  <c r="AF11" i="7"/>
  <c r="AG11" i="7" s="1"/>
  <c r="AH11" i="7" s="1"/>
  <c r="AD11" i="7"/>
  <c r="AE11" i="7" s="1"/>
  <c r="AF8" i="7"/>
  <c r="AG8" i="7" s="1"/>
  <c r="AH8" i="7" s="1"/>
  <c r="AD8" i="7"/>
  <c r="AE8" i="7" s="1"/>
  <c r="AF12" i="7"/>
  <c r="AG12" i="7" s="1"/>
  <c r="AH12" i="7" s="1"/>
  <c r="AD12" i="7"/>
  <c r="AE12" i="7" s="1"/>
  <c r="P5" i="6"/>
  <c r="O6" i="6"/>
  <c r="U6" i="6" s="1"/>
  <c r="V6" i="6" s="1"/>
  <c r="W6" i="10"/>
  <c r="X6" i="10"/>
  <c r="P7" i="9"/>
  <c r="P8" i="9"/>
  <c r="P6" i="9"/>
  <c r="P5" i="9"/>
  <c r="P13" i="9"/>
  <c r="P9" i="9"/>
  <c r="V5" i="3"/>
  <c r="U5" i="3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  <c r="AA6" i="10" l="1"/>
  <c r="AB6" i="10" s="1"/>
  <c r="AC6" i="10" s="1"/>
  <c r="Y6" i="10"/>
  <c r="Z6" i="10" s="1"/>
  <c r="P6" i="6"/>
  <c r="H18" i="1"/>
  <c r="H13" i="1"/>
  <c r="H14" i="1"/>
  <c r="H10" i="1"/>
  <c r="J10" i="1" s="1"/>
  <c r="H6" i="1"/>
  <c r="H19" i="1"/>
  <c r="H15" i="1"/>
  <c r="H7" i="1"/>
  <c r="H5" i="1"/>
  <c r="H12" i="1"/>
  <c r="H11" i="1"/>
  <c r="H17" i="1"/>
  <c r="H9" i="1"/>
  <c r="H16" i="1"/>
  <c r="H8" i="1"/>
  <c r="L18" i="1" l="1"/>
  <c r="U18" i="1"/>
  <c r="V18" i="1" s="1"/>
  <c r="J18" i="1"/>
  <c r="J19" i="1"/>
  <c r="U19" i="1"/>
  <c r="V19" i="1" s="1"/>
  <c r="Q18" i="1"/>
  <c r="L6" i="1"/>
  <c r="J6" i="1"/>
  <c r="L14" i="1"/>
  <c r="J14" i="1"/>
  <c r="L13" i="1"/>
  <c r="J13" i="1"/>
  <c r="L9" i="1"/>
  <c r="J9" i="1"/>
  <c r="L11" i="1"/>
  <c r="J11" i="1"/>
  <c r="L12" i="1"/>
  <c r="J12" i="1"/>
  <c r="L8" i="1"/>
  <c r="J8" i="1"/>
  <c r="L5" i="1"/>
  <c r="J5" i="1"/>
  <c r="L15" i="1"/>
  <c r="J15" i="1"/>
  <c r="L17" i="1"/>
  <c r="J17" i="1"/>
  <c r="L16" i="1"/>
  <c r="J16" i="1"/>
  <c r="L7" i="1"/>
  <c r="J7" i="1"/>
  <c r="Q13" i="1"/>
  <c r="U13" i="1"/>
  <c r="V13" i="1" s="1"/>
  <c r="U7" i="1"/>
  <c r="V7" i="1" s="1"/>
  <c r="Q14" i="1"/>
  <c r="U14" i="1"/>
  <c r="V14" i="1" s="1"/>
  <c r="U6" i="1"/>
  <c r="V6" i="1" s="1"/>
  <c r="Q6" i="1"/>
  <c r="Q15" i="1"/>
  <c r="Q7" i="1"/>
  <c r="Q19" i="1"/>
  <c r="L19" i="1"/>
  <c r="Q10" i="1"/>
  <c r="L10" i="1"/>
  <c r="U15" i="1"/>
  <c r="V15" i="1" s="1"/>
  <c r="U10" i="1"/>
  <c r="V10" i="1" s="1"/>
  <c r="Q9" i="1"/>
  <c r="U9" i="1"/>
  <c r="V9" i="1" s="1"/>
  <c r="Q17" i="1"/>
  <c r="U17" i="1"/>
  <c r="V17" i="1" s="1"/>
  <c r="Q12" i="1"/>
  <c r="U12" i="1"/>
  <c r="V12" i="1" s="1"/>
  <c r="Q5" i="1"/>
  <c r="U5" i="1"/>
  <c r="V5" i="1" s="1"/>
  <c r="Q8" i="1"/>
  <c r="U8" i="1"/>
  <c r="V8" i="1" s="1"/>
  <c r="Q16" i="1"/>
  <c r="U16" i="1"/>
  <c r="V16" i="1" s="1"/>
  <c r="Q11" i="1"/>
  <c r="U11" i="1"/>
  <c r="V11" i="1" s="1"/>
  <c r="W18" i="1" l="1"/>
  <c r="AD18" i="1" s="1"/>
  <c r="X18" i="1"/>
  <c r="X19" i="1"/>
  <c r="W19" i="1"/>
  <c r="AD19" i="1" s="1"/>
  <c r="W12" i="1"/>
  <c r="AD12" i="1" s="1"/>
  <c r="W16" i="1"/>
  <c r="AD16" i="1" s="1"/>
  <c r="W17" i="1"/>
  <c r="AD17" i="1" s="1"/>
  <c r="W7" i="1"/>
  <c r="AD7" i="1" s="1"/>
  <c r="W13" i="1"/>
  <c r="AD13" i="1" s="1"/>
  <c r="W14" i="1"/>
  <c r="AD14" i="1" s="1"/>
  <c r="W8" i="1"/>
  <c r="AD8" i="1" s="1"/>
  <c r="W9" i="1"/>
  <c r="AD9" i="1" s="1"/>
  <c r="W5" i="1"/>
  <c r="AD5" i="1" s="1"/>
  <c r="W11" i="1"/>
  <c r="AD11" i="1" s="1"/>
  <c r="W10" i="1"/>
  <c r="AD10" i="1" s="1"/>
  <c r="W15" i="1"/>
  <c r="AD15" i="1" s="1"/>
  <c r="W6" i="1"/>
  <c r="AD6" i="1" s="1"/>
  <c r="X17" i="1"/>
  <c r="X7" i="1"/>
  <c r="X13" i="1"/>
  <c r="X12" i="1"/>
  <c r="X11" i="1"/>
  <c r="X16" i="1"/>
  <c r="X8" i="1"/>
  <c r="X9" i="1"/>
  <c r="X14" i="1"/>
  <c r="X5" i="1"/>
  <c r="X10" i="1"/>
  <c r="X15" i="1"/>
  <c r="X6" i="1"/>
  <c r="S10" i="1"/>
  <c r="R10" i="1"/>
  <c r="S16" i="1"/>
  <c r="R16" i="1"/>
  <c r="S17" i="1"/>
  <c r="R17" i="1"/>
  <c r="S19" i="1"/>
  <c r="R19" i="1"/>
  <c r="S11" i="1"/>
  <c r="R11" i="1"/>
  <c r="S7" i="1"/>
  <c r="R7" i="1"/>
  <c r="S13" i="1"/>
  <c r="R13" i="1"/>
  <c r="S12" i="1"/>
  <c r="R12" i="1"/>
  <c r="S14" i="1"/>
  <c r="R14" i="1"/>
  <c r="S8" i="1"/>
  <c r="R8" i="1"/>
  <c r="S9" i="1"/>
  <c r="R9" i="1"/>
  <c r="S15" i="1"/>
  <c r="R15" i="1"/>
  <c r="S18" i="1"/>
  <c r="R18" i="1"/>
  <c r="S6" i="1"/>
  <c r="R6" i="1"/>
  <c r="S5" i="1"/>
  <c r="R5" i="1"/>
  <c r="AG10" i="1" l="1"/>
  <c r="AH10" i="1" s="1"/>
  <c r="AI10" i="1" s="1"/>
  <c r="AE10" i="1"/>
  <c r="AF10" i="1" s="1"/>
  <c r="AG17" i="1"/>
  <c r="AH17" i="1" s="1"/>
  <c r="AI17" i="1" s="1"/>
  <c r="AE17" i="1"/>
  <c r="AF17" i="1" s="1"/>
  <c r="AG15" i="1"/>
  <c r="AH15" i="1" s="1"/>
  <c r="AI15" i="1" s="1"/>
  <c r="AE15" i="1"/>
  <c r="AF15" i="1" s="1"/>
  <c r="AG11" i="1"/>
  <c r="AH11" i="1" s="1"/>
  <c r="AI11" i="1" s="1"/>
  <c r="AE11" i="1"/>
  <c r="AF11" i="1" s="1"/>
  <c r="AG16" i="1"/>
  <c r="AH16" i="1" s="1"/>
  <c r="AI16" i="1" s="1"/>
  <c r="AE16" i="1"/>
  <c r="AF16" i="1" s="1"/>
  <c r="AG5" i="1"/>
  <c r="AH5" i="1" s="1"/>
  <c r="AI5" i="1" s="1"/>
  <c r="AE5" i="1"/>
  <c r="AF5" i="1" s="1"/>
  <c r="AG12" i="1"/>
  <c r="AH12" i="1" s="1"/>
  <c r="AI12" i="1" s="1"/>
  <c r="AE12" i="1"/>
  <c r="AF12" i="1" s="1"/>
  <c r="AG7" i="1"/>
  <c r="AH7" i="1" s="1"/>
  <c r="AI7" i="1" s="1"/>
  <c r="AE7" i="1"/>
  <c r="AF7" i="1" s="1"/>
  <c r="AG9" i="1"/>
  <c r="AH9" i="1" s="1"/>
  <c r="AI9" i="1" s="1"/>
  <c r="AE9" i="1"/>
  <c r="AF9" i="1" s="1"/>
  <c r="AG19" i="1"/>
  <c r="AH19" i="1" s="1"/>
  <c r="AI19" i="1" s="1"/>
  <c r="AE19" i="1"/>
  <c r="AF19" i="1" s="1"/>
  <c r="AG8" i="1"/>
  <c r="AH8" i="1" s="1"/>
  <c r="AI8" i="1" s="1"/>
  <c r="AE8" i="1"/>
  <c r="AF8" i="1" s="1"/>
  <c r="AG14" i="1"/>
  <c r="AH14" i="1" s="1"/>
  <c r="AI14" i="1" s="1"/>
  <c r="AE14" i="1"/>
  <c r="AF14" i="1" s="1"/>
  <c r="AG6" i="1"/>
  <c r="AH6" i="1" s="1"/>
  <c r="AI6" i="1" s="1"/>
  <c r="AE6" i="1"/>
  <c r="AF6" i="1" s="1"/>
  <c r="AG13" i="1"/>
  <c r="AH13" i="1" s="1"/>
  <c r="AI13" i="1" s="1"/>
  <c r="AE13" i="1"/>
  <c r="AF13" i="1" s="1"/>
  <c r="AG18" i="1"/>
  <c r="AH18" i="1" s="1"/>
  <c r="AI18" i="1" s="1"/>
  <c r="AE18" i="1"/>
  <c r="AF18" i="1" s="1"/>
  <c r="AA18" i="1"/>
  <c r="AB18" i="1" s="1"/>
  <c r="AC18" i="1" s="1"/>
  <c r="Y18" i="1"/>
  <c r="Z18" i="1" s="1"/>
  <c r="AA5" i="1"/>
  <c r="AB5" i="1" s="1"/>
  <c r="AC5" i="1" s="1"/>
  <c r="Y5" i="1"/>
  <c r="Z5" i="1" s="1"/>
  <c r="AA14" i="1"/>
  <c r="AB14" i="1" s="1"/>
  <c r="AC14" i="1" s="1"/>
  <c r="Y14" i="1"/>
  <c r="Z14" i="1" s="1"/>
  <c r="AA16" i="1"/>
  <c r="AB16" i="1" s="1"/>
  <c r="AC16" i="1" s="1"/>
  <c r="Y16" i="1"/>
  <c r="Z16" i="1" s="1"/>
  <c r="AA7" i="1"/>
  <c r="AB7" i="1" s="1"/>
  <c r="AC7" i="1" s="1"/>
  <c r="Y7" i="1"/>
  <c r="Z7" i="1" s="1"/>
  <c r="AA17" i="1"/>
  <c r="AB17" i="1" s="1"/>
  <c r="AC17" i="1" s="1"/>
  <c r="Y17" i="1"/>
  <c r="Z17" i="1" s="1"/>
  <c r="AA9" i="1"/>
  <c r="AB9" i="1" s="1"/>
  <c r="AC9" i="1" s="1"/>
  <c r="Y9" i="1"/>
  <c r="Z9" i="1" s="1"/>
  <c r="AA8" i="1"/>
  <c r="AB8" i="1" s="1"/>
  <c r="AC8" i="1" s="1"/>
  <c r="Y8" i="1"/>
  <c r="Z8" i="1" s="1"/>
  <c r="AA6" i="1"/>
  <c r="AB6" i="1" s="1"/>
  <c r="AC6" i="1" s="1"/>
  <c r="Y6" i="1"/>
  <c r="Z6" i="1" s="1"/>
  <c r="AA11" i="1"/>
  <c r="AB11" i="1" s="1"/>
  <c r="AC11" i="1" s="1"/>
  <c r="Y11" i="1"/>
  <c r="Z11" i="1" s="1"/>
  <c r="AA15" i="1"/>
  <c r="AB15" i="1" s="1"/>
  <c r="AC15" i="1" s="1"/>
  <c r="Y15" i="1"/>
  <c r="Z15" i="1" s="1"/>
  <c r="AA12" i="1"/>
  <c r="AB12" i="1" s="1"/>
  <c r="AC12" i="1" s="1"/>
  <c r="Y12" i="1"/>
  <c r="Z12" i="1" s="1"/>
  <c r="AA10" i="1"/>
  <c r="AB10" i="1" s="1"/>
  <c r="AC10" i="1" s="1"/>
  <c r="Y10" i="1"/>
  <c r="Z10" i="1" s="1"/>
  <c r="AA13" i="1"/>
  <c r="AB13" i="1" s="1"/>
  <c r="AC13" i="1" s="1"/>
  <c r="Y13" i="1"/>
  <c r="Z13" i="1" s="1"/>
  <c r="AA19" i="1"/>
  <c r="AB19" i="1" s="1"/>
  <c r="AC19" i="1" s="1"/>
  <c r="Y19" i="1"/>
  <c r="Z19" i="1" s="1"/>
</calcChain>
</file>

<file path=xl/sharedStrings.xml><?xml version="1.0" encoding="utf-8"?>
<sst xmlns="http://schemas.openxmlformats.org/spreadsheetml/2006/main" count="1372" uniqueCount="337">
  <si>
    <t>Vehicle</t>
  </si>
  <si>
    <t>A321-200</t>
  </si>
  <si>
    <t>A320-200</t>
  </si>
  <si>
    <t>A300-600R</t>
  </si>
  <si>
    <t>A310-300</t>
  </si>
  <si>
    <t>A340-300</t>
  </si>
  <si>
    <t>B747-400</t>
  </si>
  <si>
    <t>B757-200</t>
  </si>
  <si>
    <t>B737-300</t>
  </si>
  <si>
    <t>B767-300</t>
  </si>
  <si>
    <t>MD90-30</t>
  </si>
  <si>
    <t>MD-11</t>
  </si>
  <si>
    <t>Fokker 100</t>
  </si>
  <si>
    <t>TU-154M</t>
  </si>
  <si>
    <t>YB-49</t>
  </si>
  <si>
    <t>Avro Vulcan</t>
  </si>
  <si>
    <t>Swet/Sw</t>
  </si>
  <si>
    <t>Wingspan b</t>
  </si>
  <si>
    <t>Wing area Sw</t>
  </si>
  <si>
    <t>Aspect ratio A</t>
  </si>
  <si>
    <t>Range</t>
  </si>
  <si>
    <t>kE</t>
  </si>
  <si>
    <t>m</t>
  </si>
  <si>
    <t>m2</t>
  </si>
  <si>
    <t>Short Range</t>
  </si>
  <si>
    <t>Medium Range</t>
  </si>
  <si>
    <t>Long Range</t>
  </si>
  <si>
    <t>L/Dmax</t>
  </si>
  <si>
    <t>Cruising speed</t>
  </si>
  <si>
    <t>m/s</t>
  </si>
  <si>
    <t>kg</t>
  </si>
  <si>
    <t>%</t>
  </si>
  <si>
    <t>SAR</t>
  </si>
  <si>
    <t>m/kg</t>
  </si>
  <si>
    <t>kg/Ns</t>
  </si>
  <si>
    <t>Fuel consumption</t>
  </si>
  <si>
    <t>kg/m</t>
  </si>
  <si>
    <t>J/mkg</t>
  </si>
  <si>
    <t>R44 Raven I</t>
  </si>
  <si>
    <t>R44 Raven II</t>
  </si>
  <si>
    <t>kW</t>
  </si>
  <si>
    <t>L/D</t>
  </si>
  <si>
    <t xml:space="preserve">m </t>
  </si>
  <si>
    <t>kg/mkg</t>
  </si>
  <si>
    <t>Fuel consumption per payload range</t>
  </si>
  <si>
    <t>Heizwert MJ/kg</t>
  </si>
  <si>
    <t>Length l</t>
  </si>
  <si>
    <t>Diameter d</t>
  </si>
  <si>
    <t>d/l</t>
  </si>
  <si>
    <t>km/h</t>
  </si>
  <si>
    <t>Re</t>
  </si>
  <si>
    <t>V</t>
  </si>
  <si>
    <t>m3</t>
  </si>
  <si>
    <t>Do</t>
  </si>
  <si>
    <t>N</t>
  </si>
  <si>
    <t>LZ 129 Hindenburg</t>
  </si>
  <si>
    <t>kg/h</t>
  </si>
  <si>
    <t>kWh/m</t>
  </si>
  <si>
    <t>Grob 103</t>
  </si>
  <si>
    <t>Crew</t>
  </si>
  <si>
    <t>Empty weight</t>
  </si>
  <si>
    <t>Bulker</t>
  </si>
  <si>
    <t>Small Bulker</t>
  </si>
  <si>
    <t>Handysize Bulker</t>
  </si>
  <si>
    <t>Handymax Bulker</t>
  </si>
  <si>
    <t>Panamax Bulker</t>
  </si>
  <si>
    <t>Tanker</t>
  </si>
  <si>
    <t>Small Tanker</t>
  </si>
  <si>
    <t>Handysize Tanker</t>
  </si>
  <si>
    <t>Handymax Tanker</t>
  </si>
  <si>
    <t>Panamax Tanker</t>
  </si>
  <si>
    <t>DWT</t>
  </si>
  <si>
    <t>tons</t>
  </si>
  <si>
    <t>kN</t>
  </si>
  <si>
    <t>MJ/tkm</t>
  </si>
  <si>
    <t>Queen Mary 2</t>
  </si>
  <si>
    <t>Norwegian Spirit</t>
  </si>
  <si>
    <t>P&amp;O Britannia</t>
  </si>
  <si>
    <t>knots</t>
  </si>
  <si>
    <t>t/h</t>
  </si>
  <si>
    <t>gal/h</t>
  </si>
  <si>
    <t>t/km</t>
  </si>
  <si>
    <t>gal/km</t>
  </si>
  <si>
    <t>m^3</t>
  </si>
  <si>
    <r>
      <rPr>
        <sz val="11"/>
        <color theme="1"/>
        <rFont val="Calibri"/>
        <family val="2"/>
      </rPr>
      <t>ρ</t>
    </r>
    <r>
      <rPr>
        <sz val="11"/>
        <color theme="1"/>
        <rFont val="Calibri"/>
        <family val="2"/>
        <scheme val="minor"/>
      </rPr>
      <t xml:space="preserve"> [kg/m^3)</t>
    </r>
  </si>
  <si>
    <t>ν [m^2/s]</t>
  </si>
  <si>
    <t>g [m/s^2]</t>
  </si>
  <si>
    <t>Lpp</t>
  </si>
  <si>
    <t>m^2</t>
  </si>
  <si>
    <t>Lwl</t>
  </si>
  <si>
    <t>RT</t>
  </si>
  <si>
    <t>kgm/s^2</t>
  </si>
  <si>
    <t>Capacity</t>
  </si>
  <si>
    <t>pax</t>
  </si>
  <si>
    <t>Heizwert von Diesel [kWh/kg]</t>
  </si>
  <si>
    <t>Heizwert von Diesel [kWh/l]</t>
  </si>
  <si>
    <t>l/m</t>
  </si>
  <si>
    <t>J/m</t>
  </si>
  <si>
    <t>Curb weight</t>
  </si>
  <si>
    <t>Cr</t>
  </si>
  <si>
    <t>Mercedes G-Class (City)</t>
  </si>
  <si>
    <t>Toyota Prius (City)</t>
  </si>
  <si>
    <t>Tesla 3 (City)</t>
  </si>
  <si>
    <t>Audi E-tron (City)</t>
  </si>
  <si>
    <t>Mercedes G-Class (Earthway)</t>
  </si>
  <si>
    <t>Toyota Prius (Earthway)</t>
  </si>
  <si>
    <t>Tesla 3 (Earthway)</t>
  </si>
  <si>
    <t>Audi E-tron (Earthway)</t>
  </si>
  <si>
    <t>Cd</t>
  </si>
  <si>
    <t>MPG</t>
  </si>
  <si>
    <t>Wh/km</t>
  </si>
  <si>
    <t>m/J</t>
  </si>
  <si>
    <t>ICE 3</t>
  </si>
  <si>
    <t>TGV Duplex</t>
  </si>
  <si>
    <t>Human</t>
  </si>
  <si>
    <t>Human walking</t>
  </si>
  <si>
    <t>Human Marching Fast</t>
  </si>
  <si>
    <t>100-yard Runner</t>
  </si>
  <si>
    <t>Bicycle</t>
  </si>
  <si>
    <t>Bicycle Pleasure Trip</t>
  </si>
  <si>
    <t>Bicycle Speeding on Highway</t>
  </si>
  <si>
    <t>Bicycle on Racetrack</t>
  </si>
  <si>
    <t>Horse</t>
  </si>
  <si>
    <t>Horse with Carriage, Fast Step</t>
  </si>
  <si>
    <t>Horse with Carriage, Trotting</t>
  </si>
  <si>
    <t>Racehorse</t>
  </si>
  <si>
    <t>lbs</t>
  </si>
  <si>
    <t>mph</t>
  </si>
  <si>
    <t>hp</t>
  </si>
  <si>
    <t>J/s</t>
  </si>
  <si>
    <t>Hyperloop Alpha Passenger and Cargo</t>
  </si>
  <si>
    <t>Hyperloop Alpha Passenger</t>
  </si>
  <si>
    <t>mkg/J</t>
  </si>
  <si>
    <t>a_L/D</t>
  </si>
  <si>
    <t>Container</t>
  </si>
  <si>
    <t>TEU</t>
  </si>
  <si>
    <t>MJ/t nm</t>
  </si>
  <si>
    <t>a_L/D,pay</t>
  </si>
  <si>
    <t>Aframax Tanker</t>
  </si>
  <si>
    <t>Suezmax Tanker</t>
  </si>
  <si>
    <t>Capesize Bulker</t>
  </si>
  <si>
    <t>VLBC Bulker</t>
  </si>
  <si>
    <t>VLCC Tanker</t>
  </si>
  <si>
    <t>Feeder Container</t>
  </si>
  <si>
    <t>Panamax (typ.2) Container</t>
  </si>
  <si>
    <t>Post Panamax (typ.3) Container</t>
  </si>
  <si>
    <t>Post Panamax (typ.4) Container</t>
  </si>
  <si>
    <t>y</t>
  </si>
  <si>
    <t>x</t>
  </si>
  <si>
    <t>a_/LD YB49</t>
  </si>
  <si>
    <t>MD11</t>
  </si>
  <si>
    <t>a_E</t>
  </si>
  <si>
    <t>s</t>
  </si>
  <si>
    <t>a_/LD Hyperloop alpha passenger</t>
  </si>
  <si>
    <t>a_/LD Hyperloop alpha passenger &amp; cargo</t>
  </si>
  <si>
    <t>a_E VLBC</t>
  </si>
  <si>
    <t>1/V</t>
  </si>
  <si>
    <t>s/m</t>
  </si>
  <si>
    <t>x'</t>
  </si>
  <si>
    <t>y'</t>
  </si>
  <si>
    <t>AS350 B3</t>
  </si>
  <si>
    <t>EC120 B</t>
  </si>
  <si>
    <t>1/LD</t>
  </si>
  <si>
    <t>H_L [MJ/kg]</t>
  </si>
  <si>
    <t>kg/km kg</t>
  </si>
  <si>
    <t>kg/nm</t>
  </si>
  <si>
    <t>10^-7*kg/mkg</t>
  </si>
  <si>
    <t>Concorde</t>
  </si>
  <si>
    <t>Ma</t>
  </si>
  <si>
    <t>kg/km</t>
  </si>
  <si>
    <t>ASW 28</t>
  </si>
  <si>
    <t>Wh/pax km</t>
  </si>
  <si>
    <t>a_E VLBC primary</t>
  </si>
  <si>
    <t>Cruise altitude</t>
  </si>
  <si>
    <t>feet</t>
  </si>
  <si>
    <t>SFC</t>
  </si>
  <si>
    <t>Type</t>
  </si>
  <si>
    <t>d</t>
  </si>
  <si>
    <t>v</t>
  </si>
  <si>
    <t>Medium</t>
  </si>
  <si>
    <t>Water</t>
  </si>
  <si>
    <t>kg/s</t>
  </si>
  <si>
    <t>dyn. Viscosity</t>
  </si>
  <si>
    <t>kin. Viscosity</t>
  </si>
  <si>
    <t>m^2/s</t>
  </si>
  <si>
    <t>Density</t>
  </si>
  <si>
    <t>kg/m^3</t>
  </si>
  <si>
    <t>Lambda</t>
  </si>
  <si>
    <t>E/(s*m)</t>
  </si>
  <si>
    <t>Gas</t>
  </si>
  <si>
    <t>Eprim/(s*m) diesel/gas</t>
  </si>
  <si>
    <t>a_LD</t>
  </si>
  <si>
    <t>J/mpax</t>
  </si>
  <si>
    <t>1/(Eprim/(s*m) diesel/gas)</t>
  </si>
  <si>
    <t>1/(E/(s*m))</t>
  </si>
  <si>
    <t>l/100 km</t>
  </si>
  <si>
    <t>Heizwer diesel [MJ/kg]</t>
  </si>
  <si>
    <t>a_Eprim</t>
  </si>
  <si>
    <t>E_prim/(s*m)</t>
  </si>
  <si>
    <t>1/(E_prim/(s*m))</t>
  </si>
  <si>
    <t>m_CO2/(s*m)</t>
  </si>
  <si>
    <t>m_CO2,eq/(s*m)</t>
  </si>
  <si>
    <t>E/s</t>
  </si>
  <si>
    <t>Eprim/(s*m) electric</t>
  </si>
  <si>
    <t>1/(Eprim/(s*m) electric</t>
  </si>
  <si>
    <t>a_Eprim,el</t>
  </si>
  <si>
    <t>a_Eprim,dieselgas</t>
  </si>
  <si>
    <t>m_CO2/(s*m) electric</t>
  </si>
  <si>
    <t>m_CO2,eq/(s*m) electric</t>
  </si>
  <si>
    <t>m_CO2/(s*m) diesel gas</t>
  </si>
  <si>
    <t>m_CO2,eq/(s*m) diesel gas</t>
  </si>
  <si>
    <t>Eprim/(s*m)</t>
  </si>
  <si>
    <t>1/(Eprim/(s*m))</t>
  </si>
  <si>
    <t>kWh/100kmpax</t>
  </si>
  <si>
    <t xml:space="preserve">Oil </t>
  </si>
  <si>
    <t>Water pipeline</t>
  </si>
  <si>
    <t>Heavy oil pipeline</t>
  </si>
  <si>
    <t>Gas pipeline</t>
  </si>
  <si>
    <t>l/100km</t>
  </si>
  <si>
    <t>Distance</t>
  </si>
  <si>
    <t>MJ/kg</t>
  </si>
  <si>
    <t>m_f/s</t>
  </si>
  <si>
    <t>m_f/(s*m)</t>
  </si>
  <si>
    <t>Bus Tourisimo L (City)</t>
  </si>
  <si>
    <t>BUs Tourisimo L (Earthway)</t>
  </si>
  <si>
    <t>Scania P380 (City)</t>
  </si>
  <si>
    <t>Scania P380 (Earthway)</t>
  </si>
  <si>
    <t>Shacman (City)</t>
  </si>
  <si>
    <t>Shacman (Earthway)</t>
  </si>
  <si>
    <t>B747-400 (Cargo)</t>
  </si>
  <si>
    <t>MD-11 (Cargo)</t>
  </si>
  <si>
    <t>mkg/(10^-7*kg)</t>
  </si>
  <si>
    <t>(s*m)/m_CO2</t>
  </si>
  <si>
    <t>(s*m)/m_CO2,eq</t>
  </si>
  <si>
    <t>a_mCO2</t>
  </si>
  <si>
    <t>a_mCO2,eq</t>
  </si>
  <si>
    <t>(s*m)/E</t>
  </si>
  <si>
    <t>m_CO2/s</t>
  </si>
  <si>
    <t>a_(L/D)</t>
  </si>
  <si>
    <t>SFC_Cruise</t>
  </si>
  <si>
    <t>(E_prim/(s*m)</t>
  </si>
  <si>
    <t>Cf</t>
  </si>
  <si>
    <t>Rn</t>
  </si>
  <si>
    <t>a_mCO2 Hyperloop</t>
  </si>
  <si>
    <t>a_mCO2e Hyperloop</t>
  </si>
  <si>
    <t>1/(L/D)max</t>
  </si>
  <si>
    <t>m_pl/m</t>
  </si>
  <si>
    <t>(L/D)max</t>
  </si>
  <si>
    <t>(L/D)pl</t>
  </si>
  <si>
    <t>m_f</t>
  </si>
  <si>
    <t>R_max</t>
  </si>
  <si>
    <t>m_pl</t>
  </si>
  <si>
    <t>1/(L/D)pl</t>
  </si>
  <si>
    <t>a_(L/D)pl</t>
  </si>
  <si>
    <t>m_f/t</t>
  </si>
  <si>
    <t>R_T</t>
  </si>
  <si>
    <t>Δ</t>
  </si>
  <si>
    <t>T</t>
  </si>
  <si>
    <t>▽</t>
  </si>
  <si>
    <t>Sw</t>
  </si>
  <si>
    <t>A</t>
  </si>
  <si>
    <t>m_f/s*m</t>
  </si>
  <si>
    <t>m_service</t>
  </si>
  <si>
    <t>m_pl/m_service</t>
  </si>
  <si>
    <t>P</t>
  </si>
  <si>
    <t>E/m</t>
  </si>
  <si>
    <t>R_A</t>
  </si>
  <si>
    <t>R_B</t>
  </si>
  <si>
    <t>m_Passenger</t>
  </si>
  <si>
    <t>m_Car&amp;cargo</t>
  </si>
  <si>
    <t>C_DV</t>
  </si>
  <si>
    <t>S_V</t>
  </si>
  <si>
    <t>kin. Viscosity [m^2/s]</t>
  </si>
  <si>
    <t>E/(s*m) eletric</t>
  </si>
  <si>
    <t>E/(s*m) diesel/gas</t>
  </si>
  <si>
    <t>a_E electric</t>
  </si>
  <si>
    <t>a_E diesel/gas</t>
  </si>
  <si>
    <t>Heavy oil pipeline (electric)</t>
  </si>
  <si>
    <t>Gas pipeline (electric)</t>
  </si>
  <si>
    <t>Water pipeline (electric)</t>
  </si>
  <si>
    <t>Heavy oil pipeline (diesel/gas)</t>
  </si>
  <si>
    <t>Gas pipeline (diesel/gas)</t>
  </si>
  <si>
    <t>Water pipeline (diesel/gas)</t>
  </si>
  <si>
    <t>(L/D)pl_el</t>
  </si>
  <si>
    <t>(L/D)pl_diesel</t>
  </si>
  <si>
    <t>a_(L/D)pl_el</t>
  </si>
  <si>
    <t>a_(L/D)pl_diesel</t>
  </si>
  <si>
    <t>m_MTO</t>
  </si>
  <si>
    <t>1/(L/D)max,pl</t>
  </si>
  <si>
    <t>(L/D)max,pl</t>
  </si>
  <si>
    <t>a_(L/D)max,pl</t>
  </si>
  <si>
    <t>1/(L/D)</t>
  </si>
  <si>
    <t>P_cont</t>
  </si>
  <si>
    <t>m_pl/m_MTO</t>
  </si>
  <si>
    <t>m_pl/Δ</t>
  </si>
  <si>
    <t>m_Curb</t>
  </si>
  <si>
    <t>R_R</t>
  </si>
  <si>
    <t>L/D Diagram</t>
  </si>
  <si>
    <t>L/D Payload Diagram</t>
  </si>
  <si>
    <t>Inverse Primary E Consumption</t>
  </si>
  <si>
    <t>Emissions: CO2, Equivalent CO2</t>
  </si>
  <si>
    <t>a_L/D_PL</t>
  </si>
  <si>
    <t>a_E_prim</t>
  </si>
  <si>
    <t>a_E = a_L/D</t>
  </si>
  <si>
    <t>Subsonic Aircraft</t>
  </si>
  <si>
    <t>Supersonic Aircraft</t>
  </si>
  <si>
    <t>Helicopter</t>
  </si>
  <si>
    <t>Airship</t>
  </si>
  <si>
    <t>Glider</t>
  </si>
  <si>
    <t>Bulker, Tanker, Container</t>
  </si>
  <si>
    <t>Cruise Ship</t>
  </si>
  <si>
    <t>Car</t>
  </si>
  <si>
    <t>Truck</t>
  </si>
  <si>
    <t>Bus</t>
  </si>
  <si>
    <t>Train</t>
  </si>
  <si>
    <t>Human and Animal</t>
  </si>
  <si>
    <t>Hyperloop</t>
  </si>
  <si>
    <t>Oil &amp; Gas Pipeline</t>
  </si>
  <si>
    <t xml:space="preserve">CO2 Mass per Payload Range
</t>
  </si>
  <si>
    <t>Equivalent CO2 Mass per Payload Range</t>
  </si>
  <si>
    <t>Dinda Andiani Putri</t>
  </si>
  <si>
    <t>Improved Karman-Gabrielli Diagram</t>
  </si>
  <si>
    <t>Comparing Modes of Transportation with an</t>
  </si>
  <si>
    <t>Copyright © 2023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</si>
  <si>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</si>
  <si>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</si>
  <si>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</si>
  <si>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</si>
  <si>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</si>
  <si>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</si>
  <si>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</si>
  <si>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</si>
  <si>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</si>
  <si>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https://doi.org/10.7910/DVN/KC5Z8U</t>
  </si>
  <si>
    <t>The spreadsheet for the Bachelor Thesis</t>
  </si>
  <si>
    <t>"Comparing Modes of Transportation with an Improved Karman-Gabrielli Diagram"</t>
  </si>
  <si>
    <t>The table has several hidden tabs (not formatted) for plotting and further information!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</si>
</sst>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_-;\-* #,##0.0000_-;_-* &quot;-&quot;??_-;_-@_-"/>
    <numFmt numFmtId="165" formatCode="0.0000E+00"/>
    <numFmt numFmtId="166" formatCode="_-* #,##0.000_-;\-* #,##0.000_-;_-* &quot;-&quot;??_-;_-@_-"/>
    <numFmt numFmtId="167" formatCode="0.000"/>
    <numFmt numFmtId="168" formatCode="0.00000000"/>
    <numFmt numFmtId="169" formatCode="_-* #,##0.00000_-;\-* #,##0.00000_-;_-* &quot;-&quot;??_-;_-@_-"/>
    <numFmt numFmtId="170" formatCode="0.00_ ;\-0.00\ "/>
    <numFmt numFmtId="171" formatCode="0.0000"/>
    <numFmt numFmtId="172" formatCode="0.00000"/>
    <numFmt numFmtId="173" formatCode="0.000000"/>
    <numFmt numFmtId="174" formatCode="0.0000000"/>
    <numFmt numFmtId="175" formatCode="0.000000000"/>
    <numFmt numFmtId="176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Arial"/>
      <family val="2"/>
    </font>
    <font>
      <sz val="24"/>
      <color theme="1"/>
      <name val="Arial"/>
      <family val="2"/>
    </font>
    <font>
      <sz val="36"/>
      <color theme="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rgb="FFC0C0C0"/>
      </top>
      <bottom/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167" fontId="7" fillId="5" borderId="0">
      <alignment horizontal="right" vertical="center"/>
    </xf>
    <xf numFmtId="0" fontId="14" fillId="0" borderId="0" applyNumberFormat="0" applyFill="0" applyBorder="0" applyAlignment="0" applyProtection="0"/>
  </cellStyleXfs>
  <cellXfs count="144">
    <xf numFmtId="0" fontId="0" fillId="0" borderId="0" xfId="0"/>
    <xf numFmtId="43" fontId="0" fillId="0" borderId="0" xfId="1" applyFont="1"/>
    <xf numFmtId="43" fontId="0" fillId="0" borderId="0" xfId="0" applyNumberFormat="1"/>
    <xf numFmtId="164" fontId="0" fillId="0" borderId="0" xfId="0" applyNumberFormat="1"/>
    <xf numFmtId="11" fontId="0" fillId="0" borderId="0" xfId="0" applyNumberFormat="1"/>
    <xf numFmtId="166" fontId="0" fillId="0" borderId="0" xfId="0" applyNumberFormat="1"/>
    <xf numFmtId="166" fontId="0" fillId="0" borderId="0" xfId="1" applyNumberFormat="1" applyFont="1"/>
    <xf numFmtId="0" fontId="0" fillId="0" borderId="1" xfId="0" applyBorder="1"/>
    <xf numFmtId="0" fontId="0" fillId="0" borderId="2" xfId="0" applyBorder="1"/>
    <xf numFmtId="165" fontId="0" fillId="2" borderId="3" xfId="0" applyNumberFormat="1" applyFill="1" applyBorder="1"/>
    <xf numFmtId="165" fontId="0" fillId="2" borderId="5" xfId="0" applyNumberFormat="1" applyFill="1" applyBorder="1"/>
    <xf numFmtId="0" fontId="0" fillId="0" borderId="4" xfId="0" applyBorder="1"/>
    <xf numFmtId="165" fontId="0" fillId="2" borderId="6" xfId="0" applyNumberFormat="1" applyFill="1" applyBorder="1"/>
    <xf numFmtId="165" fontId="0" fillId="2" borderId="7" xfId="0" applyNumberFormat="1" applyFill="1" applyBorder="1"/>
    <xf numFmtId="165" fontId="0" fillId="2" borderId="8" xfId="0" applyNumberFormat="1" applyFill="1" applyBorder="1"/>
    <xf numFmtId="0" fontId="0" fillId="0" borderId="8" xfId="0" applyBorder="1"/>
    <xf numFmtId="167" fontId="0" fillId="0" borderId="0" xfId="0" applyNumberFormat="1"/>
    <xf numFmtId="168" fontId="0" fillId="0" borderId="0" xfId="0" applyNumberFormat="1"/>
    <xf numFmtId="169" fontId="0" fillId="0" borderId="0" xfId="1" applyNumberFormat="1" applyFont="1"/>
    <xf numFmtId="170" fontId="0" fillId="0" borderId="0" xfId="1" applyNumberFormat="1" applyFont="1"/>
    <xf numFmtId="164" fontId="0" fillId="0" borderId="0" xfId="1" applyNumberFormat="1" applyFont="1"/>
    <xf numFmtId="2" fontId="0" fillId="0" borderId="0" xfId="0" applyNumberFormat="1"/>
    <xf numFmtId="2" fontId="0" fillId="0" borderId="0" xfId="1" applyNumberFormat="1" applyFont="1"/>
    <xf numFmtId="165" fontId="0" fillId="2" borderId="12" xfId="0" applyNumberFormat="1" applyFill="1" applyBorder="1"/>
    <xf numFmtId="165" fontId="0" fillId="2" borderId="4" xfId="0" applyNumberFormat="1" applyFill="1" applyBorder="1"/>
    <xf numFmtId="167" fontId="0" fillId="0" borderId="4" xfId="0" applyNumberFormat="1" applyBorder="1"/>
    <xf numFmtId="2" fontId="0" fillId="0" borderId="0" xfId="1" applyNumberFormat="1" applyFont="1" applyFill="1"/>
    <xf numFmtId="2" fontId="0" fillId="0" borderId="4" xfId="1" applyNumberFormat="1" applyFont="1" applyBorder="1"/>
    <xf numFmtId="2" fontId="0" fillId="0" borderId="0" xfId="1" quotePrefix="1" applyNumberFormat="1" applyFont="1"/>
    <xf numFmtId="2" fontId="0" fillId="0" borderId="11" xfId="1" applyNumberFormat="1" applyFont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vertical="center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1" fontId="0" fillId="0" borderId="0" xfId="1" applyNumberFormat="1" applyFont="1"/>
    <xf numFmtId="174" fontId="0" fillId="2" borderId="8" xfId="0" applyNumberFormat="1" applyFill="1" applyBorder="1"/>
    <xf numFmtId="174" fontId="0" fillId="2" borderId="3" xfId="0" applyNumberFormat="1" applyFill="1" applyBorder="1"/>
    <xf numFmtId="174" fontId="0" fillId="2" borderId="9" xfId="0" applyNumberFormat="1" applyFill="1" applyBorder="1"/>
    <xf numFmtId="174" fontId="0" fillId="2" borderId="2" xfId="0" applyNumberFormat="1" applyFill="1" applyBorder="1"/>
    <xf numFmtId="174" fontId="0" fillId="2" borderId="10" xfId="0" applyNumberFormat="1" applyFill="1" applyBorder="1"/>
    <xf numFmtId="174" fontId="0" fillId="0" borderId="8" xfId="0" applyNumberFormat="1" applyBorder="1"/>
    <xf numFmtId="2" fontId="0" fillId="3" borderId="0" xfId="0" applyNumberFormat="1" applyFill="1"/>
    <xf numFmtId="2" fontId="0" fillId="3" borderId="0" xfId="1" applyNumberFormat="1" applyFont="1" applyFill="1"/>
    <xf numFmtId="0" fontId="0" fillId="3" borderId="0" xfId="0" applyFill="1"/>
    <xf numFmtId="167" fontId="0" fillId="3" borderId="0" xfId="0" applyNumberFormat="1" applyFill="1"/>
    <xf numFmtId="43" fontId="0" fillId="3" borderId="0" xfId="1" applyFont="1" applyFill="1"/>
    <xf numFmtId="43" fontId="0" fillId="3" borderId="0" xfId="0" applyNumberFormat="1" applyFill="1"/>
    <xf numFmtId="167" fontId="0" fillId="3" borderId="0" xfId="1" applyNumberFormat="1" applyFont="1" applyFill="1"/>
    <xf numFmtId="2" fontId="0" fillId="4" borderId="0" xfId="0" applyNumberFormat="1" applyFill="1"/>
    <xf numFmtId="2" fontId="0" fillId="4" borderId="0" xfId="1" applyNumberFormat="1" applyFont="1" applyFill="1"/>
    <xf numFmtId="43" fontId="0" fillId="4" borderId="0" xfId="1" applyFont="1" applyFill="1"/>
    <xf numFmtId="0" fontId="0" fillId="4" borderId="0" xfId="0" applyFill="1"/>
    <xf numFmtId="43" fontId="0" fillId="4" borderId="0" xfId="0" applyNumberFormat="1" applyFill="1"/>
    <xf numFmtId="43" fontId="0" fillId="0" borderId="0" xfId="1" applyFont="1" applyFill="1"/>
    <xf numFmtId="167" fontId="0" fillId="0" borderId="0" xfId="1" applyNumberFormat="1" applyFont="1"/>
    <xf numFmtId="0" fontId="4" fillId="0" borderId="0" xfId="0" applyFont="1"/>
    <xf numFmtId="0" fontId="6" fillId="0" borderId="0" xfId="0" applyFont="1"/>
    <xf numFmtId="170" fontId="0" fillId="0" borderId="0" xfId="1" applyNumberFormat="1" applyFont="1" applyAlignment="1">
      <alignment horizontal="right"/>
    </xf>
    <xf numFmtId="0" fontId="0" fillId="0" borderId="13" xfId="0" applyBorder="1"/>
    <xf numFmtId="170" fontId="0" fillId="0" borderId="13" xfId="1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13" xfId="0" applyNumberFormat="1" applyBorder="1" applyAlignment="1">
      <alignment horizontal="right"/>
    </xf>
    <xf numFmtId="0" fontId="4" fillId="0" borderId="13" xfId="0" applyFont="1" applyBorder="1"/>
    <xf numFmtId="43" fontId="4" fillId="0" borderId="13" xfId="1" applyFont="1" applyBorder="1" applyAlignment="1">
      <alignment horizontal="right"/>
    </xf>
    <xf numFmtId="43" fontId="4" fillId="0" borderId="13" xfId="1" applyFont="1" applyBorder="1"/>
    <xf numFmtId="2" fontId="6" fillId="0" borderId="0" xfId="0" applyNumberFormat="1" applyFont="1"/>
    <xf numFmtId="2" fontId="0" fillId="0" borderId="13" xfId="0" applyNumberFormat="1" applyBorder="1"/>
    <xf numFmtId="2" fontId="0" fillId="3" borderId="0" xfId="0" applyNumberFormat="1" applyFill="1" applyAlignment="1">
      <alignment horizontal="right"/>
    </xf>
    <xf numFmtId="2" fontId="1" fillId="3" borderId="0" xfId="1" applyNumberFormat="1" applyFont="1" applyFill="1" applyAlignment="1">
      <alignment horizontal="right"/>
    </xf>
    <xf numFmtId="2" fontId="1" fillId="0" borderId="0" xfId="1" applyNumberFormat="1" applyFont="1" applyAlignment="1">
      <alignment horizontal="right"/>
    </xf>
    <xf numFmtId="174" fontId="0" fillId="0" borderId="0" xfId="0" applyNumberFormat="1" applyAlignment="1">
      <alignment horizontal="right"/>
    </xf>
    <xf numFmtId="2" fontId="0" fillId="0" borderId="0" xfId="1" applyNumberFormat="1" applyFont="1" applyAlignment="1">
      <alignment horizontal="right"/>
    </xf>
    <xf numFmtId="171" fontId="0" fillId="0" borderId="0" xfId="1" applyNumberFormat="1" applyFont="1" applyAlignment="1">
      <alignment horizontal="right"/>
    </xf>
    <xf numFmtId="175" fontId="0" fillId="0" borderId="0" xfId="0" applyNumberFormat="1" applyAlignment="1">
      <alignment horizontal="right"/>
    </xf>
    <xf numFmtId="2" fontId="0" fillId="3" borderId="0" xfId="1" applyNumberFormat="1" applyFont="1" applyFill="1" applyAlignment="1">
      <alignment horizontal="right"/>
    </xf>
    <xf numFmtId="2" fontId="0" fillId="3" borderId="13" xfId="0" applyNumberFormat="1" applyFill="1" applyBorder="1" applyAlignment="1">
      <alignment horizontal="right"/>
    </xf>
    <xf numFmtId="2" fontId="1" fillId="3" borderId="13" xfId="1" applyNumberFormat="1" applyFont="1" applyFill="1" applyBorder="1" applyAlignment="1">
      <alignment horizontal="right"/>
    </xf>
    <xf numFmtId="2" fontId="1" fillId="0" borderId="13" xfId="1" applyNumberFormat="1" applyFont="1" applyBorder="1" applyAlignment="1">
      <alignment horizontal="right"/>
    </xf>
    <xf numFmtId="2" fontId="1" fillId="0" borderId="13" xfId="1" applyNumberFormat="1" applyFont="1" applyFill="1" applyBorder="1" applyAlignment="1">
      <alignment horizontal="right"/>
    </xf>
    <xf numFmtId="174" fontId="0" fillId="0" borderId="13" xfId="0" applyNumberFormat="1" applyBorder="1" applyAlignment="1">
      <alignment horizontal="right"/>
    </xf>
    <xf numFmtId="2" fontId="0" fillId="0" borderId="13" xfId="1" applyNumberFormat="1" applyFont="1" applyBorder="1" applyAlignment="1">
      <alignment horizontal="right"/>
    </xf>
    <xf numFmtId="171" fontId="0" fillId="0" borderId="13" xfId="1" applyNumberFormat="1" applyFont="1" applyBorder="1" applyAlignment="1">
      <alignment horizontal="right"/>
    </xf>
    <xf numFmtId="175" fontId="0" fillId="0" borderId="13" xfId="0" applyNumberFormat="1" applyBorder="1" applyAlignment="1">
      <alignment horizontal="right"/>
    </xf>
    <xf numFmtId="2" fontId="0" fillId="3" borderId="13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0" borderId="13" xfId="0" applyBorder="1" applyAlignment="1">
      <alignment horizontal="right"/>
    </xf>
    <xf numFmtId="0" fontId="0" fillId="3" borderId="13" xfId="0" applyFill="1" applyBorder="1" applyAlignment="1">
      <alignment horizontal="right"/>
    </xf>
    <xf numFmtId="43" fontId="1" fillId="0" borderId="0" xfId="1" applyFont="1" applyAlignment="1">
      <alignment horizontal="right"/>
    </xf>
    <xf numFmtId="43" fontId="1" fillId="3" borderId="13" xfId="1" applyFont="1" applyFill="1" applyBorder="1" applyAlignment="1">
      <alignment horizontal="right"/>
    </xf>
    <xf numFmtId="43" fontId="1" fillId="0" borderId="13" xfId="1" applyFont="1" applyBorder="1" applyAlignment="1">
      <alignment horizontal="right"/>
    </xf>
    <xf numFmtId="43" fontId="1" fillId="0" borderId="13" xfId="1" applyFont="1" applyFill="1" applyBorder="1" applyAlignment="1">
      <alignment horizontal="right"/>
    </xf>
    <xf numFmtId="43" fontId="0" fillId="3" borderId="0" xfId="1" applyFont="1" applyFill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13" xfId="0" applyNumberFormat="1" applyBorder="1" applyAlignment="1">
      <alignment horizontal="right"/>
    </xf>
    <xf numFmtId="166" fontId="0" fillId="0" borderId="0" xfId="1" applyNumberFormat="1" applyFont="1" applyAlignment="1">
      <alignment horizontal="right"/>
    </xf>
    <xf numFmtId="166" fontId="0" fillId="0" borderId="13" xfId="1" applyNumberFormat="1" applyFont="1" applyBorder="1" applyAlignment="1">
      <alignment horizontal="right"/>
    </xf>
    <xf numFmtId="167" fontId="0" fillId="3" borderId="13" xfId="1" applyNumberFormat="1" applyFont="1" applyFill="1" applyBorder="1" applyAlignment="1">
      <alignment horizontal="right"/>
    </xf>
    <xf numFmtId="167" fontId="0" fillId="3" borderId="13" xfId="0" applyNumberFormat="1" applyFill="1" applyBorder="1" applyAlignment="1">
      <alignment horizontal="right"/>
    </xf>
    <xf numFmtId="167" fontId="0" fillId="3" borderId="0" xfId="0" applyNumberFormat="1" applyFill="1" applyAlignment="1">
      <alignment horizontal="right"/>
    </xf>
    <xf numFmtId="172" fontId="0" fillId="0" borderId="0" xfId="0" applyNumberFormat="1" applyAlignment="1">
      <alignment horizontal="right"/>
    </xf>
    <xf numFmtId="172" fontId="0" fillId="0" borderId="13" xfId="0" applyNumberFormat="1" applyBorder="1" applyAlignment="1">
      <alignment horizontal="right"/>
    </xf>
    <xf numFmtId="173" fontId="0" fillId="0" borderId="13" xfId="0" applyNumberFormat="1" applyBorder="1" applyAlignment="1">
      <alignment horizontal="right"/>
    </xf>
    <xf numFmtId="2" fontId="0" fillId="0" borderId="13" xfId="0" applyNumberFormat="1" applyBorder="1" applyAlignment="1">
      <alignment horizontal="center"/>
    </xf>
    <xf numFmtId="2" fontId="0" fillId="4" borderId="0" xfId="0" applyNumberFormat="1" applyFill="1" applyAlignment="1">
      <alignment horizontal="right"/>
    </xf>
    <xf numFmtId="173" fontId="0" fillId="0" borderId="0" xfId="0" applyNumberFormat="1" applyAlignment="1">
      <alignment horizontal="right"/>
    </xf>
    <xf numFmtId="2" fontId="0" fillId="4" borderId="13" xfId="0" applyNumberFormat="1" applyFill="1" applyBorder="1" applyAlignment="1">
      <alignment horizontal="right"/>
    </xf>
    <xf numFmtId="169" fontId="0" fillId="0" borderId="0" xfId="1" applyNumberFormat="1" applyFont="1" applyAlignment="1">
      <alignment horizontal="right"/>
    </xf>
    <xf numFmtId="43" fontId="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169" fontId="0" fillId="0" borderId="13" xfId="1" applyNumberFormat="1" applyFont="1" applyBorder="1" applyAlignment="1">
      <alignment horizontal="right"/>
    </xf>
    <xf numFmtId="43" fontId="0" fillId="4" borderId="13" xfId="1" applyFont="1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43" fontId="0" fillId="0" borderId="13" xfId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7" fontId="7" fillId="5" borderId="0" xfId="4">
      <alignment horizontal="right" vertical="center"/>
    </xf>
    <xf numFmtId="167" fontId="7" fillId="5" borderId="0" xfId="4" applyAlignment="1">
      <alignment horizontal="center" vertical="center"/>
    </xf>
    <xf numFmtId="167" fontId="8" fillId="5" borderId="0" xfId="4" applyFont="1" applyAlignment="1">
      <alignment horizontal="center" vertical="center"/>
    </xf>
    <xf numFmtId="167" fontId="9" fillId="5" borderId="0" xfId="4" applyFont="1" applyAlignment="1">
      <alignment horizontal="center" vertical="center"/>
    </xf>
    <xf numFmtId="0" fontId="10" fillId="6" borderId="0" xfId="2" applyFont="1" applyFill="1"/>
    <xf numFmtId="0" fontId="1" fillId="6" borderId="0" xfId="2" applyFill="1"/>
    <xf numFmtId="0" fontId="11" fillId="6" borderId="0" xfId="2" applyFont="1" applyFill="1"/>
    <xf numFmtId="0" fontId="12" fillId="6" borderId="0" xfId="2" applyFont="1" applyFill="1"/>
    <xf numFmtId="0" fontId="13" fillId="6" borderId="0" xfId="3" applyFont="1" applyFill="1" applyAlignment="1" applyProtection="1"/>
    <xf numFmtId="0" fontId="13" fillId="6" borderId="0" xfId="5" applyFont="1" applyFill="1" applyAlignment="1" applyProtection="1"/>
    <xf numFmtId="171" fontId="0" fillId="0" borderId="0" xfId="1" applyNumberFormat="1" applyFont="1" applyFill="1"/>
    <xf numFmtId="172" fontId="0" fillId="0" borderId="0" xfId="1" applyNumberFormat="1" applyFont="1"/>
    <xf numFmtId="172" fontId="0" fillId="0" borderId="0" xfId="1" applyNumberFormat="1" applyFont="1" applyFill="1"/>
    <xf numFmtId="173" fontId="0" fillId="0" borderId="0" xfId="1" applyNumberFormat="1" applyFont="1"/>
    <xf numFmtId="173" fontId="0" fillId="0" borderId="0" xfId="1" applyNumberFormat="1" applyFont="1" applyFill="1"/>
    <xf numFmtId="176" fontId="0" fillId="0" borderId="0" xfId="1" applyNumberFormat="1" applyFont="1" applyFill="1"/>
    <xf numFmtId="176" fontId="0" fillId="0" borderId="2" xfId="1" applyNumberFormat="1" applyFont="1" applyFill="1" applyBorder="1"/>
    <xf numFmtId="171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75" fontId="0" fillId="0" borderId="0" xfId="0" applyNumberFormat="1" applyAlignment="1">
      <alignment horizontal="right"/>
    </xf>
    <xf numFmtId="2" fontId="6" fillId="0" borderId="0" xfId="0" applyNumberFormat="1" applyFont="1" applyAlignment="1">
      <alignment horizontal="left"/>
    </xf>
    <xf numFmtId="2" fontId="0" fillId="0" borderId="0" xfId="0" applyNumberFormat="1" applyAlignment="1">
      <alignment horizontal="center"/>
    </xf>
    <xf numFmtId="0" fontId="6" fillId="0" borderId="0" xfId="0" applyFont="1" applyAlignment="1">
      <alignment horizontal="left"/>
    </xf>
  </cellXfs>
  <cellStyles count="6">
    <cellStyle name="Hyperlink 2" xfId="3" xr:uid="{00000000-0005-0000-0000-000002000000}"/>
    <cellStyle name="Komma" xfId="1" builtinId="3"/>
    <cellStyle name="Link" xfId="5" builtinId="8"/>
    <cellStyle name="PRESTO" xfId="4" xr:uid="{00000000-0005-0000-0000-000003000000}"/>
    <cellStyle name="Standard" xfId="0" builtinId="0"/>
    <cellStyle name="Standard 2" xfId="2" xr:uid="{00000000-0005-0000-0000-000005000000}"/>
  </cellStyles>
  <dxfs count="0"/>
  <tableStyles count="0" defaultTableStyle="TableStyleMedium2" defaultPivotStyle="PivotStyleLight16"/>
  <colors>
    <mruColors>
      <color rgb="FFCC66FF"/>
      <color rgb="FFF3FA60"/>
      <color rgb="FFFF3300"/>
      <color rgb="FFFF6699"/>
      <color rgb="FFC0C0C0"/>
      <color rgb="FF4D4D4D"/>
      <color rgb="FF00FFCC"/>
      <color rgb="FFCCCC00"/>
      <color rgb="FF38A6A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42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4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18679241305156"/>
          <c:y val="6.7267192950148297E-2"/>
          <c:w val="0.6934639053060383"/>
          <c:h val="0.80607756920468998"/>
        </c:manualLayout>
      </c:layout>
      <c:scatterChart>
        <c:scatterStyle val="lineMarker"/>
        <c:varyColors val="0"/>
        <c:ser>
          <c:idx val="0"/>
          <c:order val="0"/>
          <c:tx>
            <c:v>Subsonic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'Subsonic Aircraft'!$I$5:$I$19</c:f>
              <c:numCache>
                <c:formatCode>0.00</c:formatCode>
                <c:ptCount val="15"/>
                <c:pt idx="0">
                  <c:v>231.48</c:v>
                </c:pt>
                <c:pt idx="1">
                  <c:v>230.45</c:v>
                </c:pt>
                <c:pt idx="2">
                  <c:v>246.91</c:v>
                </c:pt>
                <c:pt idx="3">
                  <c:v>248.97</c:v>
                </c:pt>
                <c:pt idx="4">
                  <c:v>257.2</c:v>
                </c:pt>
                <c:pt idx="5">
                  <c:v>252.58</c:v>
                </c:pt>
                <c:pt idx="6">
                  <c:v>263.89</c:v>
                </c:pt>
                <c:pt idx="7">
                  <c:v>252.57</c:v>
                </c:pt>
                <c:pt idx="8">
                  <c:v>251.03</c:v>
                </c:pt>
                <c:pt idx="9">
                  <c:v>224.79</c:v>
                </c:pt>
                <c:pt idx="10">
                  <c:v>262.42</c:v>
                </c:pt>
                <c:pt idx="11">
                  <c:v>212.96</c:v>
                </c:pt>
                <c:pt idx="12">
                  <c:v>236.11</c:v>
                </c:pt>
                <c:pt idx="13">
                  <c:v>191.78</c:v>
                </c:pt>
                <c:pt idx="14">
                  <c:v>253.6</c:v>
                </c:pt>
              </c:numCache>
            </c:numRef>
          </c:xVal>
          <c:yVal>
            <c:numRef>
              <c:f>'Subsonic Aircraft'!$H$5:$H$19</c:f>
              <c:numCache>
                <c:formatCode>0.00</c:formatCode>
                <c:ptCount val="15"/>
                <c:pt idx="0">
                  <c:v>18.742387842772473</c:v>
                </c:pt>
                <c:pt idx="1">
                  <c:v>19.692328277035298</c:v>
                </c:pt>
                <c:pt idx="2">
                  <c:v>18.457262797838368</c:v>
                </c:pt>
                <c:pt idx="3">
                  <c:v>19.65183941380317</c:v>
                </c:pt>
                <c:pt idx="4">
                  <c:v>22.368052278099565</c:v>
                </c:pt>
                <c:pt idx="5">
                  <c:v>18.686467920217915</c:v>
                </c:pt>
                <c:pt idx="6">
                  <c:v>19.109132461803778</c:v>
                </c:pt>
                <c:pt idx="7">
                  <c:v>20.086554021884766</c:v>
                </c:pt>
                <c:pt idx="8">
                  <c:v>20.902561683939609</c:v>
                </c:pt>
                <c:pt idx="9">
                  <c:v>18.347231428402672</c:v>
                </c:pt>
                <c:pt idx="10">
                  <c:v>20.572832216787269</c:v>
                </c:pt>
                <c:pt idx="11">
                  <c:v>17.583963121966516</c:v>
                </c:pt>
                <c:pt idx="12">
                  <c:v>17.80061301135666</c:v>
                </c:pt>
                <c:pt idx="13">
                  <c:v>31.61339904561267</c:v>
                </c:pt>
                <c:pt idx="14">
                  <c:v>16.890565671343509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5C-4635-A0CC-9D1CB07B29FA}"/>
            </c:ext>
          </c:extLst>
        </c:ser>
        <c:ser>
          <c:idx val="11"/>
          <c:order val="1"/>
          <c:tx>
            <c:v>Supersonic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'Supersonic Aircraft'!$F$5</c:f>
              <c:numCache>
                <c:formatCode>0.000</c:formatCode>
                <c:ptCount val="1"/>
                <c:pt idx="0">
                  <c:v>599.44444444444446</c:v>
                </c:pt>
              </c:numCache>
            </c:numRef>
          </c:xVal>
          <c:yVal>
            <c:numRef>
              <c:f>'Supersonic Aircraft'!$G$5</c:f>
              <c:numCache>
                <c:formatCode>0.000</c:formatCode>
                <c:ptCount val="1"/>
                <c:pt idx="0">
                  <c:v>7.4318952734012989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006-4FE4-9E48-EACDBD36D019}"/>
            </c:ext>
          </c:extLst>
        </c:ser>
        <c:ser>
          <c:idx val="15"/>
          <c:order val="2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'Subsonic Aircraft'!$I$20:$I$21</c:f>
              <c:numCache>
                <c:formatCode>0.00</c:formatCode>
                <c:ptCount val="2"/>
                <c:pt idx="0">
                  <c:v>252.58</c:v>
                </c:pt>
                <c:pt idx="1">
                  <c:v>262.42</c:v>
                </c:pt>
              </c:numCache>
            </c:numRef>
          </c:xVal>
          <c:yVal>
            <c:numRef>
              <c:f>'Subsonic Aircraft'!$H$20:$H$21</c:f>
              <c:numCache>
                <c:formatCode>0.00</c:formatCode>
                <c:ptCount val="2"/>
                <c:pt idx="0">
                  <c:v>18.686467920217915</c:v>
                </c:pt>
                <c:pt idx="1">
                  <c:v>20.572832216787269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A5B-4F50-B08E-4AB75AEE2A43}"/>
            </c:ext>
          </c:extLst>
        </c:ser>
        <c:ser>
          <c:idx val="1"/>
          <c:order val="3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Helicopter!$D$5:$D$8</c:f>
              <c:numCache>
                <c:formatCode>General</c:formatCode>
                <c:ptCount val="4"/>
                <c:pt idx="0">
                  <c:v>55.56</c:v>
                </c:pt>
                <c:pt idx="1">
                  <c:v>56.11</c:v>
                </c:pt>
                <c:pt idx="2">
                  <c:v>65.28</c:v>
                </c:pt>
                <c:pt idx="3">
                  <c:v>56.67</c:v>
                </c:pt>
              </c:numCache>
            </c:numRef>
          </c:xVal>
          <c:yVal>
            <c:numRef>
              <c:f>Helicopter!$F$5:$F$8</c:f>
              <c:numCache>
                <c:formatCode>_(* #,##0.00_);_(* \(#,##0.00\);_(* "-"??_);_(@_)</c:formatCode>
                <c:ptCount val="4"/>
                <c:pt idx="0">
                  <c:v>3.8605039375609755</c:v>
                </c:pt>
                <c:pt idx="1">
                  <c:v>4.0598239960975615</c:v>
                </c:pt>
                <c:pt idx="2">
                  <c:v>2.6535779005524862</c:v>
                </c:pt>
                <c:pt idx="3">
                  <c:v>2.8460435238805974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5C-4635-A0CC-9D1CB07B29FA}"/>
            </c:ext>
          </c:extLst>
        </c:ser>
        <c:ser>
          <c:idx val="2"/>
          <c:order val="4"/>
          <c:tx>
            <c:v>Airship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Airship!$G$5</c:f>
              <c:numCache>
                <c:formatCode>0.00</c:formatCode>
                <c:ptCount val="1"/>
                <c:pt idx="0">
                  <c:v>34.72</c:v>
                </c:pt>
              </c:numCache>
            </c:numRef>
          </c:xVal>
          <c:yVal>
            <c:numRef>
              <c:f>Airship!$N$5</c:f>
              <c:numCache>
                <c:formatCode>0.00</c:formatCode>
                <c:ptCount val="1"/>
                <c:pt idx="0">
                  <c:v>74.494448813856579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5C-4635-A0CC-9D1CB07B29FA}"/>
            </c:ext>
          </c:extLst>
        </c:ser>
        <c:ser>
          <c:idx val="3"/>
          <c:order val="5"/>
          <c:tx>
            <c:v>Glider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Glider!$F$5:$F$6</c:f>
              <c:numCache>
                <c:formatCode>General</c:formatCode>
                <c:ptCount val="2"/>
                <c:pt idx="0">
                  <c:v>30.85</c:v>
                </c:pt>
                <c:pt idx="1">
                  <c:v>55.56</c:v>
                </c:pt>
              </c:numCache>
            </c:numRef>
          </c:xVal>
          <c:yVal>
            <c:numRef>
              <c:f>Glider!$H$5:$H$6</c:f>
              <c:numCache>
                <c:formatCode>General</c:formatCode>
                <c:ptCount val="2"/>
                <c:pt idx="0">
                  <c:v>36</c:v>
                </c:pt>
                <c:pt idx="1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5C-4635-A0CC-9D1CB07B29FA}"/>
            </c:ext>
          </c:extLst>
        </c:ser>
        <c:ser>
          <c:idx val="4"/>
          <c:order val="6"/>
          <c:tx>
            <c:v>Bulker, Tanker, Container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'Bulker, Tanker, Container'!$D$5:$D$21</c:f>
              <c:numCache>
                <c:formatCode>0.00</c:formatCode>
                <c:ptCount val="17"/>
                <c:pt idx="0">
                  <c:v>6.7847999999999997</c:v>
                </c:pt>
                <c:pt idx="1">
                  <c:v>7.0983400000000003</c:v>
                </c:pt>
                <c:pt idx="2">
                  <c:v>7.3553400000000009</c:v>
                </c:pt>
                <c:pt idx="3">
                  <c:v>7.5146799999999994</c:v>
                </c:pt>
                <c:pt idx="4">
                  <c:v>7.6072000000000006</c:v>
                </c:pt>
                <c:pt idx="5">
                  <c:v>7.71</c:v>
                </c:pt>
                <c:pt idx="6">
                  <c:v>7.1446000000000005</c:v>
                </c:pt>
                <c:pt idx="7">
                  <c:v>7.47356</c:v>
                </c:pt>
                <c:pt idx="8">
                  <c:v>7.71</c:v>
                </c:pt>
                <c:pt idx="9">
                  <c:v>7.71</c:v>
                </c:pt>
                <c:pt idx="10">
                  <c:v>7.71</c:v>
                </c:pt>
                <c:pt idx="11">
                  <c:v>7.71</c:v>
                </c:pt>
                <c:pt idx="12">
                  <c:v>7.9670000000000005</c:v>
                </c:pt>
                <c:pt idx="13">
                  <c:v>10.280000000000001</c:v>
                </c:pt>
                <c:pt idx="14">
                  <c:v>10.742599999999999</c:v>
                </c:pt>
                <c:pt idx="15">
                  <c:v>11.256599999999999</c:v>
                </c:pt>
                <c:pt idx="16">
                  <c:v>12.079000000000001</c:v>
                </c:pt>
              </c:numCache>
            </c:numRef>
          </c:xVal>
          <c:yVal>
            <c:numRef>
              <c:f>'Bulker, Tanker, Container'!$I$5:$I$21</c:f>
              <c:numCache>
                <c:formatCode>0.00</c:formatCode>
                <c:ptCount val="17"/>
                <c:pt idx="0">
                  <c:v>488.33758064516132</c:v>
                </c:pt>
                <c:pt idx="1">
                  <c:v>713.89410256410258</c:v>
                </c:pt>
                <c:pt idx="2">
                  <c:v>773.17759530791784</c:v>
                </c:pt>
                <c:pt idx="3">
                  <c:v>1180.8856005586592</c:v>
                </c:pt>
                <c:pt idx="4">
                  <c:v>1286.8378977272728</c:v>
                </c:pt>
                <c:pt idx="5">
                  <c:v>1986.2556502890175</c:v>
                </c:pt>
                <c:pt idx="6">
                  <c:v>413.00960526315788</c:v>
                </c:pt>
                <c:pt idx="7">
                  <c:v>638.66057788944727</c:v>
                </c:pt>
                <c:pt idx="8">
                  <c:v>771.26022955523672</c:v>
                </c:pt>
                <c:pt idx="9">
                  <c:v>822.2636565420562</c:v>
                </c:pt>
                <c:pt idx="10">
                  <c:v>1294.5554391891892</c:v>
                </c:pt>
                <c:pt idx="11">
                  <c:v>1613.4155250709557</c:v>
                </c:pt>
                <c:pt idx="12">
                  <c:v>1536.328734939759</c:v>
                </c:pt>
                <c:pt idx="13">
                  <c:v>375.86881266490769</c:v>
                </c:pt>
                <c:pt idx="14">
                  <c:v>399.8900675675676</c:v>
                </c:pt>
                <c:pt idx="15">
                  <c:v>445.33778501628666</c:v>
                </c:pt>
                <c:pt idx="16">
                  <c:v>603.3903740214555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95C-4635-A0CC-9D1CB07B29FA}"/>
            </c:ext>
          </c:extLst>
        </c:ser>
        <c:ser>
          <c:idx val="5"/>
          <c:order val="7"/>
          <c:tx>
            <c:v>Cruise 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'Cruise Ship'!$C$5:$C$7</c:f>
              <c:numCache>
                <c:formatCode>0.00</c:formatCode>
                <c:ptCount val="3"/>
                <c:pt idx="0">
                  <c:v>13.375</c:v>
                </c:pt>
                <c:pt idx="1">
                  <c:v>10.802777777777777</c:v>
                </c:pt>
                <c:pt idx="2">
                  <c:v>11.316666666666666</c:v>
                </c:pt>
              </c:numCache>
            </c:numRef>
          </c:xVal>
          <c:yVal>
            <c:numRef>
              <c:f>'Cruise Ship'!$O$5:$O$7</c:f>
              <c:numCache>
                <c:formatCode>0.00</c:formatCode>
                <c:ptCount val="3"/>
                <c:pt idx="0">
                  <c:v>494.05802063874012</c:v>
                </c:pt>
                <c:pt idx="1">
                  <c:v>699.7450202260876</c:v>
                </c:pt>
                <c:pt idx="2">
                  <c:v>737.12397758246448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D95C-4635-A0CC-9D1CB07B29FA}"/>
            </c:ext>
          </c:extLst>
        </c:ser>
        <c:ser>
          <c:idx val="6"/>
          <c:order val="8"/>
          <c:tx>
            <c:v>Car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99"/>
              </a:solidFill>
              <a:ln w="9525">
                <a:noFill/>
              </a:ln>
              <a:effectLst/>
            </c:spPr>
          </c:marker>
          <c:xVal>
            <c:numRef>
              <c:f>Car!$B$5:$B$12</c:f>
              <c:numCache>
                <c:formatCode>0.00</c:formatCode>
                <c:ptCount val="8"/>
                <c:pt idx="0">
                  <c:v>27.78</c:v>
                </c:pt>
                <c:pt idx="1">
                  <c:v>27.78</c:v>
                </c:pt>
                <c:pt idx="2">
                  <c:v>27.78</c:v>
                </c:pt>
                <c:pt idx="3">
                  <c:v>27.78</c:v>
                </c:pt>
                <c:pt idx="4">
                  <c:v>16.670000000000002</c:v>
                </c:pt>
                <c:pt idx="5">
                  <c:v>16.670000000000002</c:v>
                </c:pt>
                <c:pt idx="6">
                  <c:v>16.670000000000002</c:v>
                </c:pt>
                <c:pt idx="7">
                  <c:v>16.670000000000002</c:v>
                </c:pt>
              </c:numCache>
            </c:numRef>
          </c:xVal>
          <c:yVal>
            <c:numRef>
              <c:f>Car!$L$5:$L$12</c:f>
              <c:numCache>
                <c:formatCode>0.00</c:formatCode>
                <c:ptCount val="8"/>
                <c:pt idx="0">
                  <c:v>24.299053873518897</c:v>
                </c:pt>
                <c:pt idx="1">
                  <c:v>33.719628968652756</c:v>
                </c:pt>
                <c:pt idx="2">
                  <c:v>37.740722014218889</c:v>
                </c:pt>
                <c:pt idx="3">
                  <c:v>36.817918711316096</c:v>
                </c:pt>
                <c:pt idx="4">
                  <c:v>16.830015964659236</c:v>
                </c:pt>
                <c:pt idx="5">
                  <c:v>18.090529967129587</c:v>
                </c:pt>
                <c:pt idx="6">
                  <c:v>18.470713059827329</c:v>
                </c:pt>
                <c:pt idx="7">
                  <c:v>18.389486197926683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D95C-4635-A0CC-9D1CB07B29FA}"/>
            </c:ext>
          </c:extLst>
        </c:ser>
        <c:ser>
          <c:idx val="13"/>
          <c:order val="9"/>
          <c:tx>
            <c:v>Truck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CC"/>
              </a:solidFill>
              <a:ln w="9525">
                <a:noFill/>
              </a:ln>
              <a:effectLst/>
            </c:spPr>
          </c:marker>
          <c:xVal>
            <c:numRef>
              <c:f>Truck!$B$5:$B$7</c:f>
              <c:numCache>
                <c:formatCode>0.00</c:formatCode>
                <c:ptCount val="3"/>
                <c:pt idx="0">
                  <c:v>27.78</c:v>
                </c:pt>
                <c:pt idx="1">
                  <c:v>16.670000000000002</c:v>
                </c:pt>
                <c:pt idx="2">
                  <c:v>27.78</c:v>
                </c:pt>
              </c:numCache>
            </c:numRef>
          </c:xVal>
          <c:yVal>
            <c:numRef>
              <c:f>Truck!$L$5:$L$7</c:f>
              <c:numCache>
                <c:formatCode>0.00</c:formatCode>
                <c:ptCount val="3"/>
                <c:pt idx="0">
                  <c:v>39.713571457663974</c:v>
                </c:pt>
                <c:pt idx="1">
                  <c:v>18.633844488399756</c:v>
                </c:pt>
                <c:pt idx="2">
                  <c:v>39.977170569330553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09-4F7A-8796-D7D6FF60CDB6}"/>
            </c:ext>
          </c:extLst>
        </c:ser>
        <c:ser>
          <c:idx val="14"/>
          <c:order val="10"/>
          <c:tx>
            <c:v>Bus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3FA60"/>
              </a:solidFill>
              <a:ln w="9525">
                <a:noFill/>
              </a:ln>
              <a:effectLst/>
            </c:spPr>
          </c:marker>
          <c:xVal>
            <c:numRef>
              <c:f>Bus!$B$5</c:f>
              <c:numCache>
                <c:formatCode>0.00</c:formatCode>
                <c:ptCount val="1"/>
                <c:pt idx="0">
                  <c:v>27.78</c:v>
                </c:pt>
              </c:numCache>
            </c:numRef>
          </c:xVal>
          <c:yVal>
            <c:numRef>
              <c:f>Bus!$L$5</c:f>
              <c:numCache>
                <c:formatCode>0.00</c:formatCode>
                <c:ptCount val="1"/>
                <c:pt idx="0">
                  <c:v>44.448225038159556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B62-43D2-A0F8-3579ACBCEA06}"/>
            </c:ext>
          </c:extLst>
        </c:ser>
        <c:ser>
          <c:idx val="7"/>
          <c:order val="11"/>
          <c:tx>
            <c:v>High Speed 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2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Train!$C$5:$C$6</c:f>
              <c:numCache>
                <c:formatCode>_(* #,##0.00_);_(* \(#,##0.00\);_(* "-"??_);_(@_)</c:formatCode>
                <c:ptCount val="2"/>
                <c:pt idx="0">
                  <c:v>88.888888888888886</c:v>
                </c:pt>
                <c:pt idx="1">
                  <c:v>83.333333333333329</c:v>
                </c:pt>
              </c:numCache>
            </c:numRef>
          </c:xVal>
          <c:yVal>
            <c:numRef>
              <c:f>Train!$F$5:$F$6</c:f>
              <c:numCache>
                <c:formatCode>_(* #,##0.00_);_(* \(#,##0.00\);_(* "-"??_);_(@_)</c:formatCode>
                <c:ptCount val="2"/>
                <c:pt idx="0">
                  <c:v>72.87989142857144</c:v>
                </c:pt>
                <c:pt idx="1">
                  <c:v>73.575000000000003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D95C-4635-A0CC-9D1CB07B29FA}"/>
            </c:ext>
          </c:extLst>
        </c:ser>
        <c:ser>
          <c:idx val="8"/>
          <c:order val="12"/>
          <c:tx>
            <c:v>Human and Animal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C66FF"/>
              </a:solidFill>
              <a:ln w="9525">
                <a:noFill/>
              </a:ln>
              <a:effectLst/>
            </c:spPr>
          </c:marker>
          <c:xVal>
            <c:numRef>
              <c:f>'Human and Animal'!$F$5:$F$13</c:f>
              <c:numCache>
                <c:formatCode>0.00</c:formatCode>
                <c:ptCount val="9"/>
                <c:pt idx="0">
                  <c:v>1.3410818059901652</c:v>
                </c:pt>
                <c:pt idx="1">
                  <c:v>4.0232454179704957</c:v>
                </c:pt>
                <c:pt idx="2">
                  <c:v>10.013410818059901</c:v>
                </c:pt>
                <c:pt idx="3">
                  <c:v>6.9289226642825206</c:v>
                </c:pt>
                <c:pt idx="4">
                  <c:v>11.175681716584711</c:v>
                </c:pt>
                <c:pt idx="5">
                  <c:v>17.031738936075101</c:v>
                </c:pt>
                <c:pt idx="6">
                  <c:v>2.0116227089852479</c:v>
                </c:pt>
                <c:pt idx="7">
                  <c:v>4.0232454179704957</c:v>
                </c:pt>
                <c:pt idx="8">
                  <c:v>17.210549843540456</c:v>
                </c:pt>
              </c:numCache>
            </c:numRef>
          </c:xVal>
          <c:yVal>
            <c:numRef>
              <c:f>'Human and Animal'!$J$5:$J$13</c:f>
              <c:numCache>
                <c:formatCode>0.00</c:formatCode>
                <c:ptCount val="9"/>
                <c:pt idx="0">
                  <c:v>14.763997167957216</c:v>
                </c:pt>
                <c:pt idx="1">
                  <c:v>10.801530831266762</c:v>
                </c:pt>
                <c:pt idx="2">
                  <c:v>8.0983329096531698</c:v>
                </c:pt>
                <c:pt idx="3">
                  <c:v>30.591002132007347</c:v>
                </c:pt>
                <c:pt idx="4">
                  <c:v>22.69825233783402</c:v>
                </c:pt>
                <c:pt idx="5">
                  <c:v>15.594289285917586</c:v>
                </c:pt>
                <c:pt idx="6">
                  <c:v>65.634301926100107</c:v>
                </c:pt>
                <c:pt idx="7">
                  <c:v>74.834135170867782</c:v>
                </c:pt>
                <c:pt idx="8">
                  <c:v>51.340609506638323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D95C-4635-A0CC-9D1CB07B29FA}"/>
            </c:ext>
          </c:extLst>
        </c:ser>
        <c:ser>
          <c:idx val="9"/>
          <c:order val="13"/>
          <c:tx>
            <c:v>Hyerloop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2-AA89-4F1D-920C-2008D8F22E3F}"/>
              </c:ext>
            </c:extLst>
          </c:dPt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Hyperloop!$F$5:$F$6</c:f>
              <c:numCache>
                <c:formatCode>0.00</c:formatCode>
                <c:ptCount val="2"/>
                <c:pt idx="0">
                  <c:v>339.75</c:v>
                </c:pt>
                <c:pt idx="1">
                  <c:v>339.75</c:v>
                </c:pt>
              </c:numCache>
            </c:numRef>
          </c:xVal>
          <c:yVal>
            <c:numRef>
              <c:f>Hyperloop!$H$5:$H$6</c:f>
              <c:numCache>
                <c:formatCode>0.00</c:formatCode>
                <c:ptCount val="2"/>
                <c:pt idx="0">
                  <c:v>232.50683682771194</c:v>
                </c:pt>
                <c:pt idx="1">
                  <c:v>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D95C-4635-A0CC-9D1CB07B29FA}"/>
            </c:ext>
          </c:extLst>
        </c:ser>
        <c:ser>
          <c:idx val="12"/>
          <c:order val="14"/>
          <c:tx>
            <c:v>Oil and Gas Pipeline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Pipeline'!$J$5:$J$7</c:f>
              <c:numCache>
                <c:formatCode>_(* #,##0.00_);_(* \(#,##0.00\);_(* "-"??_);_(@_)</c:formatCode>
                <c:ptCount val="3"/>
                <c:pt idx="0">
                  <c:v>103.59381463383635</c:v>
                </c:pt>
                <c:pt idx="1">
                  <c:v>44.297551541316729</c:v>
                </c:pt>
                <c:pt idx="2">
                  <c:v>18.059629158942883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CA4-4C06-8BB8-F9A610369AB1}"/>
            </c:ext>
          </c:extLst>
        </c:ser>
        <c:ser>
          <c:idx val="10"/>
          <c:order val="15"/>
          <c:tx>
            <c:v>Line hyperloop alpha passenger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'a_LD hyperloop'!$B$2:$B$101</c:f>
              <c:numCache>
                <c:formatCode>General</c:formatCode>
                <c:ptCount val="10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</c:numCache>
            </c:numRef>
          </c:xVal>
          <c:yVal>
            <c:numRef>
              <c:f>'a_LD hyperloop'!$C$2:$C$101</c:f>
              <c:numCache>
                <c:formatCode>_(* #,##0.00_);_(* \(#,##0.00\);_(* "-"??_);_(@_)</c:formatCode>
                <c:ptCount val="100"/>
                <c:pt idx="0">
                  <c:v>111098.25</c:v>
                </c:pt>
                <c:pt idx="1">
                  <c:v>11109.825000000001</c:v>
                </c:pt>
                <c:pt idx="2">
                  <c:v>5554.9125000000004</c:v>
                </c:pt>
                <c:pt idx="3">
                  <c:v>3703.2750000000001</c:v>
                </c:pt>
                <c:pt idx="4">
                  <c:v>2777.4562500000002</c:v>
                </c:pt>
                <c:pt idx="5">
                  <c:v>2221.9650000000001</c:v>
                </c:pt>
                <c:pt idx="6">
                  <c:v>1851.6375</c:v>
                </c:pt>
                <c:pt idx="7">
                  <c:v>1587.1178571428572</c:v>
                </c:pt>
                <c:pt idx="8">
                  <c:v>1388.7281250000001</c:v>
                </c:pt>
                <c:pt idx="9">
                  <c:v>1234.425</c:v>
                </c:pt>
                <c:pt idx="10">
                  <c:v>1110.9825000000001</c:v>
                </c:pt>
                <c:pt idx="11">
                  <c:v>1009.9840909090909</c:v>
                </c:pt>
                <c:pt idx="12">
                  <c:v>925.81875000000002</c:v>
                </c:pt>
                <c:pt idx="13">
                  <c:v>854.60192307692307</c:v>
                </c:pt>
                <c:pt idx="14">
                  <c:v>793.55892857142862</c:v>
                </c:pt>
                <c:pt idx="15">
                  <c:v>740.65499999999997</c:v>
                </c:pt>
                <c:pt idx="16">
                  <c:v>694.36406250000005</c:v>
                </c:pt>
                <c:pt idx="17">
                  <c:v>653.51911764705881</c:v>
                </c:pt>
                <c:pt idx="18">
                  <c:v>617.21249999999998</c:v>
                </c:pt>
                <c:pt idx="19">
                  <c:v>584.72763157894735</c:v>
                </c:pt>
                <c:pt idx="20">
                  <c:v>555.49125000000004</c:v>
                </c:pt>
                <c:pt idx="21">
                  <c:v>529.03928571428571</c:v>
                </c:pt>
                <c:pt idx="22">
                  <c:v>504.99204545454546</c:v>
                </c:pt>
                <c:pt idx="23">
                  <c:v>483.03586956521741</c:v>
                </c:pt>
                <c:pt idx="24">
                  <c:v>462.90937500000001</c:v>
                </c:pt>
                <c:pt idx="25">
                  <c:v>444.39299999999997</c:v>
                </c:pt>
                <c:pt idx="26">
                  <c:v>427.30096153846154</c:v>
                </c:pt>
                <c:pt idx="27">
                  <c:v>411.47500000000002</c:v>
                </c:pt>
                <c:pt idx="28">
                  <c:v>396.77946428571431</c:v>
                </c:pt>
                <c:pt idx="29">
                  <c:v>383.09741379310344</c:v>
                </c:pt>
                <c:pt idx="30">
                  <c:v>370.32749999999999</c:v>
                </c:pt>
                <c:pt idx="31">
                  <c:v>358.38145161290322</c:v>
                </c:pt>
                <c:pt idx="32">
                  <c:v>347.18203125000002</c:v>
                </c:pt>
                <c:pt idx="33">
                  <c:v>336.66136363636366</c:v>
                </c:pt>
                <c:pt idx="34">
                  <c:v>326.7595588235294</c:v>
                </c:pt>
                <c:pt idx="35">
                  <c:v>317.42357142857145</c:v>
                </c:pt>
                <c:pt idx="36">
                  <c:v>308.60624999999999</c:v>
                </c:pt>
                <c:pt idx="37">
                  <c:v>300.26554054054054</c:v>
                </c:pt>
                <c:pt idx="38">
                  <c:v>292.36381578947368</c:v>
                </c:pt>
                <c:pt idx="39">
                  <c:v>284.86730769230769</c:v>
                </c:pt>
                <c:pt idx="40">
                  <c:v>277.74562500000002</c:v>
                </c:pt>
                <c:pt idx="41">
                  <c:v>270.97134146341466</c:v>
                </c:pt>
                <c:pt idx="42">
                  <c:v>264.51964285714286</c:v>
                </c:pt>
                <c:pt idx="43">
                  <c:v>258.36802325581397</c:v>
                </c:pt>
                <c:pt idx="44">
                  <c:v>252.49602272727273</c:v>
                </c:pt>
                <c:pt idx="45">
                  <c:v>246.88499999999999</c:v>
                </c:pt>
                <c:pt idx="46">
                  <c:v>241.51793478260871</c:v>
                </c:pt>
                <c:pt idx="47">
                  <c:v>236.37925531914894</c:v>
                </c:pt>
                <c:pt idx="48">
                  <c:v>231.45468750000001</c:v>
                </c:pt>
                <c:pt idx="49">
                  <c:v>226.73112244897959</c:v>
                </c:pt>
                <c:pt idx="50">
                  <c:v>222.19649999999999</c:v>
                </c:pt>
                <c:pt idx="51">
                  <c:v>217.83970588235294</c:v>
                </c:pt>
                <c:pt idx="52">
                  <c:v>213.65048076923077</c:v>
                </c:pt>
                <c:pt idx="53">
                  <c:v>209.61933962264152</c:v>
                </c:pt>
                <c:pt idx="54">
                  <c:v>205.73750000000001</c:v>
                </c:pt>
                <c:pt idx="55">
                  <c:v>201.99681818181818</c:v>
                </c:pt>
                <c:pt idx="56">
                  <c:v>198.38973214285716</c:v>
                </c:pt>
                <c:pt idx="57">
                  <c:v>194.9092105263158</c:v>
                </c:pt>
                <c:pt idx="58">
                  <c:v>191.54870689655172</c:v>
                </c:pt>
                <c:pt idx="59">
                  <c:v>188.3021186440678</c:v>
                </c:pt>
                <c:pt idx="60">
                  <c:v>185.16374999999999</c:v>
                </c:pt>
                <c:pt idx="61">
                  <c:v>182.1282786885246</c:v>
                </c:pt>
                <c:pt idx="62">
                  <c:v>179.19072580645161</c:v>
                </c:pt>
                <c:pt idx="63">
                  <c:v>176.34642857142856</c:v>
                </c:pt>
                <c:pt idx="64">
                  <c:v>173.59101562500001</c:v>
                </c:pt>
                <c:pt idx="65">
                  <c:v>170.92038461538462</c:v>
                </c:pt>
                <c:pt idx="66">
                  <c:v>168.33068181818183</c:v>
                </c:pt>
                <c:pt idx="67">
                  <c:v>165.81828358208955</c:v>
                </c:pt>
                <c:pt idx="68">
                  <c:v>163.3797794117647</c:v>
                </c:pt>
                <c:pt idx="69">
                  <c:v>161.01195652173914</c:v>
                </c:pt>
                <c:pt idx="70">
                  <c:v>158.71178571428572</c:v>
                </c:pt>
                <c:pt idx="71">
                  <c:v>156.47640845070421</c:v>
                </c:pt>
                <c:pt idx="72">
                  <c:v>154.30312499999999</c:v>
                </c:pt>
                <c:pt idx="73">
                  <c:v>152.18938356164384</c:v>
                </c:pt>
                <c:pt idx="74">
                  <c:v>150.13277027027027</c:v>
                </c:pt>
                <c:pt idx="75">
                  <c:v>148.131</c:v>
                </c:pt>
                <c:pt idx="76">
                  <c:v>146.18190789473684</c:v>
                </c:pt>
                <c:pt idx="77">
                  <c:v>144.28344155844155</c:v>
                </c:pt>
                <c:pt idx="78">
                  <c:v>142.43365384615385</c:v>
                </c:pt>
                <c:pt idx="79">
                  <c:v>140.63069620253165</c:v>
                </c:pt>
                <c:pt idx="80">
                  <c:v>138.87281250000001</c:v>
                </c:pt>
                <c:pt idx="81">
                  <c:v>137.15833333333333</c:v>
                </c:pt>
                <c:pt idx="82">
                  <c:v>135.48567073170733</c:v>
                </c:pt>
                <c:pt idx="83">
                  <c:v>133.85331325301206</c:v>
                </c:pt>
                <c:pt idx="84">
                  <c:v>132.25982142857143</c:v>
                </c:pt>
                <c:pt idx="85">
                  <c:v>130.70382352941178</c:v>
                </c:pt>
                <c:pt idx="86">
                  <c:v>129.18401162790698</c:v>
                </c:pt>
                <c:pt idx="87">
                  <c:v>127.69913793103449</c:v>
                </c:pt>
                <c:pt idx="88">
                  <c:v>126.24801136363637</c:v>
                </c:pt>
                <c:pt idx="89">
                  <c:v>124.82949438202247</c:v>
                </c:pt>
                <c:pt idx="90">
                  <c:v>123.4425</c:v>
                </c:pt>
                <c:pt idx="91">
                  <c:v>122.08598901098901</c:v>
                </c:pt>
                <c:pt idx="92">
                  <c:v>120.75896739130435</c:v>
                </c:pt>
                <c:pt idx="93">
                  <c:v>119.46048387096774</c:v>
                </c:pt>
                <c:pt idx="94">
                  <c:v>118.18962765957447</c:v>
                </c:pt>
                <c:pt idx="95">
                  <c:v>116.94552631578948</c:v>
                </c:pt>
                <c:pt idx="96">
                  <c:v>115.72734375</c:v>
                </c:pt>
                <c:pt idx="97">
                  <c:v>114.53427835051546</c:v>
                </c:pt>
                <c:pt idx="98">
                  <c:v>113.3655612244898</c:v>
                </c:pt>
                <c:pt idx="99">
                  <c:v>112.22045454545454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8B4-48D5-A9A0-64CBC369B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37536"/>
        <c:axId val="65539456"/>
      </c:scatterChart>
      <c:valAx>
        <c:axId val="6553753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Cruise speed</a:t>
                </a:r>
                <a:r>
                  <a:rPr lang="en-GB" sz="1600" baseline="0"/>
                  <a:t> [m/s]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39456"/>
        <c:crosses val="autoZero"/>
        <c:crossBetween val="midCat"/>
      </c:valAx>
      <c:valAx>
        <c:axId val="65539456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0"/>
                  <a:t>L/D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37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ayout>
        <c:manualLayout>
          <c:xMode val="edge"/>
          <c:yMode val="edge"/>
          <c:x val="0.82886423724225244"/>
          <c:y val="6.4995564602565739E-2"/>
          <c:w val="0.15506469705914314"/>
          <c:h val="0.801303877104732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26429889276772"/>
          <c:y val="3.5972216706923549E-2"/>
          <c:w val="0.57612096058287598"/>
          <c:h val="0.83315655602114269"/>
        </c:manualLayout>
      </c:layout>
      <c:scatterChart>
        <c:scatterStyle val="smoothMarker"/>
        <c:varyColors val="0"/>
        <c:ser>
          <c:idx val="13"/>
          <c:order val="14"/>
          <c:tx>
            <c:v>Line VLBC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'a_mCO2 Hyperloop'!$E$2:$E$105</c:f>
              <c:numCache>
                <c:formatCode>General</c:formatCode>
                <c:ptCount val="104"/>
                <c:pt idx="0" formatCode="_(* #,##0.00_);_(* \(#,##0.00\);_(* &quot;-&quot;??_);_(@_)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2000</c:v>
                </c:pt>
                <c:pt idx="102">
                  <c:v>3000</c:v>
                </c:pt>
                <c:pt idx="103">
                  <c:v>5000</c:v>
                </c:pt>
              </c:numCache>
            </c:numRef>
          </c:xVal>
          <c:yVal>
            <c:numRef>
              <c:f>'a_mCO2 Hyperloop'!$F$2:$F$105</c:f>
              <c:numCache>
                <c:formatCode>_(* #,##0.00_);_(* \(#,##0.00\);_(* "-"??_);_(@_)</c:formatCode>
                <c:ptCount val="104"/>
                <c:pt idx="0">
                  <c:v>731.98502886002871</c:v>
                </c:pt>
                <c:pt idx="1">
                  <c:v>73.198502886002871</c:v>
                </c:pt>
                <c:pt idx="2">
                  <c:v>36.599251443001435</c:v>
                </c:pt>
                <c:pt idx="3">
                  <c:v>24.399500962000957</c:v>
                </c:pt>
                <c:pt idx="4">
                  <c:v>18.299625721500718</c:v>
                </c:pt>
                <c:pt idx="5">
                  <c:v>14.639700577200575</c:v>
                </c:pt>
                <c:pt idx="6">
                  <c:v>12.199750481000478</c:v>
                </c:pt>
                <c:pt idx="7">
                  <c:v>10.456928983714695</c:v>
                </c:pt>
                <c:pt idx="8">
                  <c:v>9.1498128607503588</c:v>
                </c:pt>
                <c:pt idx="9">
                  <c:v>8.1331669873336523</c:v>
                </c:pt>
                <c:pt idx="10">
                  <c:v>7.3198502886002874</c:v>
                </c:pt>
                <c:pt idx="11">
                  <c:v>6.654409353272988</c:v>
                </c:pt>
                <c:pt idx="12">
                  <c:v>6.0998752405002392</c:v>
                </c:pt>
                <c:pt idx="13">
                  <c:v>5.6306540681540671</c:v>
                </c:pt>
                <c:pt idx="14">
                  <c:v>5.2284644918573475</c:v>
                </c:pt>
                <c:pt idx="15">
                  <c:v>4.879900192400191</c:v>
                </c:pt>
                <c:pt idx="16">
                  <c:v>4.5749064303751794</c:v>
                </c:pt>
                <c:pt idx="17">
                  <c:v>4.3057942874119339</c:v>
                </c:pt>
                <c:pt idx="18">
                  <c:v>4.0665834936668261</c:v>
                </c:pt>
                <c:pt idx="19">
                  <c:v>3.8525527834738353</c:v>
                </c:pt>
                <c:pt idx="20">
                  <c:v>3.6599251443001437</c:v>
                </c:pt>
                <c:pt idx="21">
                  <c:v>3.4856429945715655</c:v>
                </c:pt>
                <c:pt idx="22">
                  <c:v>3.327204676636494</c:v>
                </c:pt>
                <c:pt idx="23">
                  <c:v>3.1825436037392554</c:v>
                </c:pt>
                <c:pt idx="24">
                  <c:v>3.0499376202501196</c:v>
                </c:pt>
                <c:pt idx="25">
                  <c:v>2.9279401154401148</c:v>
                </c:pt>
                <c:pt idx="26">
                  <c:v>2.8153270340770336</c:v>
                </c:pt>
                <c:pt idx="27">
                  <c:v>2.7110556624445508</c:v>
                </c:pt>
                <c:pt idx="28">
                  <c:v>2.6142322459286738</c:v>
                </c:pt>
                <c:pt idx="29">
                  <c:v>2.5240863064138921</c:v>
                </c:pt>
                <c:pt idx="30">
                  <c:v>2.4399500962000955</c:v>
                </c:pt>
                <c:pt idx="31">
                  <c:v>2.3612420285807376</c:v>
                </c:pt>
                <c:pt idx="32">
                  <c:v>2.2874532151875897</c:v>
                </c:pt>
                <c:pt idx="33">
                  <c:v>2.218136451090996</c:v>
                </c:pt>
                <c:pt idx="34">
                  <c:v>2.152897143705967</c:v>
                </c:pt>
                <c:pt idx="35">
                  <c:v>2.091385796742939</c:v>
                </c:pt>
                <c:pt idx="36">
                  <c:v>2.0332917468334131</c:v>
                </c:pt>
                <c:pt idx="37">
                  <c:v>1.9783379158379155</c:v>
                </c:pt>
                <c:pt idx="38">
                  <c:v>1.9262763917369177</c:v>
                </c:pt>
                <c:pt idx="39">
                  <c:v>1.8768846893846889</c:v>
                </c:pt>
                <c:pt idx="40">
                  <c:v>1.8299625721500719</c:v>
                </c:pt>
                <c:pt idx="41">
                  <c:v>1.7853293386829969</c:v>
                </c:pt>
                <c:pt idx="42">
                  <c:v>1.7428214972857827</c:v>
                </c:pt>
                <c:pt idx="43">
                  <c:v>1.7022907647907644</c:v>
                </c:pt>
                <c:pt idx="44">
                  <c:v>1.663602338318247</c:v>
                </c:pt>
                <c:pt idx="45">
                  <c:v>1.6266333974667304</c:v>
                </c:pt>
                <c:pt idx="46">
                  <c:v>1.5912718018696277</c:v>
                </c:pt>
                <c:pt idx="47">
                  <c:v>1.5574149550213376</c:v>
                </c:pt>
                <c:pt idx="48">
                  <c:v>1.5249688101250598</c:v>
                </c:pt>
                <c:pt idx="49">
                  <c:v>1.493846997673528</c:v>
                </c:pt>
                <c:pt idx="50">
                  <c:v>1.4639700577200574</c:v>
                </c:pt>
                <c:pt idx="51">
                  <c:v>1.4352647624706445</c:v>
                </c:pt>
                <c:pt idx="52">
                  <c:v>1.4076635170385168</c:v>
                </c:pt>
                <c:pt idx="53">
                  <c:v>1.3811038280377901</c:v>
                </c:pt>
                <c:pt idx="54">
                  <c:v>1.3555278312222754</c:v>
                </c:pt>
                <c:pt idx="55">
                  <c:v>1.3308818706545977</c:v>
                </c:pt>
                <c:pt idx="56">
                  <c:v>1.3071161229643369</c:v>
                </c:pt>
                <c:pt idx="57">
                  <c:v>1.284184261157945</c:v>
                </c:pt>
                <c:pt idx="58">
                  <c:v>1.262043153206946</c:v>
                </c:pt>
                <c:pt idx="59">
                  <c:v>1.2406525912881843</c:v>
                </c:pt>
                <c:pt idx="60">
                  <c:v>1.2199750481000478</c:v>
                </c:pt>
                <c:pt idx="61">
                  <c:v>1.199975457147588</c:v>
                </c:pt>
                <c:pt idx="62">
                  <c:v>1.1806210142903688</c:v>
                </c:pt>
                <c:pt idx="63">
                  <c:v>1.1618809981905218</c:v>
                </c:pt>
                <c:pt idx="64">
                  <c:v>1.1437266075937949</c:v>
                </c:pt>
                <c:pt idx="65">
                  <c:v>1.1261308136308135</c:v>
                </c:pt>
                <c:pt idx="66">
                  <c:v>1.109068225545498</c:v>
                </c:pt>
                <c:pt idx="67">
                  <c:v>1.0925149684478039</c:v>
                </c:pt>
                <c:pt idx="68">
                  <c:v>1.0764485718529835</c:v>
                </c:pt>
                <c:pt idx="69">
                  <c:v>1.0608478679130851</c:v>
                </c:pt>
                <c:pt idx="70">
                  <c:v>1.0456928983714695</c:v>
                </c:pt>
                <c:pt idx="71">
                  <c:v>1.0309648293803222</c:v>
                </c:pt>
                <c:pt idx="72">
                  <c:v>1.0166458734167065</c:v>
                </c:pt>
                <c:pt idx="73">
                  <c:v>1.0027192176164776</c:v>
                </c:pt>
                <c:pt idx="74">
                  <c:v>0.98916895791895776</c:v>
                </c:pt>
                <c:pt idx="75">
                  <c:v>0.97598003848003823</c:v>
                </c:pt>
                <c:pt idx="76">
                  <c:v>0.96313819586845884</c:v>
                </c:pt>
                <c:pt idx="77">
                  <c:v>0.95062990761042687</c:v>
                </c:pt>
                <c:pt idx="78">
                  <c:v>0.93844234469234444</c:v>
                </c:pt>
                <c:pt idx="79">
                  <c:v>0.92656332767092242</c:v>
                </c:pt>
                <c:pt idx="80">
                  <c:v>0.91498128607503593</c:v>
                </c:pt>
                <c:pt idx="81">
                  <c:v>0.90368522081485025</c:v>
                </c:pt>
                <c:pt idx="82">
                  <c:v>0.89266466934149846</c:v>
                </c:pt>
                <c:pt idx="83">
                  <c:v>0.88190967332533576</c:v>
                </c:pt>
                <c:pt idx="84">
                  <c:v>0.87141074864289136</c:v>
                </c:pt>
                <c:pt idx="85">
                  <c:v>0.86115885748238674</c:v>
                </c:pt>
                <c:pt idx="86">
                  <c:v>0.85114538239538218</c:v>
                </c:pt>
                <c:pt idx="87">
                  <c:v>0.84136210213796403</c:v>
                </c:pt>
                <c:pt idx="88">
                  <c:v>0.8318011691591235</c:v>
                </c:pt>
                <c:pt idx="89">
                  <c:v>0.82245508860677385</c:v>
                </c:pt>
                <c:pt idx="90">
                  <c:v>0.81331669873336521</c:v>
                </c:pt>
                <c:pt idx="91">
                  <c:v>0.80437915259343817</c:v>
                </c:pt>
                <c:pt idx="92">
                  <c:v>0.79563590093481384</c:v>
                </c:pt>
                <c:pt idx="93">
                  <c:v>0.78708067619357924</c:v>
                </c:pt>
                <c:pt idx="94">
                  <c:v>0.77870747751066882</c:v>
                </c:pt>
                <c:pt idx="95">
                  <c:v>0.77051055669476709</c:v>
                </c:pt>
                <c:pt idx="96">
                  <c:v>0.7624844050625299</c:v>
                </c:pt>
                <c:pt idx="97">
                  <c:v>0.75462374109281305</c:v>
                </c:pt>
                <c:pt idx="98">
                  <c:v>0.74692349883676401</c:v>
                </c:pt>
                <c:pt idx="99">
                  <c:v>0.73937881703033204</c:v>
                </c:pt>
                <c:pt idx="100">
                  <c:v>0.7319850288600287</c:v>
                </c:pt>
                <c:pt idx="101">
                  <c:v>0.36599251443001435</c:v>
                </c:pt>
                <c:pt idx="102">
                  <c:v>0.24399500962000956</c:v>
                </c:pt>
                <c:pt idx="103">
                  <c:v>0.14639700577200573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9C-4D6C-BD78-E9F492DD5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15968"/>
        <c:axId val="213317888"/>
      </c:scatterChart>
      <c:scatterChart>
        <c:scatterStyle val="lineMarker"/>
        <c:varyColors val="0"/>
        <c:ser>
          <c:idx val="0"/>
          <c:order val="0"/>
          <c:tx>
            <c:v>Subsonic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('Subsonic Aircraft'!$I$5:$I$17,'Subsonic Aircraft'!$I$19)</c:f>
              <c:numCache>
                <c:formatCode>0.00</c:formatCode>
                <c:ptCount val="14"/>
                <c:pt idx="0">
                  <c:v>231.48</c:v>
                </c:pt>
                <c:pt idx="1">
                  <c:v>230.45</c:v>
                </c:pt>
                <c:pt idx="2">
                  <c:v>246.91</c:v>
                </c:pt>
                <c:pt idx="3">
                  <c:v>248.97</c:v>
                </c:pt>
                <c:pt idx="4">
                  <c:v>257.2</c:v>
                </c:pt>
                <c:pt idx="5">
                  <c:v>252.58</c:v>
                </c:pt>
                <c:pt idx="6">
                  <c:v>263.89</c:v>
                </c:pt>
                <c:pt idx="7">
                  <c:v>252.57</c:v>
                </c:pt>
                <c:pt idx="8">
                  <c:v>251.03</c:v>
                </c:pt>
                <c:pt idx="9">
                  <c:v>224.79</c:v>
                </c:pt>
                <c:pt idx="10">
                  <c:v>262.42</c:v>
                </c:pt>
                <c:pt idx="11">
                  <c:v>212.96</c:v>
                </c:pt>
                <c:pt idx="12">
                  <c:v>236.11</c:v>
                </c:pt>
                <c:pt idx="13">
                  <c:v>253.6</c:v>
                </c:pt>
              </c:numCache>
            </c:numRef>
          </c:xVal>
          <c:yVal>
            <c:numRef>
              <c:f>('Subsonic Aircraft'!$AH$5:$AH$17,'Subsonic Aircraft'!$AH$19)</c:f>
              <c:numCache>
                <c:formatCode>0.0000</c:formatCode>
                <c:ptCount val="14"/>
                <c:pt idx="0">
                  <c:v>8.8986274920398123E-2</c:v>
                </c:pt>
                <c:pt idx="1">
                  <c:v>7.5482035918317134E-2</c:v>
                </c:pt>
                <c:pt idx="2">
                  <c:v>7.7899392924218269E-2</c:v>
                </c:pt>
                <c:pt idx="3">
                  <c:v>7.7288346273349462E-2</c:v>
                </c:pt>
                <c:pt idx="4">
                  <c:v>7.7137984029879023E-2</c:v>
                </c:pt>
                <c:pt idx="5">
                  <c:v>5.1604123184433852E-2</c:v>
                </c:pt>
                <c:pt idx="6">
                  <c:v>7.1162419781182026E-2</c:v>
                </c:pt>
                <c:pt idx="7">
                  <c:v>8.8800570306485235E-2</c:v>
                </c:pt>
                <c:pt idx="8">
                  <c:v>9.4694758990336012E-2</c:v>
                </c:pt>
                <c:pt idx="9">
                  <c:v>0.11884703897050615</c:v>
                </c:pt>
                <c:pt idx="10">
                  <c:v>7.7102728607623419E-2</c:v>
                </c:pt>
                <c:pt idx="11">
                  <c:v>5.7539189692172615E-2</c:v>
                </c:pt>
                <c:pt idx="12">
                  <c:v>3.9839094975155864E-2</c:v>
                </c:pt>
                <c:pt idx="13">
                  <c:v>2.5325705495528768E-2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4F-4BAF-9A63-A362CE8076EE}"/>
            </c:ext>
          </c:extLst>
        </c:ser>
        <c:ser>
          <c:idx val="1"/>
          <c:order val="1"/>
          <c:tx>
            <c:v>Supersonic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'Supersonic Aircraft'!$F$5</c:f>
              <c:numCache>
                <c:formatCode>0.000</c:formatCode>
                <c:ptCount val="1"/>
                <c:pt idx="0">
                  <c:v>599.44444444444446</c:v>
                </c:pt>
              </c:numCache>
            </c:numRef>
          </c:xVal>
          <c:yVal>
            <c:numRef>
              <c:f>'Supersonic Aircraft'!$AF$5</c:f>
              <c:numCache>
                <c:formatCode>0.000</c:formatCode>
                <c:ptCount val="1"/>
                <c:pt idx="0">
                  <c:v>1.1135881409063067E-2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4F-4BAF-9A63-A362CE8076EE}"/>
            </c:ext>
          </c:extLst>
        </c:ser>
        <c:ser>
          <c:idx val="14"/>
          <c:order val="2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'Subsonic Aircraft'!$I$20:$I$21</c:f>
              <c:numCache>
                <c:formatCode>0.00</c:formatCode>
                <c:ptCount val="2"/>
                <c:pt idx="0">
                  <c:v>252.58</c:v>
                </c:pt>
                <c:pt idx="1">
                  <c:v>262.42</c:v>
                </c:pt>
              </c:numCache>
            </c:numRef>
          </c:xVal>
          <c:yVal>
            <c:numRef>
              <c:f>'Subsonic Aircraft'!$AH$20:$AH$21</c:f>
              <c:numCache>
                <c:formatCode>0.0000</c:formatCode>
                <c:ptCount val="2"/>
                <c:pt idx="0">
                  <c:v>9.5303924424558331E-2</c:v>
                </c:pt>
                <c:pt idx="1">
                  <c:v>0.12760539049444386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9C-4D6C-BD78-E9F492DD52EE}"/>
            </c:ext>
          </c:extLst>
        </c:ser>
        <c:ser>
          <c:idx val="2"/>
          <c:order val="3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Helicopter!$D$5:$D$8</c:f>
              <c:numCache>
                <c:formatCode>General</c:formatCode>
                <c:ptCount val="4"/>
                <c:pt idx="0">
                  <c:v>55.56</c:v>
                </c:pt>
                <c:pt idx="1">
                  <c:v>56.11</c:v>
                </c:pt>
                <c:pt idx="2">
                  <c:v>65.28</c:v>
                </c:pt>
                <c:pt idx="3">
                  <c:v>56.67</c:v>
                </c:pt>
              </c:numCache>
            </c:numRef>
          </c:xVal>
          <c:yVal>
            <c:numRef>
              <c:f>Helicopter!$AB$5:$AB$8</c:f>
              <c:numCache>
                <c:formatCode>_(* #,##0.00_);_(* \(#,##0.00\);_(* "-"??_);_(@_)</c:formatCode>
                <c:ptCount val="4"/>
                <c:pt idx="0">
                  <c:v>6.2678571428571417E-2</c:v>
                </c:pt>
                <c:pt idx="1">
                  <c:v>6.6249999999999989E-2</c:v>
                </c:pt>
                <c:pt idx="2">
                  <c:v>4.0419059813426007E-2</c:v>
                </c:pt>
                <c:pt idx="3">
                  <c:v>4.1651494922522951E-2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4F-4BAF-9A63-A362CE8076EE}"/>
            </c:ext>
          </c:extLst>
        </c:ser>
        <c:ser>
          <c:idx val="3"/>
          <c:order val="4"/>
          <c:tx>
            <c:v>Airship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Airship!$G$5</c:f>
              <c:numCache>
                <c:formatCode>0.00</c:formatCode>
                <c:ptCount val="1"/>
                <c:pt idx="0">
                  <c:v>34.72</c:v>
                </c:pt>
              </c:numCache>
            </c:numRef>
          </c:xVal>
          <c:yVal>
            <c:numRef>
              <c:f>Airship!$AJ$5</c:f>
              <c:numCache>
                <c:formatCode>0.00</c:formatCode>
                <c:ptCount val="1"/>
                <c:pt idx="0">
                  <c:v>0.10422117564974709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4F-4BAF-9A63-A362CE8076EE}"/>
            </c:ext>
          </c:extLst>
        </c:ser>
        <c:ser>
          <c:idx val="4"/>
          <c:order val="5"/>
          <c:tx>
            <c:v>Bulker, Tanker, Container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'Bulker, Tanker, Container'!$D$5:$D$21</c:f>
              <c:numCache>
                <c:formatCode>0.00</c:formatCode>
                <c:ptCount val="17"/>
                <c:pt idx="0">
                  <c:v>6.7847999999999997</c:v>
                </c:pt>
                <c:pt idx="1">
                  <c:v>7.0983400000000003</c:v>
                </c:pt>
                <c:pt idx="2">
                  <c:v>7.3553400000000009</c:v>
                </c:pt>
                <c:pt idx="3">
                  <c:v>7.5146799999999994</c:v>
                </c:pt>
                <c:pt idx="4">
                  <c:v>7.6072000000000006</c:v>
                </c:pt>
                <c:pt idx="5">
                  <c:v>7.71</c:v>
                </c:pt>
                <c:pt idx="6">
                  <c:v>7.1446000000000005</c:v>
                </c:pt>
                <c:pt idx="7">
                  <c:v>7.47356</c:v>
                </c:pt>
                <c:pt idx="8">
                  <c:v>7.71</c:v>
                </c:pt>
                <c:pt idx="9">
                  <c:v>7.71</c:v>
                </c:pt>
                <c:pt idx="10">
                  <c:v>7.71</c:v>
                </c:pt>
                <c:pt idx="11">
                  <c:v>7.71</c:v>
                </c:pt>
                <c:pt idx="12">
                  <c:v>7.9670000000000005</c:v>
                </c:pt>
                <c:pt idx="13">
                  <c:v>10.280000000000001</c:v>
                </c:pt>
                <c:pt idx="14">
                  <c:v>10.742599999999999</c:v>
                </c:pt>
                <c:pt idx="15">
                  <c:v>11.256599999999999</c:v>
                </c:pt>
                <c:pt idx="16">
                  <c:v>12.079000000000001</c:v>
                </c:pt>
              </c:numCache>
            </c:numRef>
          </c:xVal>
          <c:yVal>
            <c:numRef>
              <c:f>'Bulker, Tanker, Container'!$AE$5:$AE$21</c:f>
              <c:numCache>
                <c:formatCode>0.00</c:formatCode>
                <c:ptCount val="17"/>
                <c:pt idx="0">
                  <c:v>6.447969052224372</c:v>
                </c:pt>
                <c:pt idx="1">
                  <c:v>14.061138861138859</c:v>
                </c:pt>
                <c:pt idx="2">
                  <c:v>22.849350649350651</c:v>
                </c:pt>
                <c:pt idx="3">
                  <c:v>34.620228256591894</c:v>
                </c:pt>
                <c:pt idx="4">
                  <c:v>37.153415690001047</c:v>
                </c:pt>
                <c:pt idx="5">
                  <c:v>62.429919806968982</c:v>
                </c:pt>
                <c:pt idx="6">
                  <c:v>4.7352272727272728</c:v>
                </c:pt>
                <c:pt idx="7">
                  <c:v>11.569291468025645</c:v>
                </c:pt>
                <c:pt idx="8">
                  <c:v>19.219079985435123</c:v>
                </c:pt>
                <c:pt idx="9">
                  <c:v>24.264797149752898</c:v>
                </c:pt>
                <c:pt idx="10">
                  <c:v>31.087551903878435</c:v>
                </c:pt>
                <c:pt idx="11">
                  <c:v>40.086580086580085</c:v>
                </c:pt>
                <c:pt idx="12">
                  <c:v>52.648273385600568</c:v>
                </c:pt>
                <c:pt idx="13">
                  <c:v>8.0381215801350017</c:v>
                </c:pt>
                <c:pt idx="14">
                  <c:v>9.413516754850086</c:v>
                </c:pt>
                <c:pt idx="15">
                  <c:v>10.938788134186362</c:v>
                </c:pt>
                <c:pt idx="16">
                  <c:v>18.264903581267216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94F-4BAF-9A63-A362CE8076EE}"/>
            </c:ext>
          </c:extLst>
        </c:ser>
        <c:ser>
          <c:idx val="5"/>
          <c:order val="6"/>
          <c:tx>
            <c:v>Cruise 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'Cruise Ship'!$C$5:$C$7</c:f>
              <c:numCache>
                <c:formatCode>0.00</c:formatCode>
                <c:ptCount val="3"/>
                <c:pt idx="0">
                  <c:v>13.375</c:v>
                </c:pt>
                <c:pt idx="1">
                  <c:v>10.802777777777777</c:v>
                </c:pt>
                <c:pt idx="2">
                  <c:v>11.316666666666666</c:v>
                </c:pt>
              </c:numCache>
            </c:numRef>
          </c:xVal>
          <c:yVal>
            <c:numRef>
              <c:f>'Cruise Ship'!$AP$5:$AP$7</c:f>
              <c:numCache>
                <c:formatCode>0.00</c:formatCode>
                <c:ptCount val="3"/>
                <c:pt idx="0">
                  <c:v>0.10058</c:v>
                </c:pt>
                <c:pt idx="1">
                  <c:v>0.10149796020166389</c:v>
                </c:pt>
                <c:pt idx="2">
                  <c:v>7.8837448559670772E-2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94F-4BAF-9A63-A362CE8076EE}"/>
            </c:ext>
          </c:extLst>
        </c:ser>
        <c:ser>
          <c:idx val="6"/>
          <c:order val="7"/>
          <c:tx>
            <c:v>Car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99"/>
              </a:solidFill>
              <a:ln w="9525">
                <a:noFill/>
              </a:ln>
              <a:effectLst/>
            </c:spPr>
          </c:marker>
          <c:xVal>
            <c:numRef>
              <c:f>Car!$B$5:$B$8</c:f>
              <c:numCache>
                <c:formatCode>0.00</c:formatCode>
                <c:ptCount val="4"/>
                <c:pt idx="0">
                  <c:v>27.78</c:v>
                </c:pt>
                <c:pt idx="1">
                  <c:v>27.78</c:v>
                </c:pt>
                <c:pt idx="2">
                  <c:v>27.78</c:v>
                </c:pt>
                <c:pt idx="3">
                  <c:v>27.78</c:v>
                </c:pt>
              </c:numCache>
            </c:numRef>
          </c:xVal>
          <c:yVal>
            <c:numRef>
              <c:f>Car!$AG$5:$AG$8</c:f>
              <c:numCache>
                <c:formatCode>0.00</c:formatCode>
                <c:ptCount val="4"/>
                <c:pt idx="0">
                  <c:v>7.9473580246913561E-2</c:v>
                </c:pt>
                <c:pt idx="1">
                  <c:v>0.29518758377425036</c:v>
                </c:pt>
                <c:pt idx="2">
                  <c:v>1.3153818472855576</c:v>
                </c:pt>
                <c:pt idx="3">
                  <c:v>0.83807029088657903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94F-4BAF-9A63-A362CE8076EE}"/>
            </c:ext>
          </c:extLst>
        </c:ser>
        <c:ser>
          <c:idx val="7"/>
          <c:order val="8"/>
          <c:tx>
            <c:v>Truck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CC"/>
              </a:solidFill>
              <a:ln w="9525">
                <a:noFill/>
              </a:ln>
              <a:effectLst/>
            </c:spPr>
          </c:marker>
          <c:xVal>
            <c:numRef>
              <c:f>(Truck!$B$5,Truck!$B$7)</c:f>
              <c:numCache>
                <c:formatCode>0.00</c:formatCode>
                <c:ptCount val="2"/>
                <c:pt idx="0">
                  <c:v>27.78</c:v>
                </c:pt>
                <c:pt idx="1">
                  <c:v>27.78</c:v>
                </c:pt>
              </c:numCache>
            </c:numRef>
          </c:xVal>
          <c:yVal>
            <c:numRef>
              <c:f>(Truck!$AE$5,Truck!$AE$7)</c:f>
              <c:numCache>
                <c:formatCode>0.00</c:formatCode>
                <c:ptCount val="2"/>
                <c:pt idx="0">
                  <c:v>2.6504108136761197</c:v>
                </c:pt>
                <c:pt idx="1">
                  <c:v>2.2538308252593962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94F-4BAF-9A63-A362CE8076EE}"/>
            </c:ext>
          </c:extLst>
        </c:ser>
        <c:ser>
          <c:idx val="8"/>
          <c:order val="9"/>
          <c:tx>
            <c:v>Bus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3FA60"/>
              </a:solidFill>
              <a:ln w="9525">
                <a:noFill/>
              </a:ln>
              <a:effectLst/>
            </c:spPr>
          </c:marker>
          <c:xVal>
            <c:numRef>
              <c:f>Bus!$B$5</c:f>
              <c:numCache>
                <c:formatCode>0.00</c:formatCode>
                <c:ptCount val="1"/>
                <c:pt idx="0">
                  <c:v>27.78</c:v>
                </c:pt>
              </c:numCache>
            </c:numRef>
          </c:xVal>
          <c:yVal>
            <c:numRef>
              <c:f>Bus!$AE$5</c:f>
              <c:numCache>
                <c:formatCode>0.00</c:formatCode>
                <c:ptCount val="1"/>
                <c:pt idx="0">
                  <c:v>1.07780720025618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94F-4BAF-9A63-A362CE8076EE}"/>
            </c:ext>
          </c:extLst>
        </c:ser>
        <c:ser>
          <c:idx val="9"/>
          <c:order val="10"/>
          <c:tx>
            <c:v>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D4D4D"/>
              </a:solidFill>
              <a:ln w="9525">
                <a:noFill/>
              </a:ln>
              <a:effectLst/>
            </c:spPr>
          </c:marker>
          <c:xVal>
            <c:numRef>
              <c:f>Train!$C$5:$C$6</c:f>
              <c:numCache>
                <c:formatCode>_(* #,##0.00_);_(* \(#,##0.00\);_(* "-"??_);_(@_)</c:formatCode>
                <c:ptCount val="2"/>
                <c:pt idx="0">
                  <c:v>88.888888888888886</c:v>
                </c:pt>
                <c:pt idx="1">
                  <c:v>83.333333333333329</c:v>
                </c:pt>
              </c:numCache>
            </c:numRef>
          </c:xVal>
          <c:yVal>
            <c:numRef>
              <c:f>Train!$Y$5:$Y$6</c:f>
              <c:numCache>
                <c:formatCode>_(* #,##0.00_);_(* \(#,##0.00\);_(* "-"??_);_(@_)</c:formatCode>
                <c:ptCount val="2"/>
                <c:pt idx="0">
                  <c:v>0.83286092214663632</c:v>
                </c:pt>
                <c:pt idx="1">
                  <c:v>0.83286092214663632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94F-4BAF-9A63-A362CE8076EE}"/>
            </c:ext>
          </c:extLst>
        </c:ser>
        <c:ser>
          <c:idx val="10"/>
          <c:order val="11"/>
          <c:tx>
            <c:v>Hyperloop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Hyperloop!$F$5:$F$6</c:f>
              <c:numCache>
                <c:formatCode>0.00</c:formatCode>
                <c:ptCount val="2"/>
                <c:pt idx="0">
                  <c:v>339.75</c:v>
                </c:pt>
                <c:pt idx="1">
                  <c:v>339.75</c:v>
                </c:pt>
              </c:numCache>
            </c:numRef>
          </c:xVal>
          <c:yVal>
            <c:numRef>
              <c:f>Hyperloop!$AB$5:$AB$6</c:f>
              <c:numCache>
                <c:formatCode>0.00</c:formatCode>
                <c:ptCount val="2"/>
                <c:pt idx="0">
                  <c:v>2.1544813211479874</c:v>
                </c:pt>
                <c:pt idx="1">
                  <c:v>2.1544813211479874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94F-4BAF-9A63-A362CE8076EE}"/>
            </c:ext>
          </c:extLst>
        </c:ser>
        <c:ser>
          <c:idx val="11"/>
          <c:order val="12"/>
          <c:tx>
            <c:v>Oil and Gas Pipeline (Electric)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Pipeline'!$AI$5:$AI$7</c:f>
              <c:numCache>
                <c:formatCode>General</c:formatCode>
                <c:ptCount val="3"/>
                <c:pt idx="0">
                  <c:v>11.583697469405859</c:v>
                </c:pt>
                <c:pt idx="1">
                  <c:v>4.9532825632856392</c:v>
                </c:pt>
                <c:pt idx="2">
                  <c:v>2.0193993369805487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94F-4BAF-9A63-A362CE8076EE}"/>
            </c:ext>
          </c:extLst>
        </c:ser>
        <c:ser>
          <c:idx val="12"/>
          <c:order val="13"/>
          <c:tx>
            <c:v>Oil and Gas Pipeline (Diesel)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Pipeline'!$AO$5:$AO$7</c:f>
              <c:numCache>
                <c:formatCode>General</c:formatCode>
                <c:ptCount val="3"/>
                <c:pt idx="0">
                  <c:v>2.4124725308184103</c:v>
                </c:pt>
                <c:pt idx="1">
                  <c:v>1.031592732188414</c:v>
                </c:pt>
                <c:pt idx="2">
                  <c:v>0.42056911811495712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94F-4BAF-9A63-A362CE8076EE}"/>
            </c:ext>
          </c:extLst>
        </c:ser>
        <c:ser>
          <c:idx val="15"/>
          <c:order val="15"/>
          <c:tx>
            <c:v>Human and Animal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C66FF"/>
              </a:solidFill>
              <a:ln w="9525">
                <a:noFill/>
              </a:ln>
              <a:effectLst/>
            </c:spPr>
          </c:marker>
          <c:xVal>
            <c:numRef>
              <c:f>'Human and Animal'!$F$5:$F$10</c:f>
              <c:numCache>
                <c:formatCode>0.00</c:formatCode>
                <c:ptCount val="6"/>
                <c:pt idx="0">
                  <c:v>1.3410818059901652</c:v>
                </c:pt>
                <c:pt idx="1">
                  <c:v>4.0232454179704957</c:v>
                </c:pt>
                <c:pt idx="2">
                  <c:v>10.013410818059901</c:v>
                </c:pt>
                <c:pt idx="3">
                  <c:v>6.9289226642825206</c:v>
                </c:pt>
                <c:pt idx="4">
                  <c:v>11.175681716584711</c:v>
                </c:pt>
                <c:pt idx="5">
                  <c:v>17.031738936075101</c:v>
                </c:pt>
              </c:numCache>
            </c:numRef>
          </c:xVal>
          <c:yVal>
            <c:numRef>
              <c:f>'Human and Animal'!$AE$5:$AE$10</c:f>
              <c:numCache>
                <c:formatCode>0.00</c:formatCode>
                <c:ptCount val="6"/>
                <c:pt idx="0">
                  <c:v>0.39052658100277149</c:v>
                </c:pt>
                <c:pt idx="1">
                  <c:v>0.3401360544217687</c:v>
                </c:pt>
                <c:pt idx="2">
                  <c:v>0.30738221214411687</c:v>
                </c:pt>
                <c:pt idx="3">
                  <c:v>0.90463320463320462</c:v>
                </c:pt>
                <c:pt idx="4">
                  <c:v>0.7879021879021878</c:v>
                </c:pt>
                <c:pt idx="5">
                  <c:v>0.71209781209781209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1A-4362-B125-5BA4D0D8C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15968"/>
        <c:axId val="213317888"/>
      </c:scatterChart>
      <c:valAx>
        <c:axId val="213315968"/>
        <c:scaling>
          <c:logBase val="10"/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v</a:t>
                </a:r>
                <a:r>
                  <a:rPr lang="en-GB" sz="1600" baseline="0"/>
                  <a:t> [m/s]</a:t>
                </a:r>
                <a:endParaRPr lang="en-GB" sz="1600"/>
              </a:p>
            </c:rich>
          </c:tx>
          <c:layout>
            <c:manualLayout>
              <c:xMode val="edge"/>
              <c:yMode val="edge"/>
              <c:x val="0.40649757398773873"/>
              <c:y val="0.937800667706036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317888"/>
        <c:crosses val="autoZero"/>
        <c:crossBetween val="midCat"/>
      </c:valAx>
      <c:valAx>
        <c:axId val="213317888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0" i="0" baseline="0">
                    <a:effectLst/>
                  </a:rPr>
                  <a:t>s*m/m_CO2eq [</a:t>
                </a:r>
                <a:r>
                  <a:rPr lang="id-ID" sz="1600" b="0" i="0" u="none" strike="noStrike" baseline="0">
                    <a:effectLst/>
                  </a:rPr>
                  <a:t>mkg </a:t>
                </a:r>
                <a:r>
                  <a:rPr lang="en-GB" sz="1600" b="0" i="0" u="none" strike="noStrike" baseline="0">
                    <a:effectLst/>
                  </a:rPr>
                  <a:t>/</a:t>
                </a:r>
                <a:r>
                  <a:rPr lang="id-ID" sz="1600" b="0" i="0" baseline="0">
                    <a:effectLst/>
                  </a:rPr>
                  <a:t>10^-7*kg</a:t>
                </a:r>
                <a:r>
                  <a:rPr lang="en-GB" sz="1600" b="0" i="0" baseline="0">
                    <a:effectLst/>
                  </a:rPr>
                  <a:t>]</a:t>
                </a:r>
                <a:endParaRPr lang="x-none" sz="16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315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7008516101556324"/>
          <c:y val="3.7835716230113989E-2"/>
          <c:w val="0.20692323518818437"/>
          <c:h val="0.834986484161117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08426931896576"/>
          <c:y val="2.2562928757850185E-2"/>
          <c:w val="0.80874825211094015"/>
          <c:h val="0.82329285769109051"/>
        </c:manualLayout>
      </c:layout>
      <c:scatterChart>
        <c:scatterStyle val="lineMarker"/>
        <c:varyColors val="0"/>
        <c:ser>
          <c:idx val="0"/>
          <c:order val="0"/>
          <c:tx>
            <c:v>Inverse Fixed Wing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6.7878340841765736E-2"/>
                  <c:y val="-9.9456314547019774E-3"/>
                </c:manualLayout>
              </c:layout>
              <c:tx>
                <c:rich>
                  <a:bodyPr/>
                  <a:lstStyle/>
                  <a:p>
                    <a:fld id="{FB31BB27-2FBF-4A5A-B397-890B3992017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E05-460C-A738-69775BB35DA2}"/>
                </c:ext>
              </c:extLst>
            </c:dLbl>
            <c:dLbl>
              <c:idx val="1"/>
              <c:layout>
                <c:manualLayout>
                  <c:x val="7.9471133196167582E-2"/>
                  <c:y val="1.114311076479654E-2"/>
                </c:manualLayout>
              </c:layout>
              <c:tx>
                <c:rich>
                  <a:bodyPr/>
                  <a:lstStyle/>
                  <a:p>
                    <a:fld id="{47D69C0D-6653-442D-B1FE-6CE933680F6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E05-460C-A738-69775BB35DA2}"/>
                </c:ext>
              </c:extLst>
            </c:dLbl>
            <c:dLbl>
              <c:idx val="2"/>
              <c:layout>
                <c:manualLayout>
                  <c:x val="-2.8151465735481225E-2"/>
                  <c:y val="8.2375618738253747E-2"/>
                </c:manualLayout>
              </c:layout>
              <c:tx>
                <c:rich>
                  <a:bodyPr/>
                  <a:lstStyle/>
                  <a:p>
                    <a:fld id="{4BFBDB32-161A-4CD2-9CDF-7564FB5B4B74}" type="CELLREF">
                      <a:rPr lang="en-US"/>
                      <a:pPr/>
                      <a:t>[ZELLBEZ]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{4BFBDB32-161A-4CD2-9CDF-7564FB5B4B74}</c15:txfldGUID>
                      <c15:f>'Subsonic Aircraft'!$A$7</c15:f>
                      <c15:dlblFieldTableCache>
                        <c:ptCount val="1"/>
                        <c:pt idx="0">
                          <c:v>A300-600R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E05-460C-A738-69775BB35DA2}"/>
                </c:ext>
              </c:extLst>
            </c:dLbl>
            <c:dLbl>
              <c:idx val="3"/>
              <c:layout>
                <c:manualLayout>
                  <c:x val="-9.9350138298819599E-2"/>
                  <c:y val="6.0896236492862514E-2"/>
                </c:manualLayout>
              </c:layout>
              <c:tx>
                <c:rich>
                  <a:bodyPr/>
                  <a:lstStyle/>
                  <a:p>
                    <a:fld id="{0946EB14-79CE-4289-8553-8D3D835931F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E05-460C-A738-69775BB35DA2}"/>
                </c:ext>
              </c:extLst>
            </c:dLbl>
            <c:dLbl>
              <c:idx val="4"/>
              <c:layout>
                <c:manualLayout>
                  <c:x val="-9.7692693440244643E-2"/>
                  <c:y val="2.7857651831102639E-2"/>
                </c:manualLayout>
              </c:layout>
              <c:tx>
                <c:rich>
                  <a:bodyPr/>
                  <a:lstStyle/>
                  <a:p>
                    <a:fld id="{51CAFCC5-1E41-4D40-9115-B7DD868D5FD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0E05-460C-A738-69775BB35DA2}"/>
                </c:ext>
              </c:extLst>
            </c:dLbl>
            <c:dLbl>
              <c:idx val="5"/>
              <c:layout>
                <c:manualLayout>
                  <c:x val="-8.7831619893619123E-2"/>
                  <c:y val="-5.3736402796999892E-2"/>
                </c:manualLayout>
              </c:layout>
              <c:tx>
                <c:rich>
                  <a:bodyPr/>
                  <a:lstStyle/>
                  <a:p>
                    <a:fld id="{D8746DF5-AA65-40FE-9EFA-62A1720CCDD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E05-460C-A738-69775BB35DA2}"/>
                </c:ext>
              </c:extLst>
            </c:dLbl>
            <c:dLbl>
              <c:idx val="6"/>
              <c:layout>
                <c:manualLayout>
                  <c:x val="-9.2807407674596942E-2"/>
                  <c:y val="-3.4626563183509332E-2"/>
                </c:manualLayout>
              </c:layout>
              <c:tx>
                <c:rich>
                  <a:bodyPr/>
                  <a:lstStyle/>
                  <a:p>
                    <a:fld id="{8E8A20A8-8E4E-4EF8-B988-4750859E339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0E05-460C-A738-69775BB35DA2}"/>
                </c:ext>
              </c:extLst>
            </c:dLbl>
            <c:dLbl>
              <c:idx val="7"/>
              <c:layout>
                <c:manualLayout>
                  <c:x val="-9.4464050320683196E-2"/>
                  <c:y val="-1.2363486138626562E-2"/>
                </c:manualLayout>
              </c:layout>
              <c:tx>
                <c:rich>
                  <a:bodyPr/>
                  <a:lstStyle/>
                  <a:p>
                    <a:fld id="{2FF996C7-627C-46AA-8400-6DACD3ABAA7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E05-460C-A738-69775BB35DA2}"/>
                </c:ext>
              </c:extLst>
            </c:dLbl>
            <c:dLbl>
              <c:idx val="8"/>
              <c:layout>
                <c:manualLayout>
                  <c:x val="-0.10099783475034707"/>
                  <c:y val="7.9198953428534974E-2"/>
                </c:manualLayout>
              </c:layout>
              <c:tx>
                <c:rich>
                  <a:bodyPr/>
                  <a:lstStyle/>
                  <a:p>
                    <a:fld id="{11462302-A429-4220-820B-31081234AD9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0E05-460C-A738-69775BB35DA2}"/>
                </c:ext>
              </c:extLst>
            </c:dLbl>
            <c:dLbl>
              <c:idx val="9"/>
              <c:layout>
                <c:manualLayout>
                  <c:x val="2.8146029265352101E-2"/>
                  <c:y val="-3.3429219331213914E-2"/>
                </c:manualLayout>
              </c:layout>
              <c:tx>
                <c:rich>
                  <a:bodyPr/>
                  <a:lstStyle/>
                  <a:p>
                    <a:fld id="{1C1A2704-5940-46B6-8B4E-8FBC1D0228EA}" type="CELLREF">
                      <a:rPr lang="en-US"/>
                      <a:pPr/>
                      <a:t>[ZELLBEZ]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{1C1A2704-5940-46B6-8B4E-8FBC1D0228EA}</c15:txfldGUID>
                      <c15:f>'Subsonic Aircraft'!$A$14</c15:f>
                      <c15:dlblFieldTableCache>
                        <c:ptCount val="1"/>
                        <c:pt idx="0">
                          <c:v>MD90-30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0E05-460C-A738-69775BB35DA2}"/>
                </c:ext>
              </c:extLst>
            </c:dLbl>
            <c:dLbl>
              <c:idx val="10"/>
              <c:layout>
                <c:manualLayout>
                  <c:x val="-8.119744863219297E-2"/>
                  <c:y val="1.1741903614172412E-2"/>
                </c:manualLayout>
              </c:layout>
              <c:tx>
                <c:rich>
                  <a:bodyPr/>
                  <a:lstStyle/>
                  <a:p>
                    <a:fld id="{A332B2BF-2968-4632-A52B-56B2F92EED0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0E05-460C-A738-69775BB35DA2}"/>
                </c:ext>
              </c:extLst>
            </c:dLbl>
            <c:dLbl>
              <c:idx val="11"/>
              <c:layout>
                <c:manualLayout>
                  <c:x val="1.9858138276396649E-2"/>
                  <c:y val="-6.3889950308035792E-2"/>
                </c:manualLayout>
              </c:layout>
              <c:tx>
                <c:rich>
                  <a:bodyPr/>
                  <a:lstStyle/>
                  <a:p>
                    <a:fld id="{9CBC2120-3361-4960-A5EF-B2BD5697C37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0E05-460C-A738-69775BB35DA2}"/>
                </c:ext>
              </c:extLst>
            </c:dLbl>
            <c:dLbl>
              <c:idx val="12"/>
              <c:layout>
                <c:manualLayout>
                  <c:x val="2.4810613986269072E-2"/>
                  <c:y val="-9.5132012513583372E-2"/>
                </c:manualLayout>
              </c:layout>
              <c:tx>
                <c:rich>
                  <a:bodyPr/>
                  <a:lstStyle/>
                  <a:p>
                    <a:fld id="{180F8DB7-6218-4F35-B270-A7ACE4B5232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E05-460C-A738-69775BB35DA2}"/>
                </c:ext>
              </c:extLst>
            </c:dLbl>
            <c:dLbl>
              <c:idx val="13"/>
              <c:layout>
                <c:manualLayout>
                  <c:x val="1.8212133849970339E-2"/>
                  <c:y val="-3.6571472885227042E-5"/>
                </c:manualLayout>
              </c:layout>
              <c:tx>
                <c:rich>
                  <a:bodyPr/>
                  <a:lstStyle/>
                  <a:p>
                    <a:fld id="{0078566D-43C0-4635-B94B-D3A856E7C5BF}" type="CELLREF">
                      <a:rPr lang="en-US"/>
                      <a:pPr/>
                      <a:t>[ZELLBEZ]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{0078566D-43C0-4635-B94B-D3A856E7C5BF}</c15:txfldGUID>
                      <c15:f>'Subsonic Aircraft'!$A$18</c15:f>
                      <c15:dlblFieldTableCache>
                        <c:ptCount val="1"/>
                        <c:pt idx="0">
                          <c:v>YB-49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0E05-460C-A738-69775BB35DA2}"/>
                </c:ext>
              </c:extLst>
            </c:dLbl>
            <c:dLbl>
              <c:idx val="14"/>
              <c:layout>
                <c:manualLayout>
                  <c:x val="-4.9740121806211186E-2"/>
                  <c:y val="-7.9016233351744292E-2"/>
                </c:manualLayout>
              </c:layout>
              <c:tx>
                <c:rich>
                  <a:bodyPr/>
                  <a:lstStyle/>
                  <a:p>
                    <a:fld id="{E44303AB-E4A2-4606-8613-51E94793303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E05-460C-A738-69775BB35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'Subsonic Aircraft'!$K$5:$K$19</c:f>
              <c:numCache>
                <c:formatCode>0.000000</c:formatCode>
                <c:ptCount val="15"/>
                <c:pt idx="0">
                  <c:v>4.3200276481769485E-3</c:v>
                </c:pt>
                <c:pt idx="1">
                  <c:v>4.3393360815795184E-3</c:v>
                </c:pt>
                <c:pt idx="2">
                  <c:v>4.0500587258515252E-3</c:v>
                </c:pt>
                <c:pt idx="3">
                  <c:v>4.0165481784954007E-3</c:v>
                </c:pt>
                <c:pt idx="4">
                  <c:v>3.8880248833592537E-3</c:v>
                </c:pt>
                <c:pt idx="5">
                  <c:v>3.9591416580885266E-3</c:v>
                </c:pt>
                <c:pt idx="6">
                  <c:v>3.7894577285990379E-3</c:v>
                </c:pt>
                <c:pt idx="7">
                  <c:v>3.9592984123213368E-3</c:v>
                </c:pt>
                <c:pt idx="8">
                  <c:v>3.9835876190096797E-3</c:v>
                </c:pt>
                <c:pt idx="9">
                  <c:v>4.4485964678144044E-3</c:v>
                </c:pt>
                <c:pt idx="10">
                  <c:v>3.8106851611919819E-3</c:v>
                </c:pt>
                <c:pt idx="11">
                  <c:v>4.6957175056348607E-3</c:v>
                </c:pt>
                <c:pt idx="12">
                  <c:v>4.2353140485366985E-3</c:v>
                </c:pt>
                <c:pt idx="13">
                  <c:v>5.2143080613202631E-3</c:v>
                </c:pt>
                <c:pt idx="14">
                  <c:v>3.9432176656151417E-3</c:v>
                </c:pt>
              </c:numCache>
            </c:numRef>
          </c:xVal>
          <c:yVal>
            <c:numRef>
              <c:f>'Subsonic Aircraft'!$J$5:$J$19</c:f>
              <c:numCache>
                <c:formatCode>0.00000</c:formatCode>
                <c:ptCount val="15"/>
                <c:pt idx="0">
                  <c:v>5.3354994485701281E-2</c:v>
                </c:pt>
                <c:pt idx="1">
                  <c:v>5.0781196917490709E-2</c:v>
                </c:pt>
                <c:pt idx="2">
                  <c:v>5.417921448878734E-2</c:v>
                </c:pt>
                <c:pt idx="3">
                  <c:v>5.0885821878720136E-2</c:v>
                </c:pt>
                <c:pt idx="4">
                  <c:v>4.4706619403741932E-2</c:v>
                </c:pt>
                <c:pt idx="5">
                  <c:v>5.3514661212033826E-2</c:v>
                </c:pt>
                <c:pt idx="6">
                  <c:v>5.2330999431755808E-2</c:v>
                </c:pt>
                <c:pt idx="7">
                  <c:v>4.978454735991434E-2</c:v>
                </c:pt>
                <c:pt idx="8">
                  <c:v>4.7841026144099151E-2</c:v>
                </c:pt>
                <c:pt idx="9">
                  <c:v>5.4504136163668643E-2</c:v>
                </c:pt>
                <c:pt idx="10">
                  <c:v>4.8607794467113177E-2</c:v>
                </c:pt>
                <c:pt idx="11">
                  <c:v>5.6870000981221587E-2</c:v>
                </c:pt>
                <c:pt idx="12">
                  <c:v>5.6177840581220849E-2</c:v>
                </c:pt>
                <c:pt idx="13">
                  <c:v>3.1632156939441179E-2</c:v>
                </c:pt>
                <c:pt idx="14">
                  <c:v>5.9204648290530459E-2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Aircraft'!$A$5:$A$21</c15:f>
                <c15:dlblRangeCache>
                  <c:ptCount val="17"/>
                  <c:pt idx="0">
                    <c:v>A321-200</c:v>
                  </c:pt>
                  <c:pt idx="1">
                    <c:v>A320-200</c:v>
                  </c:pt>
                  <c:pt idx="2">
                    <c:v>A300-600R</c:v>
                  </c:pt>
                  <c:pt idx="3">
                    <c:v>A310-300</c:v>
                  </c:pt>
                  <c:pt idx="4">
                    <c:v>A340-300</c:v>
                  </c:pt>
                  <c:pt idx="5">
                    <c:v>B747-400</c:v>
                  </c:pt>
                  <c:pt idx="6">
                    <c:v>B757-200</c:v>
                  </c:pt>
                  <c:pt idx="7">
                    <c:v>B737-300</c:v>
                  </c:pt>
                  <c:pt idx="8">
                    <c:v>B767-300</c:v>
                  </c:pt>
                  <c:pt idx="9">
                    <c:v>MD90-30</c:v>
                  </c:pt>
                  <c:pt idx="10">
                    <c:v>MD-11</c:v>
                  </c:pt>
                  <c:pt idx="11">
                    <c:v>Fokker 100</c:v>
                  </c:pt>
                  <c:pt idx="12">
                    <c:v>TU-154M</c:v>
                  </c:pt>
                  <c:pt idx="13">
                    <c:v>YB-49</c:v>
                  </c:pt>
                  <c:pt idx="14">
                    <c:v>Avro Vulcan</c:v>
                  </c:pt>
                  <c:pt idx="15">
                    <c:v>B747-400 (Cargo)</c:v>
                  </c:pt>
                  <c:pt idx="16">
                    <c:v>MD-11 (Cargo)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3D8-4AFF-BD17-2F42EE9C8D73}"/>
            </c:ext>
          </c:extLst>
        </c:ser>
        <c:ser>
          <c:idx val="1"/>
          <c:order val="1"/>
          <c:tx>
            <c:v>Line YB-49</c:v>
          </c:tx>
          <c:spPr>
            <a:ln w="25400">
              <a:solidFill>
                <a:schemeClr val="tx1"/>
              </a:solidFill>
            </a:ln>
            <a:effectLst/>
          </c:spPr>
          <c:marker>
            <c:symbol val="none"/>
          </c:marker>
          <c:xVal>
            <c:numRef>
              <c:f>'a_LD aircraft'!$D$2:$D$103</c:f>
              <c:numCache>
                <c:formatCode>_-* #,##0.0000_-;\-* #,##0.0000_-;_-* "-"??_-;_-@_-</c:formatCode>
                <c:ptCount val="102"/>
                <c:pt idx="0">
                  <c:v>0.1</c:v>
                </c:pt>
                <c:pt idx="1">
                  <c:v>0.05</c:v>
                </c:pt>
                <c:pt idx="2">
                  <c:v>3.3333333333333333E-2</c:v>
                </c:pt>
                <c:pt idx="3">
                  <c:v>2.5000000000000001E-2</c:v>
                </c:pt>
                <c:pt idx="4">
                  <c:v>0.02</c:v>
                </c:pt>
                <c:pt idx="5">
                  <c:v>1.6666666666666666E-2</c:v>
                </c:pt>
                <c:pt idx="6">
                  <c:v>1.4285714285714285E-2</c:v>
                </c:pt>
                <c:pt idx="7">
                  <c:v>1.2500000000000001E-2</c:v>
                </c:pt>
                <c:pt idx="8">
                  <c:v>1.1111111111111112E-2</c:v>
                </c:pt>
                <c:pt idx="9">
                  <c:v>0.01</c:v>
                </c:pt>
                <c:pt idx="10">
                  <c:v>9.0909090909090905E-3</c:v>
                </c:pt>
                <c:pt idx="11">
                  <c:v>8.3333333333333332E-3</c:v>
                </c:pt>
                <c:pt idx="12">
                  <c:v>7.6923076923076927E-3</c:v>
                </c:pt>
                <c:pt idx="13">
                  <c:v>7.1428571428571426E-3</c:v>
                </c:pt>
                <c:pt idx="14">
                  <c:v>6.6666666666666671E-3</c:v>
                </c:pt>
                <c:pt idx="15">
                  <c:v>6.2500000000000003E-3</c:v>
                </c:pt>
                <c:pt idx="16">
                  <c:v>5.8823529411764705E-3</c:v>
                </c:pt>
                <c:pt idx="17">
                  <c:v>5.5555555555555558E-3</c:v>
                </c:pt>
                <c:pt idx="18">
                  <c:v>5.263157894736842E-3</c:v>
                </c:pt>
                <c:pt idx="19">
                  <c:v>5.0000000000000001E-3</c:v>
                </c:pt>
                <c:pt idx="20">
                  <c:v>4.7619047619047623E-3</c:v>
                </c:pt>
                <c:pt idx="21">
                  <c:v>4.5454545454545452E-3</c:v>
                </c:pt>
                <c:pt idx="22">
                  <c:v>4.3478260869565218E-3</c:v>
                </c:pt>
                <c:pt idx="23">
                  <c:v>4.1666666666666666E-3</c:v>
                </c:pt>
                <c:pt idx="24">
                  <c:v>4.0000000000000001E-3</c:v>
                </c:pt>
                <c:pt idx="25">
                  <c:v>3.8461538461538464E-3</c:v>
                </c:pt>
                <c:pt idx="26">
                  <c:v>3.7037037037037038E-3</c:v>
                </c:pt>
                <c:pt idx="27">
                  <c:v>3.5714285714285713E-3</c:v>
                </c:pt>
                <c:pt idx="28">
                  <c:v>3.4482758620689655E-3</c:v>
                </c:pt>
                <c:pt idx="29">
                  <c:v>3.3333333333333335E-3</c:v>
                </c:pt>
                <c:pt idx="30">
                  <c:v>3.2258064516129032E-3</c:v>
                </c:pt>
                <c:pt idx="31">
                  <c:v>3.1250000000000002E-3</c:v>
                </c:pt>
                <c:pt idx="32">
                  <c:v>3.0303030303030303E-3</c:v>
                </c:pt>
                <c:pt idx="33">
                  <c:v>2.9411764705882353E-3</c:v>
                </c:pt>
                <c:pt idx="34">
                  <c:v>2.8571428571428571E-3</c:v>
                </c:pt>
                <c:pt idx="35">
                  <c:v>2.7777777777777779E-3</c:v>
                </c:pt>
                <c:pt idx="36">
                  <c:v>2.7027027027027029E-3</c:v>
                </c:pt>
                <c:pt idx="37">
                  <c:v>2.631578947368421E-3</c:v>
                </c:pt>
                <c:pt idx="38">
                  <c:v>2.5641025641025641E-3</c:v>
                </c:pt>
                <c:pt idx="39">
                  <c:v>2.5000000000000001E-3</c:v>
                </c:pt>
                <c:pt idx="40">
                  <c:v>2.4390243902439024E-3</c:v>
                </c:pt>
                <c:pt idx="41">
                  <c:v>2.3809523809523812E-3</c:v>
                </c:pt>
                <c:pt idx="42">
                  <c:v>2.3255813953488372E-3</c:v>
                </c:pt>
                <c:pt idx="43">
                  <c:v>2.2727272727272726E-3</c:v>
                </c:pt>
                <c:pt idx="44">
                  <c:v>2.2222222222222222E-3</c:v>
                </c:pt>
                <c:pt idx="45">
                  <c:v>2.1739130434782609E-3</c:v>
                </c:pt>
                <c:pt idx="46">
                  <c:v>2.1276595744680851E-3</c:v>
                </c:pt>
                <c:pt idx="47">
                  <c:v>2.0833333333333333E-3</c:v>
                </c:pt>
                <c:pt idx="48">
                  <c:v>2.0408163265306124E-3</c:v>
                </c:pt>
                <c:pt idx="49">
                  <c:v>2E-3</c:v>
                </c:pt>
                <c:pt idx="50">
                  <c:v>1.9607843137254902E-3</c:v>
                </c:pt>
                <c:pt idx="51">
                  <c:v>1.9230769230769232E-3</c:v>
                </c:pt>
                <c:pt idx="52">
                  <c:v>1.8867924528301887E-3</c:v>
                </c:pt>
                <c:pt idx="53">
                  <c:v>1.8518518518518519E-3</c:v>
                </c:pt>
                <c:pt idx="54">
                  <c:v>1.8181818181818182E-3</c:v>
                </c:pt>
                <c:pt idx="55">
                  <c:v>1.7857142857142857E-3</c:v>
                </c:pt>
                <c:pt idx="56">
                  <c:v>1.7543859649122807E-3</c:v>
                </c:pt>
                <c:pt idx="57">
                  <c:v>1.7241379310344827E-3</c:v>
                </c:pt>
                <c:pt idx="58">
                  <c:v>1.6949152542372881E-3</c:v>
                </c:pt>
                <c:pt idx="59">
                  <c:v>1.6666666666666668E-3</c:v>
                </c:pt>
                <c:pt idx="60">
                  <c:v>1.639344262295082E-3</c:v>
                </c:pt>
                <c:pt idx="61">
                  <c:v>1.6129032258064516E-3</c:v>
                </c:pt>
                <c:pt idx="62">
                  <c:v>1.5873015873015873E-3</c:v>
                </c:pt>
                <c:pt idx="63">
                  <c:v>1.5625000000000001E-3</c:v>
                </c:pt>
                <c:pt idx="64">
                  <c:v>1.5384615384615385E-3</c:v>
                </c:pt>
                <c:pt idx="65">
                  <c:v>1.5151515151515152E-3</c:v>
                </c:pt>
                <c:pt idx="66">
                  <c:v>1.4925373134328358E-3</c:v>
                </c:pt>
                <c:pt idx="67">
                  <c:v>1.4705882352941176E-3</c:v>
                </c:pt>
                <c:pt idx="68">
                  <c:v>1.4492753623188406E-3</c:v>
                </c:pt>
                <c:pt idx="69">
                  <c:v>1.4285714285714286E-3</c:v>
                </c:pt>
                <c:pt idx="70">
                  <c:v>1.4084507042253522E-3</c:v>
                </c:pt>
                <c:pt idx="71">
                  <c:v>1.3888888888888889E-3</c:v>
                </c:pt>
                <c:pt idx="72">
                  <c:v>1.3698630136986301E-3</c:v>
                </c:pt>
                <c:pt idx="73">
                  <c:v>1.3513513513513514E-3</c:v>
                </c:pt>
                <c:pt idx="74">
                  <c:v>1.3333333333333333E-3</c:v>
                </c:pt>
                <c:pt idx="75">
                  <c:v>1.3157894736842105E-3</c:v>
                </c:pt>
                <c:pt idx="76">
                  <c:v>1.2987012987012987E-3</c:v>
                </c:pt>
                <c:pt idx="77">
                  <c:v>1.2820512820512821E-3</c:v>
                </c:pt>
                <c:pt idx="78">
                  <c:v>1.2658227848101266E-3</c:v>
                </c:pt>
                <c:pt idx="79">
                  <c:v>1.25E-3</c:v>
                </c:pt>
                <c:pt idx="80">
                  <c:v>1.2345679012345679E-3</c:v>
                </c:pt>
                <c:pt idx="81">
                  <c:v>1.2195121951219512E-3</c:v>
                </c:pt>
                <c:pt idx="82">
                  <c:v>1.2048192771084338E-3</c:v>
                </c:pt>
                <c:pt idx="83">
                  <c:v>1.1904761904761906E-3</c:v>
                </c:pt>
                <c:pt idx="84">
                  <c:v>1.176470588235294E-3</c:v>
                </c:pt>
                <c:pt idx="85">
                  <c:v>1.1627906976744186E-3</c:v>
                </c:pt>
                <c:pt idx="86">
                  <c:v>1.1494252873563218E-3</c:v>
                </c:pt>
                <c:pt idx="87">
                  <c:v>1.1363636363636363E-3</c:v>
                </c:pt>
                <c:pt idx="88">
                  <c:v>1.1235955056179776E-3</c:v>
                </c:pt>
                <c:pt idx="89">
                  <c:v>1.1111111111111111E-3</c:v>
                </c:pt>
                <c:pt idx="90">
                  <c:v>1.0989010989010989E-3</c:v>
                </c:pt>
                <c:pt idx="91">
                  <c:v>1.0869565217391304E-3</c:v>
                </c:pt>
                <c:pt idx="92">
                  <c:v>1.0752688172043011E-3</c:v>
                </c:pt>
                <c:pt idx="93">
                  <c:v>1.0638297872340426E-3</c:v>
                </c:pt>
                <c:pt idx="94">
                  <c:v>1.0526315789473684E-3</c:v>
                </c:pt>
                <c:pt idx="95">
                  <c:v>1.0416666666666667E-3</c:v>
                </c:pt>
                <c:pt idx="96">
                  <c:v>1.0309278350515464E-3</c:v>
                </c:pt>
                <c:pt idx="97">
                  <c:v>1.0204081632653062E-3</c:v>
                </c:pt>
                <c:pt idx="98">
                  <c:v>1.0101010101010101E-3</c:v>
                </c:pt>
                <c:pt idx="99">
                  <c:v>1E-3</c:v>
                </c:pt>
                <c:pt idx="100">
                  <c:v>5.0000000000000001E-4</c:v>
                </c:pt>
                <c:pt idx="101">
                  <c:v>2.0000000000000001E-4</c:v>
                </c:pt>
              </c:numCache>
            </c:numRef>
          </c:xVal>
          <c:yVal>
            <c:numRef>
              <c:f>'a_LD aircraft'!$E$2:$E$103</c:f>
              <c:numCache>
                <c:formatCode>_-* #,##0.0000_-;\-* #,##0.0000_-;_-* "-"??_-;_-@_-</c:formatCode>
                <c:ptCount val="102"/>
                <c:pt idx="0">
                  <c:v>1.649398109262758E-3</c:v>
                </c:pt>
                <c:pt idx="1">
                  <c:v>3.2987962185255159E-3</c:v>
                </c:pt>
                <c:pt idx="2">
                  <c:v>4.9481943277882743E-3</c:v>
                </c:pt>
                <c:pt idx="3">
                  <c:v>6.5975924370510319E-3</c:v>
                </c:pt>
                <c:pt idx="4">
                  <c:v>8.246990546313792E-3</c:v>
                </c:pt>
                <c:pt idx="5">
                  <c:v>9.8963886555765487E-3</c:v>
                </c:pt>
                <c:pt idx="6">
                  <c:v>1.1545786764839309E-2</c:v>
                </c:pt>
                <c:pt idx="7">
                  <c:v>1.3195184874102064E-2</c:v>
                </c:pt>
                <c:pt idx="8">
                  <c:v>1.4844582983364824E-2</c:v>
                </c:pt>
                <c:pt idx="9">
                  <c:v>1.6493981092627584E-2</c:v>
                </c:pt>
                <c:pt idx="10">
                  <c:v>1.8143379201890342E-2</c:v>
                </c:pt>
                <c:pt idx="11">
                  <c:v>1.9792777311153097E-2</c:v>
                </c:pt>
                <c:pt idx="12">
                  <c:v>2.1442175420415856E-2</c:v>
                </c:pt>
                <c:pt idx="13">
                  <c:v>2.3091573529678618E-2</c:v>
                </c:pt>
                <c:pt idx="14">
                  <c:v>2.4740971638941373E-2</c:v>
                </c:pt>
                <c:pt idx="15">
                  <c:v>2.6390369748204127E-2</c:v>
                </c:pt>
                <c:pt idx="16">
                  <c:v>2.8039767857466893E-2</c:v>
                </c:pt>
                <c:pt idx="17">
                  <c:v>2.9689165966729648E-2</c:v>
                </c:pt>
                <c:pt idx="18">
                  <c:v>3.1338564075992406E-2</c:v>
                </c:pt>
                <c:pt idx="19">
                  <c:v>3.2987962185255168E-2</c:v>
                </c:pt>
                <c:pt idx="20">
                  <c:v>3.4637360294517916E-2</c:v>
                </c:pt>
                <c:pt idx="21">
                  <c:v>3.6286758403780685E-2</c:v>
                </c:pt>
                <c:pt idx="22">
                  <c:v>3.793615651304344E-2</c:v>
                </c:pt>
                <c:pt idx="23">
                  <c:v>3.9585554622306195E-2</c:v>
                </c:pt>
                <c:pt idx="24">
                  <c:v>4.1234952731568957E-2</c:v>
                </c:pt>
                <c:pt idx="25">
                  <c:v>4.2884350840831711E-2</c:v>
                </c:pt>
                <c:pt idx="26">
                  <c:v>4.4533748950094466E-2</c:v>
                </c:pt>
                <c:pt idx="27">
                  <c:v>4.6183147059357235E-2</c:v>
                </c:pt>
                <c:pt idx="28">
                  <c:v>4.783254516861999E-2</c:v>
                </c:pt>
                <c:pt idx="29">
                  <c:v>4.9481943277882745E-2</c:v>
                </c:pt>
                <c:pt idx="30">
                  <c:v>5.1131341387145507E-2</c:v>
                </c:pt>
                <c:pt idx="31">
                  <c:v>5.2780739496408255E-2</c:v>
                </c:pt>
                <c:pt idx="32">
                  <c:v>5.4430137605671017E-2</c:v>
                </c:pt>
                <c:pt idx="33">
                  <c:v>5.6079535714933786E-2</c:v>
                </c:pt>
                <c:pt idx="34">
                  <c:v>5.7728933824196541E-2</c:v>
                </c:pt>
                <c:pt idx="35">
                  <c:v>5.9378331933459295E-2</c:v>
                </c:pt>
                <c:pt idx="36">
                  <c:v>6.102773004272205E-2</c:v>
                </c:pt>
                <c:pt idx="37">
                  <c:v>6.2677128151984812E-2</c:v>
                </c:pt>
                <c:pt idx="38">
                  <c:v>6.4326526261247574E-2</c:v>
                </c:pt>
                <c:pt idx="39">
                  <c:v>6.5975924370510336E-2</c:v>
                </c:pt>
                <c:pt idx="40">
                  <c:v>6.7625322479773084E-2</c:v>
                </c:pt>
                <c:pt idx="41">
                  <c:v>6.9274720589035832E-2</c:v>
                </c:pt>
                <c:pt idx="42">
                  <c:v>7.0924118698298608E-2</c:v>
                </c:pt>
                <c:pt idx="43">
                  <c:v>7.257351680756137E-2</c:v>
                </c:pt>
                <c:pt idx="44">
                  <c:v>7.4222914916824118E-2</c:v>
                </c:pt>
                <c:pt idx="45">
                  <c:v>7.5872313026086879E-2</c:v>
                </c:pt>
                <c:pt idx="46">
                  <c:v>7.7521711135349627E-2</c:v>
                </c:pt>
                <c:pt idx="47">
                  <c:v>7.9171109244612389E-2</c:v>
                </c:pt>
                <c:pt idx="48">
                  <c:v>8.0820507353875137E-2</c:v>
                </c:pt>
                <c:pt idx="49">
                  <c:v>8.2469905463137913E-2</c:v>
                </c:pt>
                <c:pt idx="50">
                  <c:v>8.4119303572400675E-2</c:v>
                </c:pt>
                <c:pt idx="51">
                  <c:v>8.5768701681663423E-2</c:v>
                </c:pt>
                <c:pt idx="52">
                  <c:v>8.7418099790926185E-2</c:v>
                </c:pt>
                <c:pt idx="53">
                  <c:v>8.9067497900188933E-2</c:v>
                </c:pt>
                <c:pt idx="54">
                  <c:v>9.0716896009451709E-2</c:v>
                </c:pt>
                <c:pt idx="55">
                  <c:v>9.236629411871447E-2</c:v>
                </c:pt>
                <c:pt idx="56">
                  <c:v>9.4015692227977218E-2</c:v>
                </c:pt>
                <c:pt idx="57">
                  <c:v>9.566509033723998E-2</c:v>
                </c:pt>
                <c:pt idx="58">
                  <c:v>9.7314488446502742E-2</c:v>
                </c:pt>
                <c:pt idx="59">
                  <c:v>9.896388655576549E-2</c:v>
                </c:pt>
                <c:pt idx="60">
                  <c:v>0.10061328466502827</c:v>
                </c:pt>
                <c:pt idx="61">
                  <c:v>0.10226268277429101</c:v>
                </c:pt>
                <c:pt idx="62">
                  <c:v>0.10391208088355376</c:v>
                </c:pt>
                <c:pt idx="63">
                  <c:v>0.10556147899281651</c:v>
                </c:pt>
                <c:pt idx="64">
                  <c:v>0.10721087710207929</c:v>
                </c:pt>
                <c:pt idx="65">
                  <c:v>0.10886027521134203</c:v>
                </c:pt>
                <c:pt idx="66">
                  <c:v>0.11050967332060481</c:v>
                </c:pt>
                <c:pt idx="67">
                  <c:v>0.11215907142986757</c:v>
                </c:pt>
                <c:pt idx="68">
                  <c:v>0.11380846953913033</c:v>
                </c:pt>
                <c:pt idx="69">
                  <c:v>0.11545786764839308</c:v>
                </c:pt>
                <c:pt idx="70">
                  <c:v>0.11710726575765582</c:v>
                </c:pt>
                <c:pt idx="71">
                  <c:v>0.11875666386691859</c:v>
                </c:pt>
                <c:pt idx="72">
                  <c:v>0.12040606197618135</c:v>
                </c:pt>
                <c:pt idx="73">
                  <c:v>0.1220554600854441</c:v>
                </c:pt>
                <c:pt idx="74">
                  <c:v>0.12370485819470688</c:v>
                </c:pt>
                <c:pt idx="75">
                  <c:v>0.12535425630396962</c:v>
                </c:pt>
                <c:pt idx="76">
                  <c:v>0.12700365441323239</c:v>
                </c:pt>
                <c:pt idx="77">
                  <c:v>0.12865305252249515</c:v>
                </c:pt>
                <c:pt idx="78">
                  <c:v>0.13030245063175791</c:v>
                </c:pt>
                <c:pt idx="79">
                  <c:v>0.13195184874102067</c:v>
                </c:pt>
                <c:pt idx="80">
                  <c:v>0.13360124685028341</c:v>
                </c:pt>
                <c:pt idx="81">
                  <c:v>0.13525064495954617</c:v>
                </c:pt>
                <c:pt idx="82">
                  <c:v>0.13690004306880893</c:v>
                </c:pt>
                <c:pt idx="83">
                  <c:v>0.13854944117807166</c:v>
                </c:pt>
                <c:pt idx="84">
                  <c:v>0.14019883928733445</c:v>
                </c:pt>
                <c:pt idx="85">
                  <c:v>0.14184823739659722</c:v>
                </c:pt>
                <c:pt idx="86">
                  <c:v>0.14349763550585998</c:v>
                </c:pt>
                <c:pt idx="87">
                  <c:v>0.14514703361512274</c:v>
                </c:pt>
                <c:pt idx="88">
                  <c:v>0.14679643172438547</c:v>
                </c:pt>
                <c:pt idx="89">
                  <c:v>0.14844582983364824</c:v>
                </c:pt>
                <c:pt idx="90">
                  <c:v>0.150095227942911</c:v>
                </c:pt>
                <c:pt idx="91">
                  <c:v>0.15174462605217376</c:v>
                </c:pt>
                <c:pt idx="92">
                  <c:v>0.15339402416143652</c:v>
                </c:pt>
                <c:pt idx="93">
                  <c:v>0.15504342227069925</c:v>
                </c:pt>
                <c:pt idx="94">
                  <c:v>0.15669282037996204</c:v>
                </c:pt>
                <c:pt idx="95">
                  <c:v>0.15834221848922478</c:v>
                </c:pt>
                <c:pt idx="96">
                  <c:v>0.15999161659848754</c:v>
                </c:pt>
                <c:pt idx="97">
                  <c:v>0.16164101470775027</c:v>
                </c:pt>
                <c:pt idx="98">
                  <c:v>0.16329041281701306</c:v>
                </c:pt>
                <c:pt idx="99">
                  <c:v>0.16493981092627583</c:v>
                </c:pt>
                <c:pt idx="100">
                  <c:v>0.32987962185255165</c:v>
                </c:pt>
                <c:pt idx="101">
                  <c:v>0.82469905463137916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D8-4AFF-BD17-2F42EE9C8D73}"/>
            </c:ext>
          </c:extLst>
        </c:ser>
        <c:ser>
          <c:idx val="2"/>
          <c:order val="2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4.5411739661767167E-3"/>
                  <c:y val="-8.3938139573924708E-3"/>
                </c:manualLayout>
              </c:layout>
              <c:tx>
                <c:rich>
                  <a:bodyPr/>
                  <a:lstStyle/>
                  <a:p>
                    <a:fld id="{819C692A-0E29-48AC-BC5B-EBB4C7D8D3A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E05-460C-A738-69775BB35DA2}"/>
                </c:ext>
              </c:extLst>
            </c:dLbl>
            <c:dLbl>
              <c:idx val="1"/>
              <c:layout>
                <c:manualLayout>
                  <c:x val="1.5137246553922389E-3"/>
                  <c:y val="1.9585565900582382E-2"/>
                </c:manualLayout>
              </c:layout>
              <c:tx>
                <c:rich>
                  <a:bodyPr/>
                  <a:lstStyle/>
                  <a:p>
                    <a:fld id="{FB44FE88-E683-48E2-BE13-04582FC4AF9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E05-460C-A738-69775BB35DA2}"/>
                </c:ext>
              </c:extLst>
            </c:dLbl>
            <c:dLbl>
              <c:idx val="2"/>
              <c:layout>
                <c:manualLayout>
                  <c:x val="4.5411739661767167E-3"/>
                  <c:y val="0"/>
                </c:manualLayout>
              </c:layout>
              <c:tx>
                <c:rich>
                  <a:bodyPr/>
                  <a:lstStyle/>
                  <a:p>
                    <a:fld id="{B3461FD7-400E-408F-B8AB-A656CA9678A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E05-460C-A738-69775BB35DA2}"/>
                </c:ext>
              </c:extLst>
            </c:dLbl>
            <c:dLbl>
              <c:idx val="3"/>
              <c:layout>
                <c:manualLayout>
                  <c:x val="6.0548986215690111E-3"/>
                  <c:y val="-1.2823734294032308E-17"/>
                </c:manualLayout>
              </c:layout>
              <c:tx>
                <c:rich>
                  <a:bodyPr/>
                  <a:lstStyle/>
                  <a:p>
                    <a:fld id="{6E99875E-07F2-4BCD-BBF5-ABF46135828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E05-460C-A738-69775BB35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Helicopter!$E$5:$E$8</c:f>
              <c:numCache>
                <c:formatCode>General</c:formatCode>
                <c:ptCount val="4"/>
                <c:pt idx="0">
                  <c:v>1.7998560115190784E-2</c:v>
                </c:pt>
                <c:pt idx="1">
                  <c:v>1.7822135091783996E-2</c:v>
                </c:pt>
                <c:pt idx="2">
                  <c:v>1.5318627450980392E-2</c:v>
                </c:pt>
                <c:pt idx="3">
                  <c:v>1.764602082230457E-2</c:v>
                </c:pt>
              </c:numCache>
            </c:numRef>
          </c:xVal>
          <c:yVal>
            <c:numRef>
              <c:f>Helicopter!$G$5:$G$8</c:f>
              <c:numCache>
                <c:formatCode>_(* #,##0.00_);_(* \(#,##0.00\);_(* "-"??_);_(@_)</c:formatCode>
                <c:ptCount val="4"/>
                <c:pt idx="0">
                  <c:v>0.25903353970719922</c:v>
                </c:pt>
                <c:pt idx="1">
                  <c:v>0.24631609669809171</c:v>
                </c:pt>
                <c:pt idx="2">
                  <c:v>0.37684968652768619</c:v>
                </c:pt>
                <c:pt idx="3">
                  <c:v>0.35136497091811653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Helicopter!$A$5:$A$8</c15:f>
                <c15:dlblRangeCache>
                  <c:ptCount val="4"/>
                  <c:pt idx="0">
                    <c:v>R44 Raven I</c:v>
                  </c:pt>
                  <c:pt idx="1">
                    <c:v>R44 Raven II</c:v>
                  </c:pt>
                  <c:pt idx="2">
                    <c:v>AS350 B3</c:v>
                  </c:pt>
                  <c:pt idx="3">
                    <c:v>EC120 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10E-4B5D-98B0-ECE9099CF68D}"/>
            </c:ext>
          </c:extLst>
        </c:ser>
        <c:ser>
          <c:idx val="3"/>
          <c:order val="3"/>
          <c:tx>
            <c:v>Lighter than 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1D5EA99-8EB9-4672-9DED-7C74878511ED}" type="CELLREF">
                      <a:rPr lang="en-US"/>
                      <a:pPr/>
                      <a:t>[ZELLBEZ]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{31D5EA99-8EB9-4672-9DED-7C74878511ED}</c15:txfldGUID>
                      <c15:f>Airship!$A$5</c15:f>
                      <c15:dlblFieldTableCache>
                        <c:ptCount val="1"/>
                        <c:pt idx="0">
                          <c:v>LZ 129 Hindenburg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E05-460C-A738-69775BB35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Airship!$H$5</c:f>
              <c:numCache>
                <c:formatCode>0.00</c:formatCode>
                <c:ptCount val="1"/>
                <c:pt idx="0">
                  <c:v>2.880184331797235E-2</c:v>
                </c:pt>
              </c:numCache>
            </c:numRef>
          </c:xVal>
          <c:yVal>
            <c:numRef>
              <c:f>Airship!$O$5</c:f>
              <c:numCache>
                <c:formatCode>0.00</c:formatCode>
                <c:ptCount val="1"/>
                <c:pt idx="0">
                  <c:v>1.3423819035143888E-2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0E-4B5D-98B0-ECE9099CF68D}"/>
            </c:ext>
          </c:extLst>
        </c:ser>
        <c:ser>
          <c:idx val="4"/>
          <c:order val="4"/>
          <c:tx>
            <c:v>Unpowered flight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160569918997462E-2"/>
                  <c:y val="-2.206941613361217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Grob 103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0E05-460C-A738-69775BB35DA2}"/>
                </c:ext>
              </c:extLst>
            </c:dLbl>
            <c:dLbl>
              <c:idx val="1"/>
              <c:layout>
                <c:manualLayout>
                  <c:x val="-6.3221664151723533E-2"/>
                  <c:y val="-4.16165457640550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ASW 28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0E05-460C-A738-69775BB35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Glider!$G$5:$G$6</c:f>
              <c:numCache>
                <c:formatCode>_-* #,##0.000_-;\-* #,##0.000_-;_-* "-"??_-;_-@_-</c:formatCode>
                <c:ptCount val="2"/>
                <c:pt idx="0">
                  <c:v>3.2414910858995137E-2</c:v>
                </c:pt>
                <c:pt idx="1">
                  <c:v>1.7998560115190784E-2</c:v>
                </c:pt>
              </c:numCache>
            </c:numRef>
          </c:xVal>
          <c:yVal>
            <c:numRef>
              <c:f>Glider!$I$5:$I$6</c:f>
              <c:numCache>
                <c:formatCode>General</c:formatCode>
                <c:ptCount val="2"/>
                <c:pt idx="0">
                  <c:v>2.7777777777777776E-2</c:v>
                </c:pt>
                <c:pt idx="1">
                  <c:v>2.2222222222222223E-2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0E-4B5D-98B0-ECE9099CF68D}"/>
            </c:ext>
          </c:extLst>
        </c:ser>
        <c:ser>
          <c:idx val="5"/>
          <c:order val="5"/>
          <c:tx>
            <c:v>Supersonic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1.4798279686166481E-2"/>
                  <c:y val="-5.8731219880418205E-2"/>
                </c:manualLayout>
              </c:layout>
              <c:tx>
                <c:rich>
                  <a:bodyPr/>
                  <a:lstStyle/>
                  <a:p>
                    <a:fld id="{8BC642D2-2C66-4E34-AFA2-2B8888C81DBC}" type="CELLREF">
                      <a:rPr lang="en-US"/>
                      <a:pPr/>
                      <a:t>[ZELLBEZ]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{8BC642D2-2C66-4E34-AFA2-2B8888C81DBC}</c15:txfldGUID>
                      <c15:f>'Supersonic Aircraft'!$A$5</c15:f>
                      <c15:dlblFieldTableCache>
                        <c:ptCount val="1"/>
                        <c:pt idx="0">
                          <c:v>Concorde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0E05-460C-A738-69775BB35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'Supersonic Aircraft'!$I$5</c:f>
              <c:numCache>
                <c:formatCode>0.000</c:formatCode>
                <c:ptCount val="1"/>
                <c:pt idx="0">
                  <c:v>1.6682113067655235E-3</c:v>
                </c:pt>
              </c:numCache>
            </c:numRef>
          </c:xVal>
          <c:yVal>
            <c:numRef>
              <c:f>'Supersonic Aircraft'!$H$5</c:f>
              <c:numCache>
                <c:formatCode>0.000</c:formatCode>
                <c:ptCount val="1"/>
                <c:pt idx="0">
                  <c:v>0.13455517915853751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1-44A0-A9DA-AEBDA32704FF}"/>
            </c:ext>
          </c:extLst>
        </c:ser>
        <c:ser>
          <c:idx val="6"/>
          <c:order val="6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2.2032441145610659E-2"/>
                  <c:y val="-0.17425976364694254"/>
                </c:manualLayout>
              </c:layout>
              <c:tx>
                <c:rich>
                  <a:bodyPr/>
                  <a:lstStyle/>
                  <a:p>
                    <a:fld id="{332D9D0F-F3A7-4C10-BCB3-C8E4944B6A9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0E05-460C-A738-69775BB35DA2}"/>
                </c:ext>
              </c:extLst>
            </c:dLbl>
            <c:dLbl>
              <c:idx val="1"/>
              <c:layout>
                <c:manualLayout>
                  <c:x val="2.2289655146109592E-2"/>
                  <c:y val="-0.22979861235494509"/>
                </c:manualLayout>
              </c:layout>
              <c:tx>
                <c:rich>
                  <a:bodyPr/>
                  <a:lstStyle/>
                  <a:p>
                    <a:fld id="{980D1976-829E-4F7C-ABD6-509169AE36C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E05-460C-A738-69775BB35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'Subsonic Aircraft'!$K$20:$K$21</c:f>
              <c:numCache>
                <c:formatCode>0.000000</c:formatCode>
                <c:ptCount val="2"/>
                <c:pt idx="0">
                  <c:v>3.9591416580885266E-3</c:v>
                </c:pt>
                <c:pt idx="1">
                  <c:v>3.8106851611919819E-3</c:v>
                </c:pt>
              </c:numCache>
            </c:numRef>
          </c:xVal>
          <c:yVal>
            <c:numRef>
              <c:f>'Subsonic Aircraft'!$J$20:$J$21</c:f>
              <c:numCache>
                <c:formatCode>0.00000</c:formatCode>
                <c:ptCount val="2"/>
                <c:pt idx="0">
                  <c:v>5.3514661212033826E-2</c:v>
                </c:pt>
                <c:pt idx="1">
                  <c:v>4.8607794467113177E-2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Aircraft'!$A$20:$A$21</c15:f>
                <c15:dlblRangeCache>
                  <c:ptCount val="2"/>
                  <c:pt idx="0">
                    <c:v>B747-400 (Cargo)</c:v>
                  </c:pt>
                  <c:pt idx="1">
                    <c:v>MD-11 (Cargo)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2F9E-4C21-8D39-9AD81E198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68832"/>
        <c:axId val="65799680"/>
      </c:scatterChart>
      <c:valAx>
        <c:axId val="65768832"/>
        <c:scaling>
          <c:orientation val="minMax"/>
          <c:max val="4.500000000000001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1/V [s/m]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799680"/>
        <c:crosses val="autoZero"/>
        <c:crossBetween val="midCat"/>
      </c:valAx>
      <c:valAx>
        <c:axId val="65799680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1/(L/D)</a:t>
                </a:r>
              </a:p>
            </c:rich>
          </c:tx>
          <c:layout>
            <c:manualLayout>
              <c:xMode val="edge"/>
              <c:yMode val="edge"/>
              <c:x val="1.7715070401870873E-2"/>
              <c:y val="0.39000133528614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768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83284713119603"/>
          <c:y val="6.9894317527036801E-2"/>
          <c:w val="0.65582902075020377"/>
          <c:h val="0.80652851824537675"/>
        </c:manualLayout>
      </c:layout>
      <c:scatterChart>
        <c:scatterStyle val="lineMarker"/>
        <c:varyColors val="0"/>
        <c:ser>
          <c:idx val="0"/>
          <c:order val="0"/>
          <c:tx>
            <c:v>Subsonic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'Subsonic Aircraft'!$I$5:$I$19</c:f>
              <c:numCache>
                <c:formatCode>0.00</c:formatCode>
                <c:ptCount val="15"/>
                <c:pt idx="0">
                  <c:v>231.48</c:v>
                </c:pt>
                <c:pt idx="1">
                  <c:v>230.45</c:v>
                </c:pt>
                <c:pt idx="2">
                  <c:v>246.91</c:v>
                </c:pt>
                <c:pt idx="3">
                  <c:v>248.97</c:v>
                </c:pt>
                <c:pt idx="4">
                  <c:v>257.2</c:v>
                </c:pt>
                <c:pt idx="5">
                  <c:v>252.58</c:v>
                </c:pt>
                <c:pt idx="6">
                  <c:v>263.89</c:v>
                </c:pt>
                <c:pt idx="7">
                  <c:v>252.57</c:v>
                </c:pt>
                <c:pt idx="8">
                  <c:v>251.03</c:v>
                </c:pt>
                <c:pt idx="9">
                  <c:v>224.79</c:v>
                </c:pt>
                <c:pt idx="10">
                  <c:v>262.42</c:v>
                </c:pt>
                <c:pt idx="11">
                  <c:v>212.96</c:v>
                </c:pt>
                <c:pt idx="12">
                  <c:v>236.11</c:v>
                </c:pt>
                <c:pt idx="13">
                  <c:v>191.78</c:v>
                </c:pt>
                <c:pt idx="14">
                  <c:v>253.6</c:v>
                </c:pt>
              </c:numCache>
            </c:numRef>
          </c:xVal>
          <c:yVal>
            <c:numRef>
              <c:f>'Subsonic Aircraft'!$Q$5:$Q$19</c:f>
              <c:numCache>
                <c:formatCode>0.000</c:formatCode>
                <c:ptCount val="15"/>
                <c:pt idx="0">
                  <c:v>5.327892274406107</c:v>
                </c:pt>
                <c:pt idx="1">
                  <c:v>4.3403499059588002</c:v>
                </c:pt>
                <c:pt idx="2">
                  <c:v>4.4492287448161694</c:v>
                </c:pt>
                <c:pt idx="3">
                  <c:v>4.3627083498643042</c:v>
                </c:pt>
                <c:pt idx="4">
                  <c:v>3.9742498789317127</c:v>
                </c:pt>
                <c:pt idx="5">
                  <c:v>2.8812091479133466</c:v>
                </c:pt>
                <c:pt idx="6">
                  <c:v>4.2356653403256175</c:v>
                </c:pt>
                <c:pt idx="7">
                  <c:v>5.7019206830319247</c:v>
                </c:pt>
                <c:pt idx="8">
                  <c:v>5.228011325456718</c:v>
                </c:pt>
                <c:pt idx="9">
                  <c:v>4.4986498768059127</c:v>
                </c:pt>
                <c:pt idx="10">
                  <c:v>4.0291484384534098</c:v>
                </c:pt>
                <c:pt idx="11">
                  <c:v>4.5329000315340924</c:v>
                </c:pt>
                <c:pt idx="12">
                  <c:v>3.2041103420441988</c:v>
                </c:pt>
                <c:pt idx="13">
                  <c:v>1.6301012637508561</c:v>
                </c:pt>
                <c:pt idx="14">
                  <c:v>2.1904223355090076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09-4EE7-A725-9694A875BD79}"/>
            </c:ext>
          </c:extLst>
        </c:ser>
        <c:ser>
          <c:idx val="11"/>
          <c:order val="1"/>
          <c:tx>
            <c:v>Supersonic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'Supersonic Aircraft'!$F$5</c:f>
              <c:numCache>
                <c:formatCode>0.000</c:formatCode>
                <c:ptCount val="1"/>
                <c:pt idx="0">
                  <c:v>599.44444444444446</c:v>
                </c:pt>
              </c:numCache>
            </c:numRef>
          </c:xVal>
          <c:yVal>
            <c:numRef>
              <c:f>'Supersonic Aircraft'!$O$5</c:f>
              <c:numCache>
                <c:formatCode>0.000</c:formatCode>
                <c:ptCount val="1"/>
                <c:pt idx="0">
                  <c:v>0.53750680409788854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53-4E14-8DD8-59F621A6F5D3}"/>
            </c:ext>
          </c:extLst>
        </c:ser>
        <c:ser>
          <c:idx val="15"/>
          <c:order val="2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'Subsonic Aircraft'!$I$20:$I$21</c:f>
              <c:numCache>
                <c:formatCode>0.00</c:formatCode>
                <c:ptCount val="2"/>
                <c:pt idx="0">
                  <c:v>252.58</c:v>
                </c:pt>
                <c:pt idx="1">
                  <c:v>262.42</c:v>
                </c:pt>
              </c:numCache>
            </c:numRef>
          </c:xVal>
          <c:yVal>
            <c:numRef>
              <c:f>'Subsonic Aircraft'!$Q$20:$Q$21</c:f>
              <c:numCache>
                <c:formatCode>0.000</c:formatCode>
                <c:ptCount val="2"/>
                <c:pt idx="0">
                  <c:v>5.3210968802374428</c:v>
                </c:pt>
                <c:pt idx="1">
                  <c:v>6.6682602436211429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36-4DA0-BFDD-C1A6AAA18BC3}"/>
            </c:ext>
          </c:extLst>
        </c:ser>
        <c:ser>
          <c:idx val="1"/>
          <c:order val="3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Helicopter!$D$5:$D$8</c:f>
              <c:numCache>
                <c:formatCode>General</c:formatCode>
                <c:ptCount val="4"/>
                <c:pt idx="0">
                  <c:v>55.56</c:v>
                </c:pt>
                <c:pt idx="1">
                  <c:v>56.11</c:v>
                </c:pt>
                <c:pt idx="2">
                  <c:v>65.28</c:v>
                </c:pt>
                <c:pt idx="3">
                  <c:v>56.67</c:v>
                </c:pt>
              </c:numCache>
            </c:numRef>
          </c:xVal>
          <c:yVal>
            <c:numRef>
              <c:f>Helicopter!$L$5:$L$8</c:f>
              <c:numCache>
                <c:formatCode>_(* #,##0.00_);_(* \(#,##0.00\);_(* "-"??_);_(@_)</c:formatCode>
                <c:ptCount val="4"/>
                <c:pt idx="0">
                  <c:v>1.2442946575609755</c:v>
                </c:pt>
                <c:pt idx="1">
                  <c:v>1.3282140234146345</c:v>
                </c:pt>
                <c:pt idx="2">
                  <c:v>1.1899822674033149</c:v>
                </c:pt>
                <c:pt idx="3">
                  <c:v>1.2031379328358212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09-4EE7-A725-9694A875BD79}"/>
            </c:ext>
          </c:extLst>
        </c:ser>
        <c:ser>
          <c:idx val="2"/>
          <c:order val="4"/>
          <c:tx>
            <c:v>Airship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Airship!$G$5</c:f>
              <c:numCache>
                <c:formatCode>0.00</c:formatCode>
                <c:ptCount val="1"/>
                <c:pt idx="0">
                  <c:v>34.72</c:v>
                </c:pt>
              </c:numCache>
            </c:numRef>
          </c:xVal>
          <c:yVal>
            <c:numRef>
              <c:f>Airship!$T$5</c:f>
              <c:numCache>
                <c:formatCode>0.00</c:formatCode>
                <c:ptCount val="1"/>
                <c:pt idx="0">
                  <c:v>3.0696850459502971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009-4EE7-A725-9694A875BD79}"/>
            </c:ext>
          </c:extLst>
        </c:ser>
        <c:ser>
          <c:idx val="3"/>
          <c:order val="5"/>
          <c:tx>
            <c:v>Glider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Glider!$F$5:$F$6</c:f>
              <c:numCache>
                <c:formatCode>General</c:formatCode>
                <c:ptCount val="2"/>
                <c:pt idx="0">
                  <c:v>30.85</c:v>
                </c:pt>
                <c:pt idx="1">
                  <c:v>55.56</c:v>
                </c:pt>
              </c:numCache>
            </c:numRef>
          </c:xVal>
          <c:yVal>
            <c:numRef>
              <c:f>Glider!$M$5:$M$6</c:f>
              <c:numCache>
                <c:formatCode>General</c:formatCode>
                <c:ptCount val="2"/>
                <c:pt idx="0">
                  <c:v>11.55913811812122</c:v>
                </c:pt>
                <c:pt idx="1">
                  <c:v>11.142857142857142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009-4EE7-A725-9694A875BD79}"/>
            </c:ext>
          </c:extLst>
        </c:ser>
        <c:ser>
          <c:idx val="4"/>
          <c:order val="6"/>
          <c:tx>
            <c:v>Bulker, Tanker, Container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'Bulker, Tanker, Container'!$D$5:$D$21</c:f>
              <c:numCache>
                <c:formatCode>0.00</c:formatCode>
                <c:ptCount val="17"/>
                <c:pt idx="0">
                  <c:v>6.7847999999999997</c:v>
                </c:pt>
                <c:pt idx="1">
                  <c:v>7.0983400000000003</c:v>
                </c:pt>
                <c:pt idx="2">
                  <c:v>7.3553400000000009</c:v>
                </c:pt>
                <c:pt idx="3">
                  <c:v>7.5146799999999994</c:v>
                </c:pt>
                <c:pt idx="4">
                  <c:v>7.6072000000000006</c:v>
                </c:pt>
                <c:pt idx="5">
                  <c:v>7.71</c:v>
                </c:pt>
                <c:pt idx="6">
                  <c:v>7.1446000000000005</c:v>
                </c:pt>
                <c:pt idx="7">
                  <c:v>7.47356</c:v>
                </c:pt>
                <c:pt idx="8">
                  <c:v>7.71</c:v>
                </c:pt>
                <c:pt idx="9">
                  <c:v>7.71</c:v>
                </c:pt>
                <c:pt idx="10">
                  <c:v>7.71</c:v>
                </c:pt>
                <c:pt idx="11">
                  <c:v>7.71</c:v>
                </c:pt>
                <c:pt idx="12">
                  <c:v>7.9670000000000005</c:v>
                </c:pt>
                <c:pt idx="13">
                  <c:v>10.280000000000001</c:v>
                </c:pt>
                <c:pt idx="14">
                  <c:v>10.742599999999999</c:v>
                </c:pt>
                <c:pt idx="15">
                  <c:v>11.256599999999999</c:v>
                </c:pt>
                <c:pt idx="16">
                  <c:v>12.079000000000001</c:v>
                </c:pt>
              </c:numCache>
            </c:numRef>
          </c:xVal>
          <c:yVal>
            <c:numRef>
              <c:f>'Bulker, Tanker, Container'!$N$5:$N$21</c:f>
              <c:numCache>
                <c:formatCode>0.00</c:formatCode>
                <c:ptCount val="17"/>
                <c:pt idx="0">
                  <c:v>299.0467741935484</c:v>
                </c:pt>
                <c:pt idx="1">
                  <c:v>477.92307692307691</c:v>
                </c:pt>
                <c:pt idx="2">
                  <c:v>553.43071847507326</c:v>
                </c:pt>
                <c:pt idx="3">
                  <c:v>878.58414804469271</c:v>
                </c:pt>
                <c:pt idx="4">
                  <c:v>953.13068181818187</c:v>
                </c:pt>
                <c:pt idx="5">
                  <c:v>1515.0921242774568</c:v>
                </c:pt>
                <c:pt idx="6">
                  <c:v>243.95921052631581</c:v>
                </c:pt>
                <c:pt idx="7">
                  <c:v>421.4849246231156</c:v>
                </c:pt>
                <c:pt idx="8">
                  <c:v>541.52044476327114</c:v>
                </c:pt>
                <c:pt idx="9">
                  <c:v>587.91238317757018</c:v>
                </c:pt>
                <c:pt idx="10">
                  <c:v>944.54391891891885</c:v>
                </c:pt>
                <c:pt idx="11">
                  <c:v>1190.2861873226113</c:v>
                </c:pt>
                <c:pt idx="12">
                  <c:v>1148.3502190580502</c:v>
                </c:pt>
                <c:pt idx="13">
                  <c:v>193.33551451187338</c:v>
                </c:pt>
                <c:pt idx="14">
                  <c:v>210.13285135135138</c:v>
                </c:pt>
                <c:pt idx="15">
                  <c:v>246.33112377850165</c:v>
                </c:pt>
                <c:pt idx="16">
                  <c:v>416.97761959988401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B009-4EE7-A725-9694A875BD79}"/>
            </c:ext>
          </c:extLst>
        </c:ser>
        <c:ser>
          <c:idx val="5"/>
          <c:order val="7"/>
          <c:tx>
            <c:v>Cruise 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'Cruise Ship'!$C$5:$C$7</c:f>
              <c:numCache>
                <c:formatCode>0.00</c:formatCode>
                <c:ptCount val="3"/>
                <c:pt idx="0">
                  <c:v>13.375</c:v>
                </c:pt>
                <c:pt idx="1">
                  <c:v>10.802777777777777</c:v>
                </c:pt>
                <c:pt idx="2">
                  <c:v>11.316666666666666</c:v>
                </c:pt>
              </c:numCache>
            </c:numRef>
          </c:xVal>
          <c:yVal>
            <c:numRef>
              <c:f>'Cruise Ship'!$U$5:$U$7</c:f>
              <c:numCache>
                <c:formatCode>0.00</c:formatCode>
                <c:ptCount val="3"/>
                <c:pt idx="0">
                  <c:v>2.7061121899301535</c:v>
                </c:pt>
                <c:pt idx="1">
                  <c:v>2.991561256683664</c:v>
                </c:pt>
                <c:pt idx="2">
                  <c:v>3.1800887628610859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009-4EE7-A725-9694A875BD79}"/>
            </c:ext>
          </c:extLst>
        </c:ser>
        <c:ser>
          <c:idx val="6"/>
          <c:order val="8"/>
          <c:tx>
            <c:v>Car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99"/>
              </a:solidFill>
              <a:ln w="9525">
                <a:noFill/>
              </a:ln>
              <a:effectLst/>
            </c:spPr>
          </c:marker>
          <c:xVal>
            <c:numRef>
              <c:f>Car!$B$5:$B$12</c:f>
              <c:numCache>
                <c:formatCode>0.00</c:formatCode>
                <c:ptCount val="8"/>
                <c:pt idx="0">
                  <c:v>27.78</c:v>
                </c:pt>
                <c:pt idx="1">
                  <c:v>27.78</c:v>
                </c:pt>
                <c:pt idx="2">
                  <c:v>27.78</c:v>
                </c:pt>
                <c:pt idx="3">
                  <c:v>27.78</c:v>
                </c:pt>
                <c:pt idx="4">
                  <c:v>16.670000000000002</c:v>
                </c:pt>
                <c:pt idx="5">
                  <c:v>16.670000000000002</c:v>
                </c:pt>
                <c:pt idx="6">
                  <c:v>16.670000000000002</c:v>
                </c:pt>
                <c:pt idx="7">
                  <c:v>16.670000000000002</c:v>
                </c:pt>
              </c:numCache>
            </c:numRef>
          </c:xVal>
          <c:yVal>
            <c:numRef>
              <c:f>Car!$P$5:$P$12</c:f>
              <c:numCache>
                <c:formatCode>0.00</c:formatCode>
                <c:ptCount val="8"/>
                <c:pt idx="0">
                  <c:v>3.6867530014994188</c:v>
                </c:pt>
                <c:pt idx="1">
                  <c:v>8.2183182341273842</c:v>
                </c:pt>
                <c:pt idx="2">
                  <c:v>7.7597746197459392</c:v>
                </c:pt>
                <c:pt idx="3">
                  <c:v>5.5101647050949261</c:v>
                </c:pt>
                <c:pt idx="4">
                  <c:v>2.55351966360347</c:v>
                </c:pt>
                <c:pt idx="5">
                  <c:v>4.4091153088339903</c:v>
                </c:pt>
                <c:pt idx="6">
                  <c:v>3.7977167038897313</c:v>
                </c:pt>
                <c:pt idx="7">
                  <c:v>2.7521680024107962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B009-4EE7-A725-9694A875BD79}"/>
            </c:ext>
          </c:extLst>
        </c:ser>
        <c:ser>
          <c:idx val="13"/>
          <c:order val="9"/>
          <c:tx>
            <c:v>Truck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CC"/>
              </a:solidFill>
              <a:ln w="9525">
                <a:noFill/>
              </a:ln>
              <a:effectLst/>
            </c:spPr>
          </c:marker>
          <c:xVal>
            <c:numRef>
              <c:f>Truck!$B$5:$B$8</c:f>
              <c:numCache>
                <c:formatCode>0.00</c:formatCode>
                <c:ptCount val="4"/>
                <c:pt idx="0">
                  <c:v>27.78</c:v>
                </c:pt>
                <c:pt idx="1">
                  <c:v>16.670000000000002</c:v>
                </c:pt>
                <c:pt idx="2">
                  <c:v>27.78</c:v>
                </c:pt>
                <c:pt idx="3">
                  <c:v>16.670000000000002</c:v>
                </c:pt>
              </c:numCache>
            </c:numRef>
          </c:xVal>
          <c:yVal>
            <c:numRef>
              <c:f>Truck!$P$5:$P$8</c:f>
              <c:numCache>
                <c:formatCode>0.00</c:formatCode>
                <c:ptCount val="4"/>
                <c:pt idx="0">
                  <c:v>26.152839740412862</c:v>
                </c:pt>
                <c:pt idx="1">
                  <c:v>12.271068321629109</c:v>
                </c:pt>
                <c:pt idx="2">
                  <c:v>21.14921281732326</c:v>
                </c:pt>
                <c:pt idx="3">
                  <c:v>9.8688992085943372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9F-46A8-9713-AD8D980DC0B5}"/>
            </c:ext>
          </c:extLst>
        </c:ser>
        <c:ser>
          <c:idx val="14"/>
          <c:order val="10"/>
          <c:tx>
            <c:v>Bus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3FA60"/>
              </a:solidFill>
              <a:ln w="9525">
                <a:noFill/>
              </a:ln>
              <a:effectLst/>
            </c:spPr>
          </c:marker>
          <c:xVal>
            <c:numRef>
              <c:f>Bus!$B$5:$B$6</c:f>
              <c:numCache>
                <c:formatCode>0.00</c:formatCode>
                <c:ptCount val="2"/>
                <c:pt idx="0">
                  <c:v>27.78</c:v>
                </c:pt>
                <c:pt idx="1">
                  <c:v>16.670000000000002</c:v>
                </c:pt>
              </c:numCache>
            </c:numRef>
          </c:xVal>
          <c:yVal>
            <c:numRef>
              <c:f>Bus!$P$5:$P$6</c:f>
              <c:numCache>
                <c:formatCode>0.00</c:formatCode>
                <c:ptCount val="2"/>
                <c:pt idx="0">
                  <c:v>14.518264459700358</c:v>
                </c:pt>
                <c:pt idx="1">
                  <c:v>6.1979776237189181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9F-46A8-9713-AD8D980DC0B5}"/>
            </c:ext>
          </c:extLst>
        </c:ser>
        <c:ser>
          <c:idx val="7"/>
          <c:order val="11"/>
          <c:tx>
            <c:v>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2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Train!$C$5:$C$6</c:f>
              <c:numCache>
                <c:formatCode>_(* #,##0.00_);_(* \(#,##0.00\);_(* "-"??_);_(@_)</c:formatCode>
                <c:ptCount val="2"/>
                <c:pt idx="0">
                  <c:v>88.888888888888886</c:v>
                </c:pt>
                <c:pt idx="1">
                  <c:v>83.333333333333329</c:v>
                </c:pt>
              </c:numCache>
            </c:numRef>
          </c:xVal>
          <c:yVal>
            <c:numRef>
              <c:f>Train!$L$5:$L$6</c:f>
              <c:numCache>
                <c:formatCode>_(* #,##0.00_);_(* \(#,##0.00\);_(* "-"??_);_(@_)</c:formatCode>
                <c:ptCount val="2"/>
                <c:pt idx="0">
                  <c:v>6.8415921000000015</c:v>
                </c:pt>
                <c:pt idx="1">
                  <c:v>10.609062230769231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B009-4EE7-A725-9694A875BD79}"/>
            </c:ext>
          </c:extLst>
        </c:ser>
        <c:ser>
          <c:idx val="8"/>
          <c:order val="12"/>
          <c:tx>
            <c:v>Human and Animal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C66FF"/>
              </a:solidFill>
              <a:ln w="9525">
                <a:noFill/>
              </a:ln>
              <a:effectLst/>
            </c:spPr>
          </c:marker>
          <c:xVal>
            <c:numRef>
              <c:f>'Human and Animal'!$F$5:$F$13</c:f>
              <c:numCache>
                <c:formatCode>0.00</c:formatCode>
                <c:ptCount val="9"/>
                <c:pt idx="0">
                  <c:v>1.3410818059901652</c:v>
                </c:pt>
                <c:pt idx="1">
                  <c:v>4.0232454179704957</c:v>
                </c:pt>
                <c:pt idx="2">
                  <c:v>10.013410818059901</c:v>
                </c:pt>
                <c:pt idx="3">
                  <c:v>6.9289226642825206</c:v>
                </c:pt>
                <c:pt idx="4">
                  <c:v>11.175681716584711</c:v>
                </c:pt>
                <c:pt idx="5">
                  <c:v>17.031738936075101</c:v>
                </c:pt>
                <c:pt idx="6">
                  <c:v>2.0116227089852479</c:v>
                </c:pt>
                <c:pt idx="7">
                  <c:v>4.0232454179704957</c:v>
                </c:pt>
                <c:pt idx="8">
                  <c:v>17.210549843540456</c:v>
                </c:pt>
              </c:numCache>
            </c:numRef>
          </c:xVal>
          <c:yVal>
            <c:numRef>
              <c:f>'Human and Animal'!$O$5:$O$13</c:f>
              <c:numCache>
                <c:formatCode>0.00</c:formatCode>
                <c:ptCount val="9"/>
                <c:pt idx="0">
                  <c:v>14.763997167957216</c:v>
                </c:pt>
                <c:pt idx="1">
                  <c:v>10.801530831266762</c:v>
                </c:pt>
                <c:pt idx="2">
                  <c:v>8.0983329096531698</c:v>
                </c:pt>
                <c:pt idx="3">
                  <c:v>25.62855456966836</c:v>
                </c:pt>
                <c:pt idx="4">
                  <c:v>19.150245955684053</c:v>
                </c:pt>
                <c:pt idx="5">
                  <c:v>12.274481404829375</c:v>
                </c:pt>
                <c:pt idx="6">
                  <c:v>8.7193923057087392</c:v>
                </c:pt>
                <c:pt idx="7">
                  <c:v>13.130379001537872</c:v>
                </c:pt>
                <c:pt idx="8">
                  <c:v>6.2636904124250679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009-4EE7-A725-9694A875BD79}"/>
            </c:ext>
          </c:extLst>
        </c:ser>
        <c:ser>
          <c:idx val="9"/>
          <c:order val="13"/>
          <c:tx>
            <c:v>Pipeline for Passenger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Hyperloop!$F$5:$F$6</c:f>
              <c:numCache>
                <c:formatCode>0.00</c:formatCode>
                <c:ptCount val="2"/>
                <c:pt idx="0">
                  <c:v>339.75</c:v>
                </c:pt>
                <c:pt idx="1">
                  <c:v>339.75</c:v>
                </c:pt>
              </c:numCache>
            </c:numRef>
          </c:xVal>
          <c:yVal>
            <c:numRef>
              <c:f>Hyperloop!$O$5:$O$6</c:f>
              <c:numCache>
                <c:formatCode>0.00</c:formatCode>
                <c:ptCount val="2"/>
                <c:pt idx="0">
                  <c:v>79.588878760255241</c:v>
                </c:pt>
                <c:pt idx="1">
                  <c:v>61.040000000000006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009-4EE7-A725-9694A875BD79}"/>
            </c:ext>
          </c:extLst>
        </c:ser>
        <c:ser>
          <c:idx val="12"/>
          <c:order val="14"/>
          <c:tx>
            <c:v>Oil and Gas Pipeline (electric)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Pipeline'!$N$5:$N$7</c:f>
              <c:numCache>
                <c:formatCode>General</c:formatCode>
                <c:ptCount val="3"/>
                <c:pt idx="0">
                  <c:v>103.59381463383635</c:v>
                </c:pt>
                <c:pt idx="1">
                  <c:v>44.297551541316729</c:v>
                </c:pt>
                <c:pt idx="2">
                  <c:v>18.059629158942883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8B-4F6C-A9CD-A15F55DBAFAC}"/>
            </c:ext>
          </c:extLst>
        </c:ser>
        <c:ser>
          <c:idx val="10"/>
          <c:order val="15"/>
          <c:tx>
            <c:v>Line hyperloop passenger &amp; cargo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'a_LDpl Hyperloop'!$B$2:$B$31000</c:f>
              <c:numCache>
                <c:formatCode>General</c:formatCode>
                <c:ptCount val="30999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</c:numCache>
            </c:numRef>
          </c:xVal>
          <c:yVal>
            <c:numRef>
              <c:f>'a_LDpl Hyperloop'!$C$2:$C$31000</c:f>
              <c:numCache>
                <c:formatCode>_(* #,##0.00_);_(* \(#,##0.00\);_(* "-"??_);_(@_)</c:formatCode>
                <c:ptCount val="30999"/>
                <c:pt idx="0">
                  <c:v>27040.32</c:v>
                </c:pt>
                <c:pt idx="1">
                  <c:v>2704.0320000000002</c:v>
                </c:pt>
                <c:pt idx="2">
                  <c:v>1352.0160000000001</c:v>
                </c:pt>
                <c:pt idx="3">
                  <c:v>901.34399999999994</c:v>
                </c:pt>
                <c:pt idx="4">
                  <c:v>676.00800000000004</c:v>
                </c:pt>
                <c:pt idx="5">
                  <c:v>540.80639999999994</c:v>
                </c:pt>
                <c:pt idx="6">
                  <c:v>450.67199999999997</c:v>
                </c:pt>
                <c:pt idx="7">
                  <c:v>386.29028571428569</c:v>
                </c:pt>
                <c:pt idx="8">
                  <c:v>338.00400000000002</c:v>
                </c:pt>
                <c:pt idx="9">
                  <c:v>300.44799999999998</c:v>
                </c:pt>
                <c:pt idx="10">
                  <c:v>270.40319999999997</c:v>
                </c:pt>
                <c:pt idx="11">
                  <c:v>245.82109090909091</c:v>
                </c:pt>
                <c:pt idx="12">
                  <c:v>225.33599999999998</c:v>
                </c:pt>
                <c:pt idx="13">
                  <c:v>208.00246153846155</c:v>
                </c:pt>
                <c:pt idx="14">
                  <c:v>193.14514285714284</c:v>
                </c:pt>
                <c:pt idx="15">
                  <c:v>180.2688</c:v>
                </c:pt>
                <c:pt idx="16">
                  <c:v>169.00200000000001</c:v>
                </c:pt>
                <c:pt idx="17">
                  <c:v>159.06070588235295</c:v>
                </c:pt>
                <c:pt idx="18">
                  <c:v>150.22399999999999</c:v>
                </c:pt>
                <c:pt idx="19">
                  <c:v>142.31747368421051</c:v>
                </c:pt>
                <c:pt idx="20">
                  <c:v>135.20159999999998</c:v>
                </c:pt>
                <c:pt idx="21">
                  <c:v>128.76342857142856</c:v>
                </c:pt>
                <c:pt idx="22">
                  <c:v>122.91054545454546</c:v>
                </c:pt>
                <c:pt idx="23">
                  <c:v>117.56660869565218</c:v>
                </c:pt>
                <c:pt idx="24">
                  <c:v>112.66799999999999</c:v>
                </c:pt>
                <c:pt idx="25">
                  <c:v>108.16128</c:v>
                </c:pt>
                <c:pt idx="26">
                  <c:v>104.00123076923077</c:v>
                </c:pt>
                <c:pt idx="27">
                  <c:v>100.14933333333333</c:v>
                </c:pt>
                <c:pt idx="28">
                  <c:v>96.572571428571422</c:v>
                </c:pt>
                <c:pt idx="29">
                  <c:v>93.242482758620682</c:v>
                </c:pt>
                <c:pt idx="30">
                  <c:v>90.134399999999999</c:v>
                </c:pt>
                <c:pt idx="31">
                  <c:v>87.226838709677423</c:v>
                </c:pt>
                <c:pt idx="32">
                  <c:v>84.501000000000005</c:v>
                </c:pt>
                <c:pt idx="33">
                  <c:v>81.940363636363642</c:v>
                </c:pt>
                <c:pt idx="34">
                  <c:v>79.530352941176474</c:v>
                </c:pt>
                <c:pt idx="35">
                  <c:v>77.25805714285714</c:v>
                </c:pt>
                <c:pt idx="36">
                  <c:v>75.111999999999995</c:v>
                </c:pt>
                <c:pt idx="37">
                  <c:v>73.081945945945947</c:v>
                </c:pt>
                <c:pt idx="38">
                  <c:v>71.158736842105256</c:v>
                </c:pt>
                <c:pt idx="39">
                  <c:v>69.334153846153839</c:v>
                </c:pt>
                <c:pt idx="40">
                  <c:v>67.600799999999992</c:v>
                </c:pt>
                <c:pt idx="41">
                  <c:v>65.951999999999998</c:v>
                </c:pt>
                <c:pt idx="42">
                  <c:v>64.381714285714281</c:v>
                </c:pt>
                <c:pt idx="43">
                  <c:v>62.884465116279067</c:v>
                </c:pt>
                <c:pt idx="44">
                  <c:v>61.455272727272728</c:v>
                </c:pt>
                <c:pt idx="45">
                  <c:v>60.089599999999997</c:v>
                </c:pt>
                <c:pt idx="46">
                  <c:v>58.783304347826089</c:v>
                </c:pt>
                <c:pt idx="47">
                  <c:v>57.532595744680847</c:v>
                </c:pt>
                <c:pt idx="48">
                  <c:v>56.333999999999996</c:v>
                </c:pt>
                <c:pt idx="49">
                  <c:v>55.184326530612246</c:v>
                </c:pt>
                <c:pt idx="50">
                  <c:v>54.080640000000002</c:v>
                </c:pt>
                <c:pt idx="51">
                  <c:v>53.020235294117647</c:v>
                </c:pt>
                <c:pt idx="52">
                  <c:v>52.000615384615386</c:v>
                </c:pt>
                <c:pt idx="53">
                  <c:v>51.019471698113207</c:v>
                </c:pt>
                <c:pt idx="54">
                  <c:v>50.074666666666666</c:v>
                </c:pt>
                <c:pt idx="55">
                  <c:v>49.164218181818178</c:v>
                </c:pt>
                <c:pt idx="56">
                  <c:v>48.286285714285711</c:v>
                </c:pt>
                <c:pt idx="57">
                  <c:v>47.439157894736844</c:v>
                </c:pt>
                <c:pt idx="58">
                  <c:v>46.621241379310341</c:v>
                </c:pt>
                <c:pt idx="59">
                  <c:v>45.831050847457625</c:v>
                </c:pt>
                <c:pt idx="60">
                  <c:v>45.0672</c:v>
                </c:pt>
                <c:pt idx="61">
                  <c:v>44.328393442622954</c:v>
                </c:pt>
                <c:pt idx="62">
                  <c:v>43.613419354838712</c:v>
                </c:pt>
                <c:pt idx="63">
                  <c:v>42.921142857142854</c:v>
                </c:pt>
                <c:pt idx="64">
                  <c:v>42.250500000000002</c:v>
                </c:pt>
                <c:pt idx="65">
                  <c:v>41.600492307692306</c:v>
                </c:pt>
                <c:pt idx="66">
                  <c:v>40.970181818181821</c:v>
                </c:pt>
                <c:pt idx="67">
                  <c:v>40.358686567164177</c:v>
                </c:pt>
                <c:pt idx="68">
                  <c:v>39.765176470588237</c:v>
                </c:pt>
                <c:pt idx="69">
                  <c:v>39.188869565217388</c:v>
                </c:pt>
                <c:pt idx="70">
                  <c:v>38.62902857142857</c:v>
                </c:pt>
                <c:pt idx="71">
                  <c:v>38.084957746478871</c:v>
                </c:pt>
                <c:pt idx="72">
                  <c:v>37.555999999999997</c:v>
                </c:pt>
                <c:pt idx="73">
                  <c:v>37.041534246575345</c:v>
                </c:pt>
                <c:pt idx="74">
                  <c:v>36.540972972972973</c:v>
                </c:pt>
                <c:pt idx="75">
                  <c:v>36.053759999999997</c:v>
                </c:pt>
                <c:pt idx="76">
                  <c:v>35.579368421052628</c:v>
                </c:pt>
                <c:pt idx="77">
                  <c:v>35.117298701298701</c:v>
                </c:pt>
                <c:pt idx="78">
                  <c:v>34.66707692307692</c:v>
                </c:pt>
                <c:pt idx="79">
                  <c:v>34.228253164556961</c:v>
                </c:pt>
                <c:pt idx="80">
                  <c:v>33.800399999999996</c:v>
                </c:pt>
                <c:pt idx="81">
                  <c:v>33.383111111111113</c:v>
                </c:pt>
                <c:pt idx="82">
                  <c:v>32.975999999999999</c:v>
                </c:pt>
                <c:pt idx="83">
                  <c:v>32.578698795180721</c:v>
                </c:pt>
                <c:pt idx="84">
                  <c:v>32.190857142857141</c:v>
                </c:pt>
                <c:pt idx="85">
                  <c:v>31.812141176470586</c:v>
                </c:pt>
                <c:pt idx="86">
                  <c:v>31.442232558139533</c:v>
                </c:pt>
                <c:pt idx="87">
                  <c:v>31.080827586206897</c:v>
                </c:pt>
                <c:pt idx="88">
                  <c:v>30.727636363636364</c:v>
                </c:pt>
                <c:pt idx="89">
                  <c:v>30.382382022471909</c:v>
                </c:pt>
                <c:pt idx="90">
                  <c:v>30.044799999999999</c:v>
                </c:pt>
                <c:pt idx="91">
                  <c:v>29.714637362637362</c:v>
                </c:pt>
                <c:pt idx="92">
                  <c:v>29.391652173913045</c:v>
                </c:pt>
                <c:pt idx="93">
                  <c:v>29.075612903225807</c:v>
                </c:pt>
                <c:pt idx="94">
                  <c:v>28.766297872340424</c:v>
                </c:pt>
                <c:pt idx="95">
                  <c:v>28.463494736842105</c:v>
                </c:pt>
                <c:pt idx="96">
                  <c:v>28.166999999999998</c:v>
                </c:pt>
                <c:pt idx="97">
                  <c:v>27.876618556701029</c:v>
                </c:pt>
                <c:pt idx="98">
                  <c:v>27.592163265306123</c:v>
                </c:pt>
                <c:pt idx="99">
                  <c:v>27.313454545454544</c:v>
                </c:pt>
                <c:pt idx="100">
                  <c:v>27.040320000000001</c:v>
                </c:pt>
                <c:pt idx="101">
                  <c:v>26.77259405940594</c:v>
                </c:pt>
                <c:pt idx="102">
                  <c:v>26.510117647058824</c:v>
                </c:pt>
                <c:pt idx="103">
                  <c:v>26.25273786407767</c:v>
                </c:pt>
                <c:pt idx="104">
                  <c:v>26.000307692307693</c:v>
                </c:pt>
                <c:pt idx="105">
                  <c:v>25.752685714285715</c:v>
                </c:pt>
                <c:pt idx="106">
                  <c:v>25.509735849056604</c:v>
                </c:pt>
                <c:pt idx="107">
                  <c:v>25.271327102803738</c:v>
                </c:pt>
                <c:pt idx="108">
                  <c:v>25.037333333333333</c:v>
                </c:pt>
                <c:pt idx="109">
                  <c:v>24.807633027522936</c:v>
                </c:pt>
                <c:pt idx="110">
                  <c:v>24.582109090909089</c:v>
                </c:pt>
                <c:pt idx="111">
                  <c:v>24.360648648648649</c:v>
                </c:pt>
                <c:pt idx="112">
                  <c:v>24.143142857142855</c:v>
                </c:pt>
                <c:pt idx="113">
                  <c:v>23.929486725663718</c:v>
                </c:pt>
                <c:pt idx="114">
                  <c:v>23.719578947368422</c:v>
                </c:pt>
                <c:pt idx="115">
                  <c:v>23.513321739130433</c:v>
                </c:pt>
                <c:pt idx="116">
                  <c:v>23.31062068965517</c:v>
                </c:pt>
                <c:pt idx="117">
                  <c:v>23.111384615384615</c:v>
                </c:pt>
                <c:pt idx="118">
                  <c:v>22.915525423728813</c:v>
                </c:pt>
                <c:pt idx="119">
                  <c:v>22.722957983193275</c:v>
                </c:pt>
                <c:pt idx="120">
                  <c:v>22.5336</c:v>
                </c:pt>
                <c:pt idx="121">
                  <c:v>22.347371900826445</c:v>
                </c:pt>
                <c:pt idx="122">
                  <c:v>22.164196721311477</c:v>
                </c:pt>
                <c:pt idx="123">
                  <c:v>21.983999999999998</c:v>
                </c:pt>
                <c:pt idx="124">
                  <c:v>21.806709677419356</c:v>
                </c:pt>
                <c:pt idx="125">
                  <c:v>21.632255999999998</c:v>
                </c:pt>
                <c:pt idx="126">
                  <c:v>21.460571428571427</c:v>
                </c:pt>
                <c:pt idx="127">
                  <c:v>21.291590551181102</c:v>
                </c:pt>
                <c:pt idx="128">
                  <c:v>21.125250000000001</c:v>
                </c:pt>
                <c:pt idx="129">
                  <c:v>20.961488372093022</c:v>
                </c:pt>
                <c:pt idx="130">
                  <c:v>20.800246153846153</c:v>
                </c:pt>
                <c:pt idx="131">
                  <c:v>20.641465648854961</c:v>
                </c:pt>
                <c:pt idx="132">
                  <c:v>20.485090909090911</c:v>
                </c:pt>
                <c:pt idx="133">
                  <c:v>20.331067669172931</c:v>
                </c:pt>
                <c:pt idx="134">
                  <c:v>20.179343283582089</c:v>
                </c:pt>
                <c:pt idx="135">
                  <c:v>20.029866666666667</c:v>
                </c:pt>
                <c:pt idx="136">
                  <c:v>19.882588235294119</c:v>
                </c:pt>
                <c:pt idx="137">
                  <c:v>19.737459854014599</c:v>
                </c:pt>
                <c:pt idx="138">
                  <c:v>19.594434782608694</c:v>
                </c:pt>
                <c:pt idx="139">
                  <c:v>19.453467625899279</c:v>
                </c:pt>
                <c:pt idx="140">
                  <c:v>19.314514285714285</c:v>
                </c:pt>
                <c:pt idx="141">
                  <c:v>19.177531914893617</c:v>
                </c:pt>
                <c:pt idx="142">
                  <c:v>19.042478873239435</c:v>
                </c:pt>
                <c:pt idx="143">
                  <c:v>18.909314685314683</c:v>
                </c:pt>
                <c:pt idx="144">
                  <c:v>18.777999999999999</c:v>
                </c:pt>
                <c:pt idx="145">
                  <c:v>18.648496551724136</c:v>
                </c:pt>
                <c:pt idx="146">
                  <c:v>18.520767123287673</c:v>
                </c:pt>
                <c:pt idx="147">
                  <c:v>18.394775510204081</c:v>
                </c:pt>
                <c:pt idx="148">
                  <c:v>18.270486486486487</c:v>
                </c:pt>
                <c:pt idx="149">
                  <c:v>18.147865771812079</c:v>
                </c:pt>
                <c:pt idx="150">
                  <c:v>18.026879999999998</c:v>
                </c:pt>
                <c:pt idx="151">
                  <c:v>17.907496688741723</c:v>
                </c:pt>
                <c:pt idx="152">
                  <c:v>17.789684210526314</c:v>
                </c:pt>
                <c:pt idx="153">
                  <c:v>17.673411764705882</c:v>
                </c:pt>
                <c:pt idx="154">
                  <c:v>17.55864935064935</c:v>
                </c:pt>
                <c:pt idx="155">
                  <c:v>17.445367741935485</c:v>
                </c:pt>
                <c:pt idx="156">
                  <c:v>17.33353846153846</c:v>
                </c:pt>
                <c:pt idx="157">
                  <c:v>17.223133757961783</c:v>
                </c:pt>
                <c:pt idx="158">
                  <c:v>17.11412658227848</c:v>
                </c:pt>
                <c:pt idx="159">
                  <c:v>17.006490566037737</c:v>
                </c:pt>
                <c:pt idx="160">
                  <c:v>16.900199999999998</c:v>
                </c:pt>
                <c:pt idx="161">
                  <c:v>16.795229813664594</c:v>
                </c:pt>
                <c:pt idx="162">
                  <c:v>16.691555555555556</c:v>
                </c:pt>
                <c:pt idx="163">
                  <c:v>16.589153374233128</c:v>
                </c:pt>
                <c:pt idx="164">
                  <c:v>16.488</c:v>
                </c:pt>
                <c:pt idx="165">
                  <c:v>16.388072727272728</c:v>
                </c:pt>
                <c:pt idx="166">
                  <c:v>16.28934939759036</c:v>
                </c:pt>
                <c:pt idx="167">
                  <c:v>16.191808383233532</c:v>
                </c:pt>
                <c:pt idx="168">
                  <c:v>16.09542857142857</c:v>
                </c:pt>
                <c:pt idx="169">
                  <c:v>16.000189349112425</c:v>
                </c:pt>
                <c:pt idx="170">
                  <c:v>15.906070588235293</c:v>
                </c:pt>
                <c:pt idx="171">
                  <c:v>15.813052631578946</c:v>
                </c:pt>
                <c:pt idx="172">
                  <c:v>15.721116279069767</c:v>
                </c:pt>
                <c:pt idx="173">
                  <c:v>15.630242774566474</c:v>
                </c:pt>
                <c:pt idx="174">
                  <c:v>15.540413793103449</c:v>
                </c:pt>
                <c:pt idx="175">
                  <c:v>15.451611428571429</c:v>
                </c:pt>
                <c:pt idx="176">
                  <c:v>15.363818181818182</c:v>
                </c:pt>
                <c:pt idx="177">
                  <c:v>15.277016949152543</c:v>
                </c:pt>
                <c:pt idx="178">
                  <c:v>15.191191011235954</c:v>
                </c:pt>
                <c:pt idx="179">
                  <c:v>15.106324022346369</c:v>
                </c:pt>
                <c:pt idx="180">
                  <c:v>15.022399999999999</c:v>
                </c:pt>
                <c:pt idx="181">
                  <c:v>14.939403314917127</c:v>
                </c:pt>
                <c:pt idx="182">
                  <c:v>14.857318681318681</c:v>
                </c:pt>
                <c:pt idx="183">
                  <c:v>14.776131147540983</c:v>
                </c:pt>
                <c:pt idx="184">
                  <c:v>14.695826086956522</c:v>
                </c:pt>
                <c:pt idx="185">
                  <c:v>14.616389189189189</c:v>
                </c:pt>
                <c:pt idx="186">
                  <c:v>14.537806451612903</c:v>
                </c:pt>
                <c:pt idx="187">
                  <c:v>14.460064171122994</c:v>
                </c:pt>
                <c:pt idx="188">
                  <c:v>14.383148936170212</c:v>
                </c:pt>
                <c:pt idx="189">
                  <c:v>14.307047619047619</c:v>
                </c:pt>
                <c:pt idx="190">
                  <c:v>14.231747368421052</c:v>
                </c:pt>
                <c:pt idx="191">
                  <c:v>14.157235602094241</c:v>
                </c:pt>
                <c:pt idx="192">
                  <c:v>14.083499999999999</c:v>
                </c:pt>
                <c:pt idx="193">
                  <c:v>14.010528497409327</c:v>
                </c:pt>
                <c:pt idx="194">
                  <c:v>13.938309278350514</c:v>
                </c:pt>
                <c:pt idx="195">
                  <c:v>13.86683076923077</c:v>
                </c:pt>
                <c:pt idx="196">
                  <c:v>13.796081632653062</c:v>
                </c:pt>
                <c:pt idx="197">
                  <c:v>13.72605076142132</c:v>
                </c:pt>
                <c:pt idx="198">
                  <c:v>13.656727272727272</c:v>
                </c:pt>
                <c:pt idx="199">
                  <c:v>13.588100502512562</c:v>
                </c:pt>
                <c:pt idx="200">
                  <c:v>13.520160000000001</c:v>
                </c:pt>
                <c:pt idx="201">
                  <c:v>13.45289552238806</c:v>
                </c:pt>
                <c:pt idx="202">
                  <c:v>13.38629702970297</c:v>
                </c:pt>
                <c:pt idx="203">
                  <c:v>13.320354679802955</c:v>
                </c:pt>
                <c:pt idx="204">
                  <c:v>13.255058823529412</c:v>
                </c:pt>
                <c:pt idx="205">
                  <c:v>13.1904</c:v>
                </c:pt>
                <c:pt idx="206">
                  <c:v>13.126368932038835</c:v>
                </c:pt>
                <c:pt idx="207">
                  <c:v>13.06295652173913</c:v>
                </c:pt>
                <c:pt idx="208">
                  <c:v>13.000153846153847</c:v>
                </c:pt>
                <c:pt idx="209">
                  <c:v>12.937952153110048</c:v>
                </c:pt>
                <c:pt idx="210">
                  <c:v>12.876342857142857</c:v>
                </c:pt>
                <c:pt idx="211">
                  <c:v>12.815317535545024</c:v>
                </c:pt>
                <c:pt idx="212">
                  <c:v>12.754867924528302</c:v>
                </c:pt>
                <c:pt idx="213">
                  <c:v>12.694985915492957</c:v>
                </c:pt>
                <c:pt idx="214">
                  <c:v>12.635663551401869</c:v>
                </c:pt>
                <c:pt idx="215">
                  <c:v>12.576893023255813</c:v>
                </c:pt>
                <c:pt idx="216">
                  <c:v>12.518666666666666</c:v>
                </c:pt>
                <c:pt idx="217">
                  <c:v>12.460976958525345</c:v>
                </c:pt>
                <c:pt idx="218">
                  <c:v>12.403816513761468</c:v>
                </c:pt>
                <c:pt idx="219">
                  <c:v>12.34717808219178</c:v>
                </c:pt>
                <c:pt idx="220">
                  <c:v>12.291054545454545</c:v>
                </c:pt>
                <c:pt idx="221">
                  <c:v>12.235438914027149</c:v>
                </c:pt>
                <c:pt idx="222">
                  <c:v>12.180324324324324</c:v>
                </c:pt>
                <c:pt idx="223">
                  <c:v>12.12570403587444</c:v>
                </c:pt>
                <c:pt idx="224">
                  <c:v>12.071571428571428</c:v>
                </c:pt>
                <c:pt idx="225">
                  <c:v>12.01792</c:v>
                </c:pt>
                <c:pt idx="226">
                  <c:v>11.964743362831859</c:v>
                </c:pt>
                <c:pt idx="227">
                  <c:v>11.912035242290749</c:v>
                </c:pt>
                <c:pt idx="228">
                  <c:v>11.859789473684211</c:v>
                </c:pt>
                <c:pt idx="229">
                  <c:v>11.808</c:v>
                </c:pt>
                <c:pt idx="230">
                  <c:v>11.756660869565216</c:v>
                </c:pt>
                <c:pt idx="231">
                  <c:v>11.705766233766234</c:v>
                </c:pt>
                <c:pt idx="232">
                  <c:v>11.655310344827585</c:v>
                </c:pt>
                <c:pt idx="233">
                  <c:v>11.605287553648068</c:v>
                </c:pt>
                <c:pt idx="234">
                  <c:v>11.555692307692308</c:v>
                </c:pt>
                <c:pt idx="235">
                  <c:v>11.506519148936171</c:v>
                </c:pt>
                <c:pt idx="236">
                  <c:v>11.457762711864406</c:v>
                </c:pt>
                <c:pt idx="237">
                  <c:v>11.409417721518988</c:v>
                </c:pt>
                <c:pt idx="238">
                  <c:v>11.361478991596638</c:v>
                </c:pt>
                <c:pt idx="239">
                  <c:v>11.313941422594143</c:v>
                </c:pt>
                <c:pt idx="240">
                  <c:v>11.2668</c:v>
                </c:pt>
                <c:pt idx="241">
                  <c:v>11.220049792531119</c:v>
                </c:pt>
                <c:pt idx="242">
                  <c:v>11.173685950413223</c:v>
                </c:pt>
                <c:pt idx="243">
                  <c:v>11.127703703703704</c:v>
                </c:pt>
                <c:pt idx="244">
                  <c:v>11.082098360655738</c:v>
                </c:pt>
                <c:pt idx="245">
                  <c:v>11.036865306122449</c:v>
                </c:pt>
                <c:pt idx="246">
                  <c:v>10.991999999999999</c:v>
                </c:pt>
                <c:pt idx="247">
                  <c:v>10.947497975708503</c:v>
                </c:pt>
                <c:pt idx="248">
                  <c:v>10.903354838709678</c:v>
                </c:pt>
                <c:pt idx="249">
                  <c:v>10.859566265060241</c:v>
                </c:pt>
                <c:pt idx="250">
                  <c:v>10.816127999999999</c:v>
                </c:pt>
                <c:pt idx="251">
                  <c:v>10.773035856573705</c:v>
                </c:pt>
                <c:pt idx="252">
                  <c:v>10.730285714285714</c:v>
                </c:pt>
                <c:pt idx="253">
                  <c:v>10.687873517786562</c:v>
                </c:pt>
                <c:pt idx="254">
                  <c:v>10.645795275590551</c:v>
                </c:pt>
                <c:pt idx="255">
                  <c:v>10.604047058823529</c:v>
                </c:pt>
                <c:pt idx="256">
                  <c:v>10.562625000000001</c:v>
                </c:pt>
                <c:pt idx="257">
                  <c:v>10.521525291828794</c:v>
                </c:pt>
                <c:pt idx="258">
                  <c:v>10.480744186046511</c:v>
                </c:pt>
                <c:pt idx="259">
                  <c:v>10.440277992277991</c:v>
                </c:pt>
                <c:pt idx="260">
                  <c:v>10.400123076923077</c:v>
                </c:pt>
                <c:pt idx="261">
                  <c:v>10.360275862068965</c:v>
                </c:pt>
                <c:pt idx="262">
                  <c:v>10.320732824427481</c:v>
                </c:pt>
                <c:pt idx="263">
                  <c:v>10.281490494296579</c:v>
                </c:pt>
                <c:pt idx="264">
                  <c:v>10.242545454545455</c:v>
                </c:pt>
                <c:pt idx="265">
                  <c:v>10.203894339622641</c:v>
                </c:pt>
                <c:pt idx="266">
                  <c:v>10.165533834586466</c:v>
                </c:pt>
                <c:pt idx="267">
                  <c:v>10.127460674157303</c:v>
                </c:pt>
                <c:pt idx="268">
                  <c:v>10.089671641791044</c:v>
                </c:pt>
                <c:pt idx="269">
                  <c:v>10.052163568773235</c:v>
                </c:pt>
                <c:pt idx="270">
                  <c:v>10.014933333333333</c:v>
                </c:pt>
                <c:pt idx="271">
                  <c:v>9.9779778597785977</c:v>
                </c:pt>
                <c:pt idx="272">
                  <c:v>9.9412941176470593</c:v>
                </c:pt>
                <c:pt idx="273">
                  <c:v>9.9048791208791211</c:v>
                </c:pt>
                <c:pt idx="274">
                  <c:v>9.8687299270072995</c:v>
                </c:pt>
                <c:pt idx="275">
                  <c:v>9.832843636363636</c:v>
                </c:pt>
                <c:pt idx="276">
                  <c:v>9.797217391304347</c:v>
                </c:pt>
                <c:pt idx="277">
                  <c:v>9.7618483754512635</c:v>
                </c:pt>
                <c:pt idx="278">
                  <c:v>9.7267338129496395</c:v>
                </c:pt>
                <c:pt idx="279">
                  <c:v>9.6918709677419361</c:v>
                </c:pt>
                <c:pt idx="280">
                  <c:v>9.6572571428571425</c:v>
                </c:pt>
                <c:pt idx="281">
                  <c:v>9.6228896797153016</c:v>
                </c:pt>
                <c:pt idx="282">
                  <c:v>9.5887659574468085</c:v>
                </c:pt>
                <c:pt idx="283">
                  <c:v>9.5548833922261487</c:v>
                </c:pt>
                <c:pt idx="284">
                  <c:v>9.5212394366197177</c:v>
                </c:pt>
                <c:pt idx="285">
                  <c:v>9.4878315789473682</c:v>
                </c:pt>
                <c:pt idx="286">
                  <c:v>9.4546573426573417</c:v>
                </c:pt>
                <c:pt idx="287">
                  <c:v>9.4217142857142857</c:v>
                </c:pt>
                <c:pt idx="288">
                  <c:v>9.3889999999999993</c:v>
                </c:pt>
                <c:pt idx="289">
                  <c:v>9.3565121107266442</c:v>
                </c:pt>
                <c:pt idx="290">
                  <c:v>9.3242482758620682</c:v>
                </c:pt>
                <c:pt idx="291">
                  <c:v>9.2922061855670108</c:v>
                </c:pt>
                <c:pt idx="292">
                  <c:v>9.2603835616438364</c:v>
                </c:pt>
                <c:pt idx="293">
                  <c:v>9.2287781569965865</c:v>
                </c:pt>
                <c:pt idx="294">
                  <c:v>9.1973877551020404</c:v>
                </c:pt>
                <c:pt idx="295">
                  <c:v>9.1662101694915261</c:v>
                </c:pt>
                <c:pt idx="296">
                  <c:v>9.1352432432432433</c:v>
                </c:pt>
                <c:pt idx="297">
                  <c:v>9.104484848484848</c:v>
                </c:pt>
                <c:pt idx="298">
                  <c:v>9.0739328859060393</c:v>
                </c:pt>
                <c:pt idx="299">
                  <c:v>9.0435852842809368</c:v>
                </c:pt>
                <c:pt idx="300">
                  <c:v>9.0134399999999992</c:v>
                </c:pt>
                <c:pt idx="301">
                  <c:v>8.983495016611295</c:v>
                </c:pt>
                <c:pt idx="302">
                  <c:v>8.9537483443708616</c:v>
                </c:pt>
                <c:pt idx="303">
                  <c:v>8.9241980198019792</c:v>
                </c:pt>
                <c:pt idx="304">
                  <c:v>8.894842105263157</c:v>
                </c:pt>
                <c:pt idx="305">
                  <c:v>8.8656786885245893</c:v>
                </c:pt>
                <c:pt idx="306">
                  <c:v>8.8367058823529412</c:v>
                </c:pt>
                <c:pt idx="307">
                  <c:v>8.8079218241042341</c:v>
                </c:pt>
                <c:pt idx="308">
                  <c:v>8.7793246753246752</c:v>
                </c:pt>
                <c:pt idx="309">
                  <c:v>8.7509126213592232</c:v>
                </c:pt>
                <c:pt idx="310">
                  <c:v>8.7226838709677423</c:v>
                </c:pt>
                <c:pt idx="311">
                  <c:v>8.6946366559485533</c:v>
                </c:pt>
                <c:pt idx="312">
                  <c:v>8.6667692307692299</c:v>
                </c:pt>
                <c:pt idx="313">
                  <c:v>8.6390798722044728</c:v>
                </c:pt>
                <c:pt idx="314">
                  <c:v>8.6115668789808915</c:v>
                </c:pt>
                <c:pt idx="315">
                  <c:v>8.5842285714285715</c:v>
                </c:pt>
                <c:pt idx="316">
                  <c:v>8.5570632911392401</c:v>
                </c:pt>
                <c:pt idx="317">
                  <c:v>8.5300694006309143</c:v>
                </c:pt>
                <c:pt idx="318">
                  <c:v>8.5032452830188685</c:v>
                </c:pt>
                <c:pt idx="319">
                  <c:v>8.4765893416927902</c:v>
                </c:pt>
                <c:pt idx="320">
                  <c:v>8.4500999999999991</c:v>
                </c:pt>
                <c:pt idx="321">
                  <c:v>8.4237757009345788</c:v>
                </c:pt>
                <c:pt idx="322">
                  <c:v>8.3976149068322972</c:v>
                </c:pt>
                <c:pt idx="323">
                  <c:v>8.3716160990712076</c:v>
                </c:pt>
                <c:pt idx="324">
                  <c:v>8.3457777777777782</c:v>
                </c:pt>
                <c:pt idx="325">
                  <c:v>8.3200984615384623</c:v>
                </c:pt>
                <c:pt idx="326">
                  <c:v>8.2945766871165638</c:v>
                </c:pt>
                <c:pt idx="327">
                  <c:v>8.2692110091743114</c:v>
                </c:pt>
                <c:pt idx="328">
                  <c:v>8.2439999999999998</c:v>
                </c:pt>
                <c:pt idx="329">
                  <c:v>8.2189422492401221</c:v>
                </c:pt>
                <c:pt idx="330">
                  <c:v>8.1940363636363642</c:v>
                </c:pt>
                <c:pt idx="331">
                  <c:v>8.1692809667673707</c:v>
                </c:pt>
                <c:pt idx="332">
                  <c:v>8.1446746987951801</c:v>
                </c:pt>
                <c:pt idx="333">
                  <c:v>8.1202162162162157</c:v>
                </c:pt>
                <c:pt idx="334">
                  <c:v>8.095904191616766</c:v>
                </c:pt>
                <c:pt idx="335">
                  <c:v>8.0717373134328358</c:v>
                </c:pt>
                <c:pt idx="336">
                  <c:v>8.0477142857142852</c:v>
                </c:pt>
                <c:pt idx="337">
                  <c:v>8.0238338278931742</c:v>
                </c:pt>
                <c:pt idx="338">
                  <c:v>8.0000946745562125</c:v>
                </c:pt>
                <c:pt idx="339">
                  <c:v>7.9764955752212385</c:v>
                </c:pt>
                <c:pt idx="340">
                  <c:v>7.9530352941176465</c:v>
                </c:pt>
                <c:pt idx="341">
                  <c:v>7.9297126099706743</c:v>
                </c:pt>
                <c:pt idx="342">
                  <c:v>7.9065263157894732</c:v>
                </c:pt>
                <c:pt idx="343">
                  <c:v>7.8834752186588917</c:v>
                </c:pt>
                <c:pt idx="344">
                  <c:v>7.8605581395348834</c:v>
                </c:pt>
                <c:pt idx="345">
                  <c:v>7.8377739130434785</c:v>
                </c:pt>
                <c:pt idx="346">
                  <c:v>7.815121387283237</c:v>
                </c:pt>
                <c:pt idx="347">
                  <c:v>7.792599423631124</c:v>
                </c:pt>
                <c:pt idx="348">
                  <c:v>7.7702068965517244</c:v>
                </c:pt>
                <c:pt idx="349">
                  <c:v>7.7479426934097422</c:v>
                </c:pt>
                <c:pt idx="350">
                  <c:v>7.7258057142857144</c:v>
                </c:pt>
                <c:pt idx="351">
                  <c:v>7.7037948717948721</c:v>
                </c:pt>
                <c:pt idx="352">
                  <c:v>7.681909090909091</c:v>
                </c:pt>
                <c:pt idx="353">
                  <c:v>7.6601473087818697</c:v>
                </c:pt>
                <c:pt idx="354">
                  <c:v>7.6385084745762715</c:v>
                </c:pt>
                <c:pt idx="355">
                  <c:v>7.6169915492957747</c:v>
                </c:pt>
                <c:pt idx="356">
                  <c:v>7.5955955056179771</c:v>
                </c:pt>
                <c:pt idx="357">
                  <c:v>7.5743193277310921</c:v>
                </c:pt>
                <c:pt idx="358">
                  <c:v>7.5531620111731845</c:v>
                </c:pt>
                <c:pt idx="359">
                  <c:v>7.5321225626740942</c:v>
                </c:pt>
                <c:pt idx="360">
                  <c:v>7.5111999999999997</c:v>
                </c:pt>
                <c:pt idx="361">
                  <c:v>7.4903933518005541</c:v>
                </c:pt>
                <c:pt idx="362">
                  <c:v>7.4697016574585637</c:v>
                </c:pt>
                <c:pt idx="363">
                  <c:v>7.4491239669421487</c:v>
                </c:pt>
                <c:pt idx="364">
                  <c:v>7.4286593406593404</c:v>
                </c:pt>
                <c:pt idx="365">
                  <c:v>7.4083068493150686</c:v>
                </c:pt>
                <c:pt idx="366">
                  <c:v>7.3880655737704917</c:v>
                </c:pt>
                <c:pt idx="367">
                  <c:v>7.3679346049046321</c:v>
                </c:pt>
                <c:pt idx="368">
                  <c:v>7.3479130434782611</c:v>
                </c:pt>
                <c:pt idx="369">
                  <c:v>7.3280000000000003</c:v>
                </c:pt>
                <c:pt idx="370">
                  <c:v>7.3081945945945943</c:v>
                </c:pt>
                <c:pt idx="371">
                  <c:v>7.288495956873315</c:v>
                </c:pt>
                <c:pt idx="372">
                  <c:v>7.2689032258064517</c:v>
                </c:pt>
                <c:pt idx="373">
                  <c:v>7.2494155495978552</c:v>
                </c:pt>
                <c:pt idx="374">
                  <c:v>7.230032085561497</c:v>
                </c:pt>
                <c:pt idx="375">
                  <c:v>7.2107520000000003</c:v>
                </c:pt>
                <c:pt idx="376">
                  <c:v>7.1915744680851059</c:v>
                </c:pt>
                <c:pt idx="377">
                  <c:v>7.1724986737400531</c:v>
                </c:pt>
                <c:pt idx="378">
                  <c:v>7.1535238095238096</c:v>
                </c:pt>
                <c:pt idx="379">
                  <c:v>7.1346490765171504</c:v>
                </c:pt>
                <c:pt idx="380">
                  <c:v>7.1158736842105261</c:v>
                </c:pt>
                <c:pt idx="381">
                  <c:v>7.0971968503937006</c:v>
                </c:pt>
                <c:pt idx="382">
                  <c:v>7.0786178010471206</c:v>
                </c:pt>
                <c:pt idx="383">
                  <c:v>7.0601357702349867</c:v>
                </c:pt>
                <c:pt idx="384">
                  <c:v>7.0417499999999995</c:v>
                </c:pt>
                <c:pt idx="385">
                  <c:v>7.0234597402597405</c:v>
                </c:pt>
                <c:pt idx="386">
                  <c:v>7.0052642487046635</c:v>
                </c:pt>
                <c:pt idx="387">
                  <c:v>6.9871627906976741</c:v>
                </c:pt>
                <c:pt idx="388">
                  <c:v>6.9691546391752572</c:v>
                </c:pt>
                <c:pt idx="389">
                  <c:v>6.951239074550128</c:v>
                </c:pt>
                <c:pt idx="390">
                  <c:v>6.933415384615385</c:v>
                </c:pt>
                <c:pt idx="391">
                  <c:v>6.9156828644501278</c:v>
                </c:pt>
                <c:pt idx="392">
                  <c:v>6.8980408163265308</c:v>
                </c:pt>
                <c:pt idx="393">
                  <c:v>6.8804885496183203</c:v>
                </c:pt>
                <c:pt idx="394">
                  <c:v>6.8630253807106598</c:v>
                </c:pt>
                <c:pt idx="395">
                  <c:v>6.8456506329113926</c:v>
                </c:pt>
                <c:pt idx="396">
                  <c:v>6.828363636363636</c:v>
                </c:pt>
                <c:pt idx="397">
                  <c:v>6.8111637279596975</c:v>
                </c:pt>
                <c:pt idx="398">
                  <c:v>6.794050251256281</c:v>
                </c:pt>
                <c:pt idx="399">
                  <c:v>6.7770225563909774</c:v>
                </c:pt>
                <c:pt idx="400">
                  <c:v>6.7600800000000003</c:v>
                </c:pt>
                <c:pt idx="401">
                  <c:v>6.7432219451371571</c:v>
                </c:pt>
                <c:pt idx="402">
                  <c:v>6.7264477611940299</c:v>
                </c:pt>
                <c:pt idx="403">
                  <c:v>6.7097568238213396</c:v>
                </c:pt>
                <c:pt idx="404">
                  <c:v>6.6931485148514849</c:v>
                </c:pt>
                <c:pt idx="405">
                  <c:v>6.676622222222222</c:v>
                </c:pt>
                <c:pt idx="406">
                  <c:v>6.6601773399014776</c:v>
                </c:pt>
                <c:pt idx="407">
                  <c:v>6.6438132678132673</c:v>
                </c:pt>
                <c:pt idx="408">
                  <c:v>6.6275294117647059</c:v>
                </c:pt>
                <c:pt idx="409">
                  <c:v>6.6113251833740829</c:v>
                </c:pt>
                <c:pt idx="410">
                  <c:v>6.5952000000000002</c:v>
                </c:pt>
                <c:pt idx="411">
                  <c:v>6.5791532846715324</c:v>
                </c:pt>
                <c:pt idx="412">
                  <c:v>6.5631844660194174</c:v>
                </c:pt>
                <c:pt idx="413">
                  <c:v>6.5472929782082323</c:v>
                </c:pt>
                <c:pt idx="414">
                  <c:v>6.531478260869565</c:v>
                </c:pt>
                <c:pt idx="415">
                  <c:v>6.5157397590361441</c:v>
                </c:pt>
                <c:pt idx="416">
                  <c:v>6.5000769230769233</c:v>
                </c:pt>
                <c:pt idx="417">
                  <c:v>6.4844892086330939</c:v>
                </c:pt>
                <c:pt idx="418">
                  <c:v>6.4689760765550242</c:v>
                </c:pt>
                <c:pt idx="419">
                  <c:v>6.4535369928400952</c:v>
                </c:pt>
                <c:pt idx="420">
                  <c:v>6.4381714285714287</c:v>
                </c:pt>
                <c:pt idx="421">
                  <c:v>6.422878859857482</c:v>
                </c:pt>
                <c:pt idx="422">
                  <c:v>6.4076587677725119</c:v>
                </c:pt>
                <c:pt idx="423">
                  <c:v>6.392510638297872</c:v>
                </c:pt>
                <c:pt idx="424">
                  <c:v>6.3774339622641509</c:v>
                </c:pt>
                <c:pt idx="425">
                  <c:v>6.3624282352941179</c:v>
                </c:pt>
                <c:pt idx="426">
                  <c:v>6.3474929577464785</c:v>
                </c:pt>
                <c:pt idx="427">
                  <c:v>6.3326276346604216</c:v>
                </c:pt>
                <c:pt idx="428">
                  <c:v>6.3178317757009346</c:v>
                </c:pt>
                <c:pt idx="429">
                  <c:v>6.3031048951048954</c:v>
                </c:pt>
                <c:pt idx="430">
                  <c:v>6.2884465116279067</c:v>
                </c:pt>
                <c:pt idx="431">
                  <c:v>6.2738561484918796</c:v>
                </c:pt>
                <c:pt idx="432">
                  <c:v>6.2593333333333332</c:v>
                </c:pt>
                <c:pt idx="433">
                  <c:v>6.2448775981524252</c:v>
                </c:pt>
                <c:pt idx="434">
                  <c:v>6.2304884792626725</c:v>
                </c:pt>
                <c:pt idx="435">
                  <c:v>6.2161655172413797</c:v>
                </c:pt>
                <c:pt idx="436">
                  <c:v>6.201908256880734</c:v>
                </c:pt>
                <c:pt idx="437">
                  <c:v>6.1877162471395879</c:v>
                </c:pt>
                <c:pt idx="438">
                  <c:v>6.17358904109589</c:v>
                </c:pt>
                <c:pt idx="439">
                  <c:v>6.1595261958997725</c:v>
                </c:pt>
                <c:pt idx="440">
                  <c:v>6.1455272727272723</c:v>
                </c:pt>
                <c:pt idx="441">
                  <c:v>6.1315918367346942</c:v>
                </c:pt>
                <c:pt idx="442">
                  <c:v>6.1177194570135747</c:v>
                </c:pt>
                <c:pt idx="443">
                  <c:v>6.1039097065462755</c:v>
                </c:pt>
                <c:pt idx="444">
                  <c:v>6.0901621621621622</c:v>
                </c:pt>
                <c:pt idx="445">
                  <c:v>6.0764764044943815</c:v>
                </c:pt>
                <c:pt idx="446">
                  <c:v>6.0628520179372201</c:v>
                </c:pt>
                <c:pt idx="447">
                  <c:v>6.0492885906040268</c:v>
                </c:pt>
                <c:pt idx="448">
                  <c:v>6.0357857142857139</c:v>
                </c:pt>
                <c:pt idx="449">
                  <c:v>6.0223429844097991</c:v>
                </c:pt>
                <c:pt idx="450">
                  <c:v>6.0089600000000001</c:v>
                </c:pt>
                <c:pt idx="451">
                  <c:v>5.9956363636363639</c:v>
                </c:pt>
                <c:pt idx="452">
                  <c:v>5.9823716814159296</c:v>
                </c:pt>
                <c:pt idx="453">
                  <c:v>5.9691655629139069</c:v>
                </c:pt>
                <c:pt idx="454">
                  <c:v>5.9560176211453744</c:v>
                </c:pt>
                <c:pt idx="455">
                  <c:v>5.9429274725274723</c:v>
                </c:pt>
                <c:pt idx="456">
                  <c:v>5.9298947368421056</c:v>
                </c:pt>
                <c:pt idx="457">
                  <c:v>5.9169190371991247</c:v>
                </c:pt>
                <c:pt idx="458">
                  <c:v>5.9039999999999999</c:v>
                </c:pt>
                <c:pt idx="459">
                  <c:v>5.8911372549019605</c:v>
                </c:pt>
                <c:pt idx="460">
                  <c:v>5.8783304347826082</c:v>
                </c:pt>
                <c:pt idx="461">
                  <c:v>5.8655791757049887</c:v>
                </c:pt>
                <c:pt idx="462">
                  <c:v>5.8528831168831168</c:v>
                </c:pt>
                <c:pt idx="463">
                  <c:v>5.840241900647948</c:v>
                </c:pt>
                <c:pt idx="464">
                  <c:v>5.8276551724137926</c:v>
                </c:pt>
                <c:pt idx="465">
                  <c:v>5.815122580645161</c:v>
                </c:pt>
                <c:pt idx="466">
                  <c:v>5.8026437768240342</c:v>
                </c:pt>
                <c:pt idx="467">
                  <c:v>5.7902184154175584</c:v>
                </c:pt>
                <c:pt idx="468">
                  <c:v>5.7778461538461539</c:v>
                </c:pt>
                <c:pt idx="469">
                  <c:v>5.7655266524520252</c:v>
                </c:pt>
                <c:pt idx="470">
                  <c:v>5.7532595744680854</c:v>
                </c:pt>
                <c:pt idx="471">
                  <c:v>5.741044585987261</c:v>
                </c:pt>
                <c:pt idx="472">
                  <c:v>5.7288813559322032</c:v>
                </c:pt>
                <c:pt idx="473">
                  <c:v>5.71676955602537</c:v>
                </c:pt>
                <c:pt idx="474">
                  <c:v>5.704708860759494</c:v>
                </c:pt>
                <c:pt idx="475">
                  <c:v>5.6926989473684211</c:v>
                </c:pt>
                <c:pt idx="476">
                  <c:v>5.6807394957983188</c:v>
                </c:pt>
                <c:pt idx="477">
                  <c:v>5.6688301886792454</c:v>
                </c:pt>
                <c:pt idx="478">
                  <c:v>5.6569707112970713</c:v>
                </c:pt>
                <c:pt idx="479">
                  <c:v>5.6451607515657622</c:v>
                </c:pt>
                <c:pt idx="480">
                  <c:v>5.6334</c:v>
                </c:pt>
                <c:pt idx="481">
                  <c:v>5.6216881496881497</c:v>
                </c:pt>
                <c:pt idx="482">
                  <c:v>5.6100248962655597</c:v>
                </c:pt>
                <c:pt idx="483">
                  <c:v>5.5984099378881984</c:v>
                </c:pt>
                <c:pt idx="484">
                  <c:v>5.5868429752066113</c:v>
                </c:pt>
                <c:pt idx="485">
                  <c:v>5.5753237113402063</c:v>
                </c:pt>
                <c:pt idx="486">
                  <c:v>5.5638518518518518</c:v>
                </c:pt>
                <c:pt idx="487">
                  <c:v>5.5524271047227929</c:v>
                </c:pt>
                <c:pt idx="488">
                  <c:v>5.5410491803278692</c:v>
                </c:pt>
                <c:pt idx="489">
                  <c:v>5.5297177914110431</c:v>
                </c:pt>
                <c:pt idx="490">
                  <c:v>5.5184326530612244</c:v>
                </c:pt>
                <c:pt idx="491">
                  <c:v>5.5071934826883906</c:v>
                </c:pt>
                <c:pt idx="492">
                  <c:v>5.4959999999999996</c:v>
                </c:pt>
                <c:pt idx="493">
                  <c:v>5.4848519269776874</c:v>
                </c:pt>
                <c:pt idx="494">
                  <c:v>5.4737489878542513</c:v>
                </c:pt>
                <c:pt idx="495">
                  <c:v>5.4626909090909086</c:v>
                </c:pt>
                <c:pt idx="496">
                  <c:v>5.451677419354839</c:v>
                </c:pt>
                <c:pt idx="497">
                  <c:v>5.4407082494969821</c:v>
                </c:pt>
                <c:pt idx="498">
                  <c:v>5.4297831325301207</c:v>
                </c:pt>
                <c:pt idx="499">
                  <c:v>5.4189018036072145</c:v>
                </c:pt>
                <c:pt idx="500">
                  <c:v>5.4080639999999995</c:v>
                </c:pt>
                <c:pt idx="501">
                  <c:v>5.397269461077844</c:v>
                </c:pt>
                <c:pt idx="502">
                  <c:v>5.3865179282868523</c:v>
                </c:pt>
                <c:pt idx="503">
                  <c:v>5.3758091451292245</c:v>
                </c:pt>
                <c:pt idx="504">
                  <c:v>5.3651428571428568</c:v>
                </c:pt>
                <c:pt idx="505">
                  <c:v>5.3545188118811877</c:v>
                </c:pt>
                <c:pt idx="506">
                  <c:v>5.3439367588932809</c:v>
                </c:pt>
                <c:pt idx="507">
                  <c:v>5.333396449704142</c:v>
                </c:pt>
                <c:pt idx="508">
                  <c:v>5.3228976377952755</c:v>
                </c:pt>
                <c:pt idx="509">
                  <c:v>5.3124400785854613</c:v>
                </c:pt>
                <c:pt idx="510">
                  <c:v>5.3020235294117644</c:v>
                </c:pt>
                <c:pt idx="511">
                  <c:v>5.291647749510763</c:v>
                </c:pt>
                <c:pt idx="512">
                  <c:v>5.2813125000000003</c:v>
                </c:pt>
                <c:pt idx="513">
                  <c:v>5.2710175438596494</c:v>
                </c:pt>
                <c:pt idx="514">
                  <c:v>5.2607626459143972</c:v>
                </c:pt>
                <c:pt idx="515">
                  <c:v>5.2505475728155337</c:v>
                </c:pt>
                <c:pt idx="516">
                  <c:v>5.2403720930232556</c:v>
                </c:pt>
                <c:pt idx="517">
                  <c:v>5.2302359767891682</c:v>
                </c:pt>
                <c:pt idx="518">
                  <c:v>5.2201389961389957</c:v>
                </c:pt>
                <c:pt idx="519">
                  <c:v>5.2100809248554913</c:v>
                </c:pt>
                <c:pt idx="520">
                  <c:v>5.2000615384615383</c:v>
                </c:pt>
                <c:pt idx="521">
                  <c:v>5.1900806142034552</c:v>
                </c:pt>
                <c:pt idx="522">
                  <c:v>5.1801379310344826</c:v>
                </c:pt>
                <c:pt idx="523">
                  <c:v>5.1702332695984703</c:v>
                </c:pt>
                <c:pt idx="524">
                  <c:v>5.1603664122137403</c:v>
                </c:pt>
                <c:pt idx="525">
                  <c:v>5.1505371428571429</c:v>
                </c:pt>
                <c:pt idx="526">
                  <c:v>5.1407452471482893</c:v>
                </c:pt>
                <c:pt idx="527">
                  <c:v>5.1309905123339661</c:v>
                </c:pt>
                <c:pt idx="528">
                  <c:v>5.1212727272727276</c:v>
                </c:pt>
                <c:pt idx="529">
                  <c:v>5.1115916824196601</c:v>
                </c:pt>
                <c:pt idx="530">
                  <c:v>5.1019471698113206</c:v>
                </c:pt>
                <c:pt idx="531">
                  <c:v>5.0923389830508476</c:v>
                </c:pt>
                <c:pt idx="532">
                  <c:v>5.0827669172932328</c:v>
                </c:pt>
                <c:pt idx="533">
                  <c:v>5.0732307692307694</c:v>
                </c:pt>
                <c:pt idx="534">
                  <c:v>5.0637303370786517</c:v>
                </c:pt>
                <c:pt idx="535">
                  <c:v>5.054265420560748</c:v>
                </c:pt>
                <c:pt idx="536">
                  <c:v>5.0448358208955222</c:v>
                </c:pt>
                <c:pt idx="537">
                  <c:v>5.035441340782123</c:v>
                </c:pt>
                <c:pt idx="538">
                  <c:v>5.0260817843866175</c:v>
                </c:pt>
                <c:pt idx="539">
                  <c:v>5.0167569573283854</c:v>
                </c:pt>
                <c:pt idx="540">
                  <c:v>5.0074666666666667</c:v>
                </c:pt>
                <c:pt idx="541">
                  <c:v>4.9982107208872462</c:v>
                </c:pt>
                <c:pt idx="542">
                  <c:v>4.9889889298892989</c:v>
                </c:pt>
                <c:pt idx="543">
                  <c:v>4.9798011049723758</c:v>
                </c:pt>
                <c:pt idx="544">
                  <c:v>4.9706470588235296</c:v>
                </c:pt>
                <c:pt idx="545">
                  <c:v>4.961526605504587</c:v>
                </c:pt>
                <c:pt idx="546">
                  <c:v>4.9524395604395606</c:v>
                </c:pt>
                <c:pt idx="547">
                  <c:v>4.9433857404021939</c:v>
                </c:pt>
                <c:pt idx="548">
                  <c:v>4.9343649635036497</c:v>
                </c:pt>
                <c:pt idx="549">
                  <c:v>4.9253770491803275</c:v>
                </c:pt>
                <c:pt idx="550">
                  <c:v>4.916421818181818</c:v>
                </c:pt>
                <c:pt idx="551">
                  <c:v>4.9074990925589832</c:v>
                </c:pt>
                <c:pt idx="552">
                  <c:v>4.8986086956521735</c:v>
                </c:pt>
                <c:pt idx="553">
                  <c:v>4.889750452079566</c:v>
                </c:pt>
                <c:pt idx="554">
                  <c:v>4.8809241877256317</c:v>
                </c:pt>
                <c:pt idx="555">
                  <c:v>4.8721297297297292</c:v>
                </c:pt>
                <c:pt idx="556">
                  <c:v>4.8633669064748197</c:v>
                </c:pt>
                <c:pt idx="557">
                  <c:v>4.8546355475763017</c:v>
                </c:pt>
                <c:pt idx="558">
                  <c:v>4.8459354838709681</c:v>
                </c:pt>
                <c:pt idx="559">
                  <c:v>4.8372665474060819</c:v>
                </c:pt>
                <c:pt idx="560">
                  <c:v>4.8286285714285713</c:v>
                </c:pt>
                <c:pt idx="561">
                  <c:v>4.8200213903743316</c:v>
                </c:pt>
                <c:pt idx="562">
                  <c:v>4.8114448398576508</c:v>
                </c:pt>
                <c:pt idx="563">
                  <c:v>4.8028987566607464</c:v>
                </c:pt>
                <c:pt idx="564">
                  <c:v>4.7943829787234042</c:v>
                </c:pt>
                <c:pt idx="565">
                  <c:v>4.7858973451327431</c:v>
                </c:pt>
                <c:pt idx="566">
                  <c:v>4.7774416961130743</c:v>
                </c:pt>
                <c:pt idx="567">
                  <c:v>4.7690158730158734</c:v>
                </c:pt>
                <c:pt idx="568">
                  <c:v>4.7606197183098589</c:v>
                </c:pt>
                <c:pt idx="569">
                  <c:v>4.7522530755711774</c:v>
                </c:pt>
                <c:pt idx="570">
                  <c:v>4.7439157894736841</c:v>
                </c:pt>
                <c:pt idx="571">
                  <c:v>4.7356077057793344</c:v>
                </c:pt>
                <c:pt idx="572">
                  <c:v>4.7273286713286709</c:v>
                </c:pt>
                <c:pt idx="573">
                  <c:v>4.7190785340314134</c:v>
                </c:pt>
                <c:pt idx="574">
                  <c:v>4.7108571428571429</c:v>
                </c:pt>
                <c:pt idx="575">
                  <c:v>4.7026643478260866</c:v>
                </c:pt>
                <c:pt idx="576">
                  <c:v>4.6944999999999997</c:v>
                </c:pt>
                <c:pt idx="577">
                  <c:v>4.6863639514731368</c:v>
                </c:pt>
                <c:pt idx="578">
                  <c:v>4.6782560553633221</c:v>
                </c:pt>
                <c:pt idx="579">
                  <c:v>4.6701761658031087</c:v>
                </c:pt>
                <c:pt idx="580">
                  <c:v>4.6621241379310341</c:v>
                </c:pt>
                <c:pt idx="581">
                  <c:v>4.6540998278829599</c:v>
                </c:pt>
                <c:pt idx="582">
                  <c:v>4.6461030927835054</c:v>
                </c:pt>
                <c:pt idx="583">
                  <c:v>4.6381337907375642</c:v>
                </c:pt>
                <c:pt idx="584">
                  <c:v>4.6301917808219182</c:v>
                </c:pt>
                <c:pt idx="585">
                  <c:v>4.6222769230769227</c:v>
                </c:pt>
                <c:pt idx="586">
                  <c:v>4.6143890784982933</c:v>
                </c:pt>
                <c:pt idx="587">
                  <c:v>4.6065281090289609</c:v>
                </c:pt>
                <c:pt idx="588">
                  <c:v>4.5986938775510202</c:v>
                </c:pt>
                <c:pt idx="589">
                  <c:v>4.5908862478777586</c:v>
                </c:pt>
                <c:pt idx="590">
                  <c:v>4.5831050847457631</c:v>
                </c:pt>
                <c:pt idx="591">
                  <c:v>4.5753502538071062</c:v>
                </c:pt>
                <c:pt idx="592">
                  <c:v>4.5676216216216217</c:v>
                </c:pt>
                <c:pt idx="593">
                  <c:v>4.5599190556492415</c:v>
                </c:pt>
                <c:pt idx="594">
                  <c:v>4.552242424242424</c:v>
                </c:pt>
                <c:pt idx="595">
                  <c:v>4.5445915966386554</c:v>
                </c:pt>
                <c:pt idx="596">
                  <c:v>4.5369664429530197</c:v>
                </c:pt>
                <c:pt idx="597">
                  <c:v>4.5293668341708546</c:v>
                </c:pt>
                <c:pt idx="598">
                  <c:v>4.5217926421404684</c:v>
                </c:pt>
                <c:pt idx="599">
                  <c:v>4.5142437395659432</c:v>
                </c:pt>
                <c:pt idx="600">
                  <c:v>4.5067199999999996</c:v>
                </c:pt>
                <c:pt idx="601">
                  <c:v>4.4992212978369386</c:v>
                </c:pt>
                <c:pt idx="602">
                  <c:v>4.4917475083056475</c:v>
                </c:pt>
                <c:pt idx="603">
                  <c:v>4.4842985074626869</c:v>
                </c:pt>
                <c:pt idx="604">
                  <c:v>4.4768741721854308</c:v>
                </c:pt>
                <c:pt idx="605">
                  <c:v>4.4694743801652894</c:v>
                </c:pt>
                <c:pt idx="606">
                  <c:v>4.4620990099009896</c:v>
                </c:pt>
                <c:pt idx="607">
                  <c:v>4.4547479406919273</c:v>
                </c:pt>
                <c:pt idx="608">
                  <c:v>4.4474210526315785</c:v>
                </c:pt>
                <c:pt idx="609">
                  <c:v>4.4401182266009851</c:v>
                </c:pt>
                <c:pt idx="610">
                  <c:v>4.4328393442622946</c:v>
                </c:pt>
                <c:pt idx="611">
                  <c:v>4.4255842880523728</c:v>
                </c:pt>
                <c:pt idx="612">
                  <c:v>4.4183529411764706</c:v>
                </c:pt>
                <c:pt idx="613">
                  <c:v>4.4111451876019574</c:v>
                </c:pt>
                <c:pt idx="614">
                  <c:v>4.403960912052117</c:v>
                </c:pt>
                <c:pt idx="615">
                  <c:v>4.3967999999999998</c:v>
                </c:pt>
                <c:pt idx="616">
                  <c:v>4.3896623376623376</c:v>
                </c:pt>
                <c:pt idx="617">
                  <c:v>4.3825478119935166</c:v>
                </c:pt>
                <c:pt idx="618">
                  <c:v>4.3754563106796116</c:v>
                </c:pt>
                <c:pt idx="619">
                  <c:v>4.3683877221324714</c:v>
                </c:pt>
                <c:pt idx="620">
                  <c:v>4.3613419354838712</c:v>
                </c:pt>
                <c:pt idx="621">
                  <c:v>4.35431884057971</c:v>
                </c:pt>
                <c:pt idx="622">
                  <c:v>4.3473183279742766</c:v>
                </c:pt>
                <c:pt idx="623">
                  <c:v>4.3403402889245584</c:v>
                </c:pt>
                <c:pt idx="624">
                  <c:v>4.3333846153846149</c:v>
                </c:pt>
                <c:pt idx="625">
                  <c:v>4.3264512000000002</c:v>
                </c:pt>
                <c:pt idx="626">
                  <c:v>4.3195399361022364</c:v>
                </c:pt>
                <c:pt idx="627">
                  <c:v>4.3126507177033488</c:v>
                </c:pt>
                <c:pt idx="628">
                  <c:v>4.3057834394904457</c:v>
                </c:pt>
                <c:pt idx="629">
                  <c:v>4.2989379968203494</c:v>
                </c:pt>
                <c:pt idx="630">
                  <c:v>4.2921142857142858</c:v>
                </c:pt>
                <c:pt idx="631">
                  <c:v>4.2853122028526149</c:v>
                </c:pt>
                <c:pt idx="632">
                  <c:v>4.2785316455696201</c:v>
                </c:pt>
                <c:pt idx="633">
                  <c:v>4.2717725118483409</c:v>
                </c:pt>
                <c:pt idx="634">
                  <c:v>4.2650347003154572</c:v>
                </c:pt>
                <c:pt idx="635">
                  <c:v>4.2583181102362202</c:v>
                </c:pt>
                <c:pt idx="636">
                  <c:v>4.2516226415094343</c:v>
                </c:pt>
                <c:pt idx="637">
                  <c:v>4.2449481946624807</c:v>
                </c:pt>
                <c:pt idx="638">
                  <c:v>4.2382946708463951</c:v>
                </c:pt>
                <c:pt idx="639">
                  <c:v>4.2316619718309862</c:v>
                </c:pt>
                <c:pt idx="640">
                  <c:v>4.2250499999999995</c:v>
                </c:pt>
                <c:pt idx="641">
                  <c:v>4.2184586583463339</c:v>
                </c:pt>
                <c:pt idx="642">
                  <c:v>4.2118878504672894</c:v>
                </c:pt>
                <c:pt idx="643">
                  <c:v>4.2053374805598756</c:v>
                </c:pt>
                <c:pt idx="644">
                  <c:v>4.1988074534161486</c:v>
                </c:pt>
                <c:pt idx="645">
                  <c:v>4.1922976744186045</c:v>
                </c:pt>
                <c:pt idx="646">
                  <c:v>4.1858080495356038</c:v>
                </c:pt>
                <c:pt idx="647">
                  <c:v>4.1793384853168467</c:v>
                </c:pt>
                <c:pt idx="648">
                  <c:v>4.1728888888888891</c:v>
                </c:pt>
                <c:pt idx="649">
                  <c:v>4.166459167950693</c:v>
                </c:pt>
                <c:pt idx="650">
                  <c:v>4.1600492307692312</c:v>
                </c:pt>
                <c:pt idx="651">
                  <c:v>4.153658986175115</c:v>
                </c:pt>
                <c:pt idx="652">
                  <c:v>4.1472883435582819</c:v>
                </c:pt>
                <c:pt idx="653">
                  <c:v>4.1409372128637063</c:v>
                </c:pt>
                <c:pt idx="654">
                  <c:v>4.1346055045871557</c:v>
                </c:pt>
                <c:pt idx="655">
                  <c:v>4.1282931297709924</c:v>
                </c:pt>
                <c:pt idx="656">
                  <c:v>4.1219999999999999</c:v>
                </c:pt>
                <c:pt idx="657">
                  <c:v>4.11572602739726</c:v>
                </c:pt>
                <c:pt idx="658">
                  <c:v>4.109471124620061</c:v>
                </c:pt>
                <c:pt idx="659">
                  <c:v>4.1032352048558423</c:v>
                </c:pt>
                <c:pt idx="660">
                  <c:v>4.0970181818181821</c:v>
                </c:pt>
                <c:pt idx="661">
                  <c:v>4.0908199697428138</c:v>
                </c:pt>
                <c:pt idx="662">
                  <c:v>4.0846404833836853</c:v>
                </c:pt>
                <c:pt idx="663">
                  <c:v>4.0784796380090498</c:v>
                </c:pt>
                <c:pt idx="664">
                  <c:v>4.0723373493975901</c:v>
                </c:pt>
                <c:pt idx="665">
                  <c:v>4.0662135338345866</c:v>
                </c:pt>
                <c:pt idx="666">
                  <c:v>4.0601081081081078</c:v>
                </c:pt>
                <c:pt idx="667">
                  <c:v>4.054020989505247</c:v>
                </c:pt>
                <c:pt idx="668">
                  <c:v>4.047952095808383</c:v>
                </c:pt>
                <c:pt idx="669">
                  <c:v>4.04190134529148</c:v>
                </c:pt>
                <c:pt idx="670">
                  <c:v>4.0358686567164179</c:v>
                </c:pt>
                <c:pt idx="671">
                  <c:v>4.0298539493293593</c:v>
                </c:pt>
                <c:pt idx="672">
                  <c:v>4.0238571428571426</c:v>
                </c:pt>
                <c:pt idx="673">
                  <c:v>4.0178781575037146</c:v>
                </c:pt>
                <c:pt idx="674">
                  <c:v>4.0119169139465871</c:v>
                </c:pt>
                <c:pt idx="675">
                  <c:v>4.0059733333333334</c:v>
                </c:pt>
                <c:pt idx="676">
                  <c:v>4.0000473372781062</c:v>
                </c:pt>
                <c:pt idx="677">
                  <c:v>3.9941388478581978</c:v>
                </c:pt>
                <c:pt idx="678">
                  <c:v>3.9882477876106193</c:v>
                </c:pt>
                <c:pt idx="679">
                  <c:v>3.9823740795287188</c:v>
                </c:pt>
                <c:pt idx="680">
                  <c:v>3.9765176470588233</c:v>
                </c:pt>
                <c:pt idx="681">
                  <c:v>3.9706784140969162</c:v>
                </c:pt>
                <c:pt idx="682">
                  <c:v>3.9648563049853371</c:v>
                </c:pt>
                <c:pt idx="683">
                  <c:v>3.9590512445095167</c:v>
                </c:pt>
                <c:pt idx="684">
                  <c:v>3.9532631578947366</c:v>
                </c:pt>
                <c:pt idx="685">
                  <c:v>3.9474919708029197</c:v>
                </c:pt>
                <c:pt idx="686">
                  <c:v>3.9417376093294458</c:v>
                </c:pt>
                <c:pt idx="687">
                  <c:v>3.9359999999999999</c:v>
                </c:pt>
                <c:pt idx="688">
                  <c:v>3.9302790697674417</c:v>
                </c:pt>
                <c:pt idx="689">
                  <c:v>3.9245747460087084</c:v>
                </c:pt>
                <c:pt idx="690">
                  <c:v>3.9188869565217392</c:v>
                </c:pt>
                <c:pt idx="691">
                  <c:v>3.9132156295224312</c:v>
                </c:pt>
                <c:pt idx="692">
                  <c:v>3.9075606936416185</c:v>
                </c:pt>
                <c:pt idx="693">
                  <c:v>3.901922077922078</c:v>
                </c:pt>
                <c:pt idx="694">
                  <c:v>3.896299711815562</c:v>
                </c:pt>
                <c:pt idx="695">
                  <c:v>3.8906935251798562</c:v>
                </c:pt>
                <c:pt idx="696">
                  <c:v>3.8851034482758622</c:v>
                </c:pt>
                <c:pt idx="697">
                  <c:v>3.8795294117647057</c:v>
                </c:pt>
                <c:pt idx="698">
                  <c:v>3.8739713467048711</c:v>
                </c:pt>
                <c:pt idx="699">
                  <c:v>3.8684291845493561</c:v>
                </c:pt>
                <c:pt idx="700">
                  <c:v>3.8629028571428572</c:v>
                </c:pt>
                <c:pt idx="701">
                  <c:v>3.8573922967189729</c:v>
                </c:pt>
                <c:pt idx="702">
                  <c:v>3.8518974358974361</c:v>
                </c:pt>
                <c:pt idx="703">
                  <c:v>3.8464182076813653</c:v>
                </c:pt>
                <c:pt idx="704">
                  <c:v>3.8409545454545455</c:v>
                </c:pt>
                <c:pt idx="705">
                  <c:v>3.8355063829787235</c:v>
                </c:pt>
                <c:pt idx="706">
                  <c:v>3.8300736543909348</c:v>
                </c:pt>
                <c:pt idx="707">
                  <c:v>3.8246562942008486</c:v>
                </c:pt>
                <c:pt idx="708">
                  <c:v>3.8192542372881357</c:v>
                </c:pt>
                <c:pt idx="709">
                  <c:v>3.8138674188998589</c:v>
                </c:pt>
                <c:pt idx="710">
                  <c:v>3.8084957746478874</c:v>
                </c:pt>
                <c:pt idx="711">
                  <c:v>3.8031392405063289</c:v>
                </c:pt>
                <c:pt idx="712">
                  <c:v>3.7977977528089886</c:v>
                </c:pt>
                <c:pt idx="713">
                  <c:v>3.7924712482468443</c:v>
                </c:pt>
                <c:pt idx="714">
                  <c:v>3.787159663865546</c:v>
                </c:pt>
                <c:pt idx="715">
                  <c:v>3.7818629370629369</c:v>
                </c:pt>
                <c:pt idx="716">
                  <c:v>3.7765810055865923</c:v>
                </c:pt>
                <c:pt idx="717">
                  <c:v>3.7713138075313806</c:v>
                </c:pt>
                <c:pt idx="718">
                  <c:v>3.7660612813370471</c:v>
                </c:pt>
                <c:pt idx="719">
                  <c:v>3.7608233657858134</c:v>
                </c:pt>
                <c:pt idx="720">
                  <c:v>3.7555999999999998</c:v>
                </c:pt>
                <c:pt idx="721">
                  <c:v>3.750391123439667</c:v>
                </c:pt>
                <c:pt idx="722">
                  <c:v>3.7451966759002771</c:v>
                </c:pt>
                <c:pt idx="723">
                  <c:v>3.7400165975103734</c:v>
                </c:pt>
                <c:pt idx="724">
                  <c:v>3.7348508287292819</c:v>
                </c:pt>
                <c:pt idx="725">
                  <c:v>3.7296993103448277</c:v>
                </c:pt>
                <c:pt idx="726">
                  <c:v>3.7245619834710744</c:v>
                </c:pt>
                <c:pt idx="727">
                  <c:v>3.7194387895460799</c:v>
                </c:pt>
                <c:pt idx="728">
                  <c:v>3.7143296703296702</c:v>
                </c:pt>
                <c:pt idx="729">
                  <c:v>3.7092345679012344</c:v>
                </c:pt>
                <c:pt idx="730">
                  <c:v>3.7041534246575343</c:v>
                </c:pt>
                <c:pt idx="731">
                  <c:v>3.6990861833105333</c:v>
                </c:pt>
                <c:pt idx="732">
                  <c:v>3.6940327868852458</c:v>
                </c:pt>
                <c:pt idx="733">
                  <c:v>3.6889931787175989</c:v>
                </c:pt>
                <c:pt idx="734">
                  <c:v>3.6839673024523161</c:v>
                </c:pt>
                <c:pt idx="735">
                  <c:v>3.6789551020408164</c:v>
                </c:pt>
                <c:pt idx="736">
                  <c:v>3.6739565217391306</c:v>
                </c:pt>
                <c:pt idx="737">
                  <c:v>3.6689715061058346</c:v>
                </c:pt>
                <c:pt idx="738">
                  <c:v>3.6640000000000001</c:v>
                </c:pt>
                <c:pt idx="739">
                  <c:v>3.6590419485791612</c:v>
                </c:pt>
                <c:pt idx="740">
                  <c:v>3.6540972972972972</c:v>
                </c:pt>
                <c:pt idx="741">
                  <c:v>3.6491659919028341</c:v>
                </c:pt>
                <c:pt idx="742">
                  <c:v>3.6442479784366575</c:v>
                </c:pt>
                <c:pt idx="743">
                  <c:v>3.639343203230148</c:v>
                </c:pt>
                <c:pt idx="744">
                  <c:v>3.6344516129032258</c:v>
                </c:pt>
                <c:pt idx="745">
                  <c:v>3.6295731543624159</c:v>
                </c:pt>
                <c:pt idx="746">
                  <c:v>3.6247077747989276</c:v>
                </c:pt>
                <c:pt idx="747">
                  <c:v>3.6198554216867471</c:v>
                </c:pt>
                <c:pt idx="748">
                  <c:v>3.6150160427807485</c:v>
                </c:pt>
                <c:pt idx="749">
                  <c:v>3.6101895861148199</c:v>
                </c:pt>
                <c:pt idx="750">
                  <c:v>3.6053760000000001</c:v>
                </c:pt>
                <c:pt idx="751">
                  <c:v>3.6005752330226364</c:v>
                </c:pt>
                <c:pt idx="752">
                  <c:v>3.595787234042553</c:v>
                </c:pt>
                <c:pt idx="753">
                  <c:v>3.5910119521912351</c:v>
                </c:pt>
                <c:pt idx="754">
                  <c:v>3.5862493368700266</c:v>
                </c:pt>
                <c:pt idx="755">
                  <c:v>3.5814993377483444</c:v>
                </c:pt>
                <c:pt idx="756">
                  <c:v>3.5767619047619048</c:v>
                </c:pt>
                <c:pt idx="757">
                  <c:v>3.5720369881109644</c:v>
                </c:pt>
                <c:pt idx="758">
                  <c:v>3.5673245382585752</c:v>
                </c:pt>
                <c:pt idx="759">
                  <c:v>3.5626245059288539</c:v>
                </c:pt>
                <c:pt idx="760">
                  <c:v>3.5579368421052631</c:v>
                </c:pt>
                <c:pt idx="761">
                  <c:v>3.5532614980289092</c:v>
                </c:pt>
                <c:pt idx="762">
                  <c:v>3.5485984251968503</c:v>
                </c:pt>
                <c:pt idx="763">
                  <c:v>3.5439475753604195</c:v>
                </c:pt>
                <c:pt idx="764">
                  <c:v>3.5393089005235603</c:v>
                </c:pt>
                <c:pt idx="765">
                  <c:v>3.5346823529411764</c:v>
                </c:pt>
                <c:pt idx="766">
                  <c:v>3.5300678851174934</c:v>
                </c:pt>
                <c:pt idx="767">
                  <c:v>3.5254654498044329</c:v>
                </c:pt>
                <c:pt idx="768">
                  <c:v>3.5208749999999998</c:v>
                </c:pt>
                <c:pt idx="769">
                  <c:v>3.5162964889466841</c:v>
                </c:pt>
                <c:pt idx="770">
                  <c:v>3.5117298701298703</c:v>
                </c:pt>
                <c:pt idx="771">
                  <c:v>3.5071750972762645</c:v>
                </c:pt>
                <c:pt idx="772">
                  <c:v>3.5026321243523317</c:v>
                </c:pt>
                <c:pt idx="773">
                  <c:v>3.4981009055627426</c:v>
                </c:pt>
                <c:pt idx="774">
                  <c:v>3.493581395348837</c:v>
                </c:pt>
                <c:pt idx="775">
                  <c:v>3.4890735483870969</c:v>
                </c:pt>
                <c:pt idx="776">
                  <c:v>3.4845773195876286</c:v>
                </c:pt>
                <c:pt idx="777">
                  <c:v>3.4800926640926639</c:v>
                </c:pt>
                <c:pt idx="778">
                  <c:v>3.475619537275064</c:v>
                </c:pt>
                <c:pt idx="779">
                  <c:v>3.4711578947368422</c:v>
                </c:pt>
                <c:pt idx="780">
                  <c:v>3.4667076923076925</c:v>
                </c:pt>
                <c:pt idx="781">
                  <c:v>3.462268886043534</c:v>
                </c:pt>
                <c:pt idx="782">
                  <c:v>3.4578414322250639</c:v>
                </c:pt>
                <c:pt idx="783">
                  <c:v>3.4534252873563216</c:v>
                </c:pt>
                <c:pt idx="784">
                  <c:v>3.4490204081632654</c:v>
                </c:pt>
                <c:pt idx="785">
                  <c:v>3.4446267515923568</c:v>
                </c:pt>
                <c:pt idx="786">
                  <c:v>3.4402442748091602</c:v>
                </c:pt>
                <c:pt idx="787">
                  <c:v>3.4358729351969504</c:v>
                </c:pt>
                <c:pt idx="788">
                  <c:v>3.4315126903553299</c:v>
                </c:pt>
                <c:pt idx="789">
                  <c:v>3.4271634980988592</c:v>
                </c:pt>
                <c:pt idx="790">
                  <c:v>3.4228253164556963</c:v>
                </c:pt>
                <c:pt idx="791">
                  <c:v>3.4184981036662454</c:v>
                </c:pt>
                <c:pt idx="792">
                  <c:v>3.414181818181818</c:v>
                </c:pt>
                <c:pt idx="793">
                  <c:v>3.4098764186633037</c:v>
                </c:pt>
                <c:pt idx="794">
                  <c:v>3.4055818639798487</c:v>
                </c:pt>
                <c:pt idx="795">
                  <c:v>3.401298113207547</c:v>
                </c:pt>
                <c:pt idx="796">
                  <c:v>3.3970251256281405</c:v>
                </c:pt>
                <c:pt idx="797">
                  <c:v>3.3927628607277289</c:v>
                </c:pt>
                <c:pt idx="798">
                  <c:v>3.3885112781954887</c:v>
                </c:pt>
                <c:pt idx="799">
                  <c:v>3.3842703379224028</c:v>
                </c:pt>
                <c:pt idx="800">
                  <c:v>3.3800400000000002</c:v>
                </c:pt>
                <c:pt idx="801">
                  <c:v>3.3758202247191011</c:v>
                </c:pt>
                <c:pt idx="802">
                  <c:v>3.3716109725685786</c:v>
                </c:pt>
                <c:pt idx="803">
                  <c:v>3.3674122042341219</c:v>
                </c:pt>
                <c:pt idx="804">
                  <c:v>3.3632238805970149</c:v>
                </c:pt>
                <c:pt idx="805">
                  <c:v>3.3590459627329192</c:v>
                </c:pt>
                <c:pt idx="806">
                  <c:v>3.3548784119106698</c:v>
                </c:pt>
                <c:pt idx="807">
                  <c:v>3.350721189591078</c:v>
                </c:pt>
                <c:pt idx="808">
                  <c:v>3.3465742574257424</c:v>
                </c:pt>
                <c:pt idx="809">
                  <c:v>3.3424375772558714</c:v>
                </c:pt>
                <c:pt idx="810">
                  <c:v>3.338311111111111</c:v>
                </c:pt>
                <c:pt idx="811">
                  <c:v>3.3341948212083845</c:v>
                </c:pt>
                <c:pt idx="812">
                  <c:v>3.3300886699507388</c:v>
                </c:pt>
                <c:pt idx="813">
                  <c:v>3.3259926199261991</c:v>
                </c:pt>
                <c:pt idx="814">
                  <c:v>3.3219066339066337</c:v>
                </c:pt>
                <c:pt idx="815">
                  <c:v>3.3178306748466255</c:v>
                </c:pt>
                <c:pt idx="816">
                  <c:v>3.3137647058823529</c:v>
                </c:pt>
                <c:pt idx="817">
                  <c:v>3.3097086903304773</c:v>
                </c:pt>
                <c:pt idx="818">
                  <c:v>3.3056625916870415</c:v>
                </c:pt>
                <c:pt idx="819">
                  <c:v>3.3016263736263736</c:v>
                </c:pt>
                <c:pt idx="820">
                  <c:v>3.2976000000000001</c:v>
                </c:pt>
                <c:pt idx="821">
                  <c:v>3.2935834348355661</c:v>
                </c:pt>
                <c:pt idx="822">
                  <c:v>3.2895766423357662</c:v>
                </c:pt>
                <c:pt idx="823">
                  <c:v>3.2855795868772781</c:v>
                </c:pt>
                <c:pt idx="824">
                  <c:v>3.2815922330097087</c:v>
                </c:pt>
                <c:pt idx="825">
                  <c:v>3.2776145454545453</c:v>
                </c:pt>
                <c:pt idx="826">
                  <c:v>3.2736464891041162</c:v>
                </c:pt>
                <c:pt idx="827">
                  <c:v>3.2696880290205561</c:v>
                </c:pt>
                <c:pt idx="828">
                  <c:v>3.2657391304347825</c:v>
                </c:pt>
                <c:pt idx="829">
                  <c:v>3.2617997587454766</c:v>
                </c:pt>
                <c:pt idx="830">
                  <c:v>3.2578698795180721</c:v>
                </c:pt>
                <c:pt idx="831">
                  <c:v>3.2539494584837545</c:v>
                </c:pt>
                <c:pt idx="832">
                  <c:v>3.2500384615384617</c:v>
                </c:pt>
                <c:pt idx="833">
                  <c:v>3.2461368547418967</c:v>
                </c:pt>
                <c:pt idx="834">
                  <c:v>3.2422446043165469</c:v>
                </c:pt>
                <c:pt idx="835">
                  <c:v>3.2383616766467065</c:v>
                </c:pt>
                <c:pt idx="836">
                  <c:v>3.2344880382775121</c:v>
                </c:pt>
                <c:pt idx="837">
                  <c:v>3.2306236559139783</c:v>
                </c:pt>
                <c:pt idx="838">
                  <c:v>3.2267684964200476</c:v>
                </c:pt>
                <c:pt idx="839">
                  <c:v>3.2229225268176398</c:v>
                </c:pt>
                <c:pt idx="840">
                  <c:v>3.2190857142857143</c:v>
                </c:pt>
                <c:pt idx="841">
                  <c:v>3.2152580261593342</c:v>
                </c:pt>
                <c:pt idx="842">
                  <c:v>3.211439429928741</c:v>
                </c:pt>
                <c:pt idx="843">
                  <c:v>3.2076298932384342</c:v>
                </c:pt>
                <c:pt idx="844">
                  <c:v>3.2038293838862559</c:v>
                </c:pt>
                <c:pt idx="845">
                  <c:v>3.2000378698224852</c:v>
                </c:pt>
                <c:pt idx="846">
                  <c:v>3.196255319148936</c:v>
                </c:pt>
                <c:pt idx="847">
                  <c:v>3.1924817001180639</c:v>
                </c:pt>
                <c:pt idx="848">
                  <c:v>3.1887169811320755</c:v>
                </c:pt>
                <c:pt idx="849">
                  <c:v>3.1849611307420496</c:v>
                </c:pt>
                <c:pt idx="850">
                  <c:v>3.181214117647059</c:v>
                </c:pt>
                <c:pt idx="851">
                  <c:v>3.1774759106933019</c:v>
                </c:pt>
                <c:pt idx="852">
                  <c:v>3.1737464788732392</c:v>
                </c:pt>
                <c:pt idx="853">
                  <c:v>3.1700257913247363</c:v>
                </c:pt>
                <c:pt idx="854">
                  <c:v>3.1663138173302108</c:v>
                </c:pt>
                <c:pt idx="855">
                  <c:v>3.1626105263157895</c:v>
                </c:pt>
                <c:pt idx="856">
                  <c:v>3.1589158878504673</c:v>
                </c:pt>
                <c:pt idx="857">
                  <c:v>3.155229871645274</c:v>
                </c:pt>
                <c:pt idx="858">
                  <c:v>3.1515524475524477</c:v>
                </c:pt>
                <c:pt idx="859">
                  <c:v>3.1478835855646099</c:v>
                </c:pt>
                <c:pt idx="860">
                  <c:v>3.1442232558139533</c:v>
                </c:pt>
                <c:pt idx="861">
                  <c:v>3.1405714285714286</c:v>
                </c:pt>
                <c:pt idx="862">
                  <c:v>3.1369280742459398</c:v>
                </c:pt>
                <c:pt idx="863">
                  <c:v>3.1332931633835459</c:v>
                </c:pt>
                <c:pt idx="864">
                  <c:v>3.1296666666666666</c:v>
                </c:pt>
                <c:pt idx="865">
                  <c:v>3.1260485549132948</c:v>
                </c:pt>
                <c:pt idx="866">
                  <c:v>3.1224387990762126</c:v>
                </c:pt>
                <c:pt idx="867">
                  <c:v>3.1188373702422143</c:v>
                </c:pt>
                <c:pt idx="868">
                  <c:v>3.1152442396313362</c:v>
                </c:pt>
                <c:pt idx="869">
                  <c:v>3.1116593785960873</c:v>
                </c:pt>
                <c:pt idx="870">
                  <c:v>3.1080827586206898</c:v>
                </c:pt>
                <c:pt idx="871">
                  <c:v>3.1045143513203213</c:v>
                </c:pt>
                <c:pt idx="872">
                  <c:v>3.100954128440367</c:v>
                </c:pt>
                <c:pt idx="873">
                  <c:v>3.0974020618556701</c:v>
                </c:pt>
                <c:pt idx="874">
                  <c:v>3.0938581235697939</c:v>
                </c:pt>
                <c:pt idx="875">
                  <c:v>3.0903222857142856</c:v>
                </c:pt>
                <c:pt idx="876">
                  <c:v>3.086794520547945</c:v>
                </c:pt>
                <c:pt idx="877">
                  <c:v>3.0832748004561004</c:v>
                </c:pt>
                <c:pt idx="878">
                  <c:v>3.0797630979498862</c:v>
                </c:pt>
                <c:pt idx="879">
                  <c:v>3.0762593856655291</c:v>
                </c:pt>
                <c:pt idx="880">
                  <c:v>3.0727636363636361</c:v>
                </c:pt>
                <c:pt idx="881">
                  <c:v>3.0692758229284904</c:v>
                </c:pt>
                <c:pt idx="882">
                  <c:v>3.0657959183673471</c:v>
                </c:pt>
                <c:pt idx="883">
                  <c:v>3.0623238958097394</c:v>
                </c:pt>
                <c:pt idx="884">
                  <c:v>3.0588597285067873</c:v>
                </c:pt>
                <c:pt idx="885">
                  <c:v>3.0554033898305084</c:v>
                </c:pt>
                <c:pt idx="886">
                  <c:v>3.0519548532731378</c:v>
                </c:pt>
                <c:pt idx="887">
                  <c:v>3.0485140924464487</c:v>
                </c:pt>
                <c:pt idx="888">
                  <c:v>3.0450810810810811</c:v>
                </c:pt>
                <c:pt idx="889">
                  <c:v>3.0416557930258716</c:v>
                </c:pt>
                <c:pt idx="890">
                  <c:v>3.0382382022471908</c:v>
                </c:pt>
                <c:pt idx="891">
                  <c:v>3.0348282828282827</c:v>
                </c:pt>
                <c:pt idx="892">
                  <c:v>3.03142600896861</c:v>
                </c:pt>
                <c:pt idx="893">
                  <c:v>3.0280313549832027</c:v>
                </c:pt>
                <c:pt idx="894">
                  <c:v>3.0246442953020134</c:v>
                </c:pt>
                <c:pt idx="895">
                  <c:v>3.0212648044692738</c:v>
                </c:pt>
                <c:pt idx="896">
                  <c:v>3.0178928571428569</c:v>
                </c:pt>
                <c:pt idx="897">
                  <c:v>3.0145284280936453</c:v>
                </c:pt>
                <c:pt idx="898">
                  <c:v>3.0111714922048995</c:v>
                </c:pt>
                <c:pt idx="899">
                  <c:v>3.0078220244716349</c:v>
                </c:pt>
                <c:pt idx="900">
                  <c:v>3.00448</c:v>
                </c:pt>
                <c:pt idx="901">
                  <c:v>3.001145394006659</c:v>
                </c:pt>
                <c:pt idx="902">
                  <c:v>2.9978181818181819</c:v>
                </c:pt>
                <c:pt idx="903">
                  <c:v>2.9944983388704318</c:v>
                </c:pt>
                <c:pt idx="904">
                  <c:v>2.9911858407079648</c:v>
                </c:pt>
                <c:pt idx="905">
                  <c:v>2.9878806629834256</c:v>
                </c:pt>
                <c:pt idx="906">
                  <c:v>2.9845827814569534</c:v>
                </c:pt>
                <c:pt idx="907">
                  <c:v>2.98129217199559</c:v>
                </c:pt>
                <c:pt idx="908">
                  <c:v>2.9780088105726872</c:v>
                </c:pt>
                <c:pt idx="909">
                  <c:v>2.9747326732673267</c:v>
                </c:pt>
                <c:pt idx="910">
                  <c:v>2.9714637362637362</c:v>
                </c:pt>
                <c:pt idx="911">
                  <c:v>2.9682019758507137</c:v>
                </c:pt>
                <c:pt idx="912">
                  <c:v>2.9649473684210528</c:v>
                </c:pt>
                <c:pt idx="913">
                  <c:v>2.9616998904709746</c:v>
                </c:pt>
                <c:pt idx="914">
                  <c:v>2.9584595185995624</c:v>
                </c:pt>
                <c:pt idx="915">
                  <c:v>2.9552262295081966</c:v>
                </c:pt>
                <c:pt idx="916">
                  <c:v>2.952</c:v>
                </c:pt>
                <c:pt idx="917">
                  <c:v>2.94878080697928</c:v>
                </c:pt>
                <c:pt idx="918">
                  <c:v>2.9455686274509802</c:v>
                </c:pt>
                <c:pt idx="919">
                  <c:v>2.9423634385201307</c:v>
                </c:pt>
                <c:pt idx="920">
                  <c:v>2.9391652173913041</c:v>
                </c:pt>
                <c:pt idx="921">
                  <c:v>2.9359739413680783</c:v>
                </c:pt>
                <c:pt idx="922">
                  <c:v>2.9327895878524943</c:v>
                </c:pt>
                <c:pt idx="923">
                  <c:v>2.9296121343445285</c:v>
                </c:pt>
                <c:pt idx="924">
                  <c:v>2.9264415584415584</c:v>
                </c:pt>
                <c:pt idx="925">
                  <c:v>2.9232778378378379</c:v>
                </c:pt>
                <c:pt idx="926">
                  <c:v>2.920120950323974</c:v>
                </c:pt>
                <c:pt idx="927">
                  <c:v>2.9169708737864077</c:v>
                </c:pt>
                <c:pt idx="928">
                  <c:v>2.9138275862068963</c:v>
                </c:pt>
                <c:pt idx="929">
                  <c:v>2.910691065662002</c:v>
                </c:pt>
                <c:pt idx="930">
                  <c:v>2.9075612903225805</c:v>
                </c:pt>
                <c:pt idx="931">
                  <c:v>2.9044382384532761</c:v>
                </c:pt>
                <c:pt idx="932">
                  <c:v>2.9013218884120171</c:v>
                </c:pt>
                <c:pt idx="933">
                  <c:v>2.8982122186495176</c:v>
                </c:pt>
                <c:pt idx="934">
                  <c:v>2.8951092077087792</c:v>
                </c:pt>
                <c:pt idx="935">
                  <c:v>2.892012834224599</c:v>
                </c:pt>
                <c:pt idx="936">
                  <c:v>2.8889230769230769</c:v>
                </c:pt>
                <c:pt idx="937">
                  <c:v>2.8858399146211311</c:v>
                </c:pt>
                <c:pt idx="938">
                  <c:v>2.8827633262260126</c:v>
                </c:pt>
                <c:pt idx="939">
                  <c:v>2.8796932907348243</c:v>
                </c:pt>
                <c:pt idx="940">
                  <c:v>2.8766297872340427</c:v>
                </c:pt>
                <c:pt idx="941">
                  <c:v>2.8735727948990437</c:v>
                </c:pt>
                <c:pt idx="942">
                  <c:v>2.8705222929936305</c:v>
                </c:pt>
                <c:pt idx="943">
                  <c:v>2.8674782608695653</c:v>
                </c:pt>
                <c:pt idx="944">
                  <c:v>2.8644406779661016</c:v>
                </c:pt>
                <c:pt idx="945">
                  <c:v>2.8614095238095238</c:v>
                </c:pt>
                <c:pt idx="946">
                  <c:v>2.858384778012685</c:v>
                </c:pt>
                <c:pt idx="947">
                  <c:v>2.8553664202745512</c:v>
                </c:pt>
                <c:pt idx="948">
                  <c:v>2.852354430379747</c:v>
                </c:pt>
                <c:pt idx="949">
                  <c:v>2.8493487881981032</c:v>
                </c:pt>
                <c:pt idx="950">
                  <c:v>2.8463494736842105</c:v>
                </c:pt>
                <c:pt idx="951">
                  <c:v>2.8433564668769717</c:v>
                </c:pt>
                <c:pt idx="952">
                  <c:v>2.8403697478991594</c:v>
                </c:pt>
                <c:pt idx="953">
                  <c:v>2.8373892969569781</c:v>
                </c:pt>
                <c:pt idx="954">
                  <c:v>2.8344150943396227</c:v>
                </c:pt>
                <c:pt idx="955">
                  <c:v>2.8314471204188481</c:v>
                </c:pt>
                <c:pt idx="956">
                  <c:v>2.8284853556485356</c:v>
                </c:pt>
                <c:pt idx="957">
                  <c:v>2.8255297805642634</c:v>
                </c:pt>
                <c:pt idx="958">
                  <c:v>2.8225803757828811</c:v>
                </c:pt>
                <c:pt idx="959">
                  <c:v>2.8196371220020855</c:v>
                </c:pt>
                <c:pt idx="960">
                  <c:v>2.8167</c:v>
                </c:pt>
                <c:pt idx="961">
                  <c:v>2.8137689906347556</c:v>
                </c:pt>
                <c:pt idx="962">
                  <c:v>2.8108440748440748</c:v>
                </c:pt>
                <c:pt idx="963">
                  <c:v>2.8079252336448599</c:v>
                </c:pt>
                <c:pt idx="964">
                  <c:v>2.8050124481327798</c:v>
                </c:pt>
                <c:pt idx="965">
                  <c:v>2.8021056994818654</c:v>
                </c:pt>
                <c:pt idx="966">
                  <c:v>2.7992049689440992</c:v>
                </c:pt>
                <c:pt idx="967">
                  <c:v>2.7963102378490174</c:v>
                </c:pt>
                <c:pt idx="968">
                  <c:v>2.7934214876033057</c:v>
                </c:pt>
                <c:pt idx="969">
                  <c:v>2.7905386996904022</c:v>
                </c:pt>
                <c:pt idx="970">
                  <c:v>2.7876618556701032</c:v>
                </c:pt>
                <c:pt idx="971">
                  <c:v>2.7847909371781667</c:v>
                </c:pt>
                <c:pt idx="972">
                  <c:v>2.7819259259259259</c:v>
                </c:pt>
                <c:pt idx="973">
                  <c:v>2.7790668036998971</c:v>
                </c:pt>
                <c:pt idx="974">
                  <c:v>2.7762135523613964</c:v>
                </c:pt>
                <c:pt idx="975">
                  <c:v>2.7733661538461538</c:v>
                </c:pt>
                <c:pt idx="976">
                  <c:v>2.7705245901639346</c:v>
                </c:pt>
                <c:pt idx="977">
                  <c:v>2.7676888433981577</c:v>
                </c:pt>
                <c:pt idx="978">
                  <c:v>2.7648588957055216</c:v>
                </c:pt>
                <c:pt idx="979">
                  <c:v>2.7620347293156282</c:v>
                </c:pt>
                <c:pt idx="980">
                  <c:v>2.7592163265306122</c:v>
                </c:pt>
                <c:pt idx="981">
                  <c:v>2.7564036697247705</c:v>
                </c:pt>
                <c:pt idx="982">
                  <c:v>2.7535967413441953</c:v>
                </c:pt>
                <c:pt idx="983">
                  <c:v>2.750795523906409</c:v>
                </c:pt>
                <c:pt idx="984">
                  <c:v>2.7479999999999998</c:v>
                </c:pt>
                <c:pt idx="985">
                  <c:v>2.745210152284264</c:v>
                </c:pt>
                <c:pt idx="986">
                  <c:v>2.7424259634888437</c:v>
                </c:pt>
                <c:pt idx="987">
                  <c:v>2.7396474164133737</c:v>
                </c:pt>
                <c:pt idx="988">
                  <c:v>2.7368744939271257</c:v>
                </c:pt>
                <c:pt idx="989">
                  <c:v>2.7341071789686553</c:v>
                </c:pt>
                <c:pt idx="990">
                  <c:v>2.7313454545454543</c:v>
                </c:pt>
                <c:pt idx="991">
                  <c:v>2.7285893037336022</c:v>
                </c:pt>
                <c:pt idx="992">
                  <c:v>2.7258387096774195</c:v>
                </c:pt>
                <c:pt idx="993">
                  <c:v>2.7230936555891239</c:v>
                </c:pt>
                <c:pt idx="994">
                  <c:v>2.720354124748491</c:v>
                </c:pt>
                <c:pt idx="995">
                  <c:v>2.7176201005025127</c:v>
                </c:pt>
                <c:pt idx="996">
                  <c:v>2.7148915662650603</c:v>
                </c:pt>
                <c:pt idx="997">
                  <c:v>2.7121685055165496</c:v>
                </c:pt>
                <c:pt idx="998">
                  <c:v>2.7094509018036073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2F-4C8E-9D69-6C8950ADA5C6}"/>
            </c:ext>
          </c:extLst>
        </c:ser>
        <c:ser>
          <c:idx val="16"/>
          <c:order val="16"/>
          <c:tx>
            <c:v>Oil and Gas Pipeline (diesel/gas)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Pipeline'!$P$5:$P$7</c:f>
              <c:numCache>
                <c:formatCode>_(* #,##0.00_);_(* \(#,##0.00\);_(* "-"??_);_(@_)</c:formatCode>
                <c:ptCount val="3"/>
                <c:pt idx="0">
                  <c:v>93.234433170452718</c:v>
                </c:pt>
                <c:pt idx="1">
                  <c:v>39.867796387185059</c:v>
                </c:pt>
                <c:pt idx="2">
                  <c:v>16.253666243048595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13-49D3-BA26-B36416E09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07616"/>
        <c:axId val="117923840"/>
      </c:scatterChart>
      <c:valAx>
        <c:axId val="11100761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Cruise speed</a:t>
                </a:r>
                <a:r>
                  <a:rPr lang="en-GB" sz="1600" baseline="0"/>
                  <a:t> [m/s]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923840"/>
        <c:crosses val="autoZero"/>
        <c:crossBetween val="midCat"/>
      </c:valAx>
      <c:valAx>
        <c:axId val="117923840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L/D Payload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007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5"/>
        <c:delete val="1"/>
      </c:legendEntry>
      <c:layout>
        <c:manualLayout>
          <c:xMode val="edge"/>
          <c:yMode val="edge"/>
          <c:x val="0.79179997809405822"/>
          <c:y val="6.9767225794327717E-2"/>
          <c:w val="0.19394111515151763"/>
          <c:h val="0.805062142598326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4"/>
          <c:order val="4"/>
          <c:tx>
            <c:v>Line MD-11 (Cargo)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'a_LDpl MD-11 (Cargo)'!$D$2:$D$112</c:f>
              <c:numCache>
                <c:formatCode>General</c:formatCode>
                <c:ptCount val="111"/>
                <c:pt idx="0">
                  <c:v>100</c:v>
                </c:pt>
                <c:pt idx="1">
                  <c:v>0.1</c:v>
                </c:pt>
                <c:pt idx="2">
                  <c:v>0.05</c:v>
                </c:pt>
                <c:pt idx="3">
                  <c:v>3.3333333333333333E-2</c:v>
                </c:pt>
                <c:pt idx="4">
                  <c:v>2.5000000000000001E-2</c:v>
                </c:pt>
                <c:pt idx="5">
                  <c:v>0.02</c:v>
                </c:pt>
                <c:pt idx="6">
                  <c:v>1.6666666666666666E-2</c:v>
                </c:pt>
                <c:pt idx="7">
                  <c:v>1.4285714285714285E-2</c:v>
                </c:pt>
                <c:pt idx="8">
                  <c:v>1.2500000000000001E-2</c:v>
                </c:pt>
                <c:pt idx="9">
                  <c:v>1.1111111111111112E-2</c:v>
                </c:pt>
                <c:pt idx="10">
                  <c:v>0.01</c:v>
                </c:pt>
                <c:pt idx="11">
                  <c:v>9.0909090909090905E-3</c:v>
                </c:pt>
                <c:pt idx="12">
                  <c:v>8.3333333333333332E-3</c:v>
                </c:pt>
                <c:pt idx="13">
                  <c:v>7.6923076923076927E-3</c:v>
                </c:pt>
                <c:pt idx="14">
                  <c:v>7.1428571428571426E-3</c:v>
                </c:pt>
                <c:pt idx="15">
                  <c:v>6.6666666666666671E-3</c:v>
                </c:pt>
                <c:pt idx="16">
                  <c:v>6.2500000000000003E-3</c:v>
                </c:pt>
                <c:pt idx="17">
                  <c:v>5.8823529411764705E-3</c:v>
                </c:pt>
                <c:pt idx="18">
                  <c:v>5.5555555555555558E-3</c:v>
                </c:pt>
                <c:pt idx="19">
                  <c:v>5.263157894736842E-3</c:v>
                </c:pt>
                <c:pt idx="20">
                  <c:v>5.0000000000000001E-3</c:v>
                </c:pt>
                <c:pt idx="21">
                  <c:v>4.7619047619047623E-3</c:v>
                </c:pt>
                <c:pt idx="22">
                  <c:v>4.5454545454545452E-3</c:v>
                </c:pt>
                <c:pt idx="23">
                  <c:v>4.3478260869565218E-3</c:v>
                </c:pt>
                <c:pt idx="24">
                  <c:v>4.1666666666666666E-3</c:v>
                </c:pt>
                <c:pt idx="25">
                  <c:v>4.0000000000000001E-3</c:v>
                </c:pt>
                <c:pt idx="26">
                  <c:v>3.8461538461538464E-3</c:v>
                </c:pt>
                <c:pt idx="27">
                  <c:v>3.7037037037037038E-3</c:v>
                </c:pt>
                <c:pt idx="28">
                  <c:v>3.5714285714285713E-3</c:v>
                </c:pt>
                <c:pt idx="29">
                  <c:v>3.4482758620689655E-3</c:v>
                </c:pt>
                <c:pt idx="30">
                  <c:v>3.3333333333333335E-3</c:v>
                </c:pt>
                <c:pt idx="31">
                  <c:v>3.2258064516129032E-3</c:v>
                </c:pt>
                <c:pt idx="32">
                  <c:v>3.1250000000000002E-3</c:v>
                </c:pt>
                <c:pt idx="33">
                  <c:v>3.0303030303030303E-3</c:v>
                </c:pt>
                <c:pt idx="34">
                  <c:v>2.9411764705882353E-3</c:v>
                </c:pt>
                <c:pt idx="35">
                  <c:v>2.8571428571428571E-3</c:v>
                </c:pt>
                <c:pt idx="36">
                  <c:v>2.7777777777777779E-3</c:v>
                </c:pt>
                <c:pt idx="37">
                  <c:v>2.7027027027027029E-3</c:v>
                </c:pt>
                <c:pt idx="38">
                  <c:v>2.631578947368421E-3</c:v>
                </c:pt>
                <c:pt idx="39">
                  <c:v>2.5641025641025641E-3</c:v>
                </c:pt>
                <c:pt idx="40">
                  <c:v>2.5000000000000001E-3</c:v>
                </c:pt>
                <c:pt idx="41">
                  <c:v>2.4390243902439024E-3</c:v>
                </c:pt>
                <c:pt idx="42">
                  <c:v>2.3809523809523812E-3</c:v>
                </c:pt>
                <c:pt idx="43">
                  <c:v>2.3255813953488372E-3</c:v>
                </c:pt>
                <c:pt idx="44">
                  <c:v>2.2727272727272726E-3</c:v>
                </c:pt>
                <c:pt idx="45">
                  <c:v>2.2222222222222222E-3</c:v>
                </c:pt>
                <c:pt idx="46">
                  <c:v>2.1739130434782609E-3</c:v>
                </c:pt>
                <c:pt idx="47">
                  <c:v>2.1276595744680851E-3</c:v>
                </c:pt>
                <c:pt idx="48">
                  <c:v>2.0833333333333333E-3</c:v>
                </c:pt>
                <c:pt idx="49">
                  <c:v>2.0408163265306124E-3</c:v>
                </c:pt>
                <c:pt idx="50">
                  <c:v>2E-3</c:v>
                </c:pt>
                <c:pt idx="51">
                  <c:v>1.9607843137254902E-3</c:v>
                </c:pt>
                <c:pt idx="52">
                  <c:v>1.9230769230769232E-3</c:v>
                </c:pt>
                <c:pt idx="53">
                  <c:v>1.8867924528301887E-3</c:v>
                </c:pt>
                <c:pt idx="54">
                  <c:v>1.8518518518518519E-3</c:v>
                </c:pt>
                <c:pt idx="55">
                  <c:v>1.8181818181818182E-3</c:v>
                </c:pt>
                <c:pt idx="56">
                  <c:v>1.7857142857142857E-3</c:v>
                </c:pt>
                <c:pt idx="57">
                  <c:v>1.7543859649122807E-3</c:v>
                </c:pt>
                <c:pt idx="58">
                  <c:v>1.7241379310344827E-3</c:v>
                </c:pt>
                <c:pt idx="59">
                  <c:v>1.6949152542372881E-3</c:v>
                </c:pt>
                <c:pt idx="60">
                  <c:v>1.6666666666666668E-3</c:v>
                </c:pt>
                <c:pt idx="61">
                  <c:v>1.639344262295082E-3</c:v>
                </c:pt>
                <c:pt idx="62">
                  <c:v>1.6129032258064516E-3</c:v>
                </c:pt>
                <c:pt idx="63">
                  <c:v>1.5873015873015873E-3</c:v>
                </c:pt>
                <c:pt idx="64">
                  <c:v>1.5625000000000001E-3</c:v>
                </c:pt>
                <c:pt idx="65">
                  <c:v>1.5384615384615385E-3</c:v>
                </c:pt>
                <c:pt idx="66">
                  <c:v>1.5151515151515152E-3</c:v>
                </c:pt>
                <c:pt idx="67">
                  <c:v>1.4925373134328358E-3</c:v>
                </c:pt>
                <c:pt idx="68">
                  <c:v>1.4705882352941176E-3</c:v>
                </c:pt>
                <c:pt idx="69">
                  <c:v>1.4492753623188406E-3</c:v>
                </c:pt>
                <c:pt idx="70">
                  <c:v>1.4285714285714286E-3</c:v>
                </c:pt>
                <c:pt idx="71">
                  <c:v>1.4084507042253522E-3</c:v>
                </c:pt>
                <c:pt idx="72">
                  <c:v>1.3888888888888889E-3</c:v>
                </c:pt>
                <c:pt idx="73">
                  <c:v>1.3698630136986301E-3</c:v>
                </c:pt>
                <c:pt idx="74">
                  <c:v>1.3513513513513514E-3</c:v>
                </c:pt>
                <c:pt idx="75">
                  <c:v>1.3333333333333333E-3</c:v>
                </c:pt>
                <c:pt idx="76">
                  <c:v>1.3157894736842105E-3</c:v>
                </c:pt>
                <c:pt idx="77">
                  <c:v>1.2987012987012987E-3</c:v>
                </c:pt>
                <c:pt idx="78">
                  <c:v>1.2820512820512821E-3</c:v>
                </c:pt>
                <c:pt idx="79">
                  <c:v>1.2658227848101266E-3</c:v>
                </c:pt>
                <c:pt idx="80">
                  <c:v>1.25E-3</c:v>
                </c:pt>
                <c:pt idx="81">
                  <c:v>1.2345679012345679E-3</c:v>
                </c:pt>
                <c:pt idx="82">
                  <c:v>1.2195121951219512E-3</c:v>
                </c:pt>
                <c:pt idx="83">
                  <c:v>1.2048192771084338E-3</c:v>
                </c:pt>
                <c:pt idx="84">
                  <c:v>1.1904761904761906E-3</c:v>
                </c:pt>
                <c:pt idx="85">
                  <c:v>1.176470588235294E-3</c:v>
                </c:pt>
                <c:pt idx="86">
                  <c:v>1.1627906976744186E-3</c:v>
                </c:pt>
                <c:pt idx="87">
                  <c:v>1.1494252873563218E-3</c:v>
                </c:pt>
                <c:pt idx="88">
                  <c:v>1.1363636363636363E-3</c:v>
                </c:pt>
                <c:pt idx="89">
                  <c:v>1.1235955056179776E-3</c:v>
                </c:pt>
                <c:pt idx="90">
                  <c:v>1.1111111111111111E-3</c:v>
                </c:pt>
                <c:pt idx="91">
                  <c:v>1.0989010989010989E-3</c:v>
                </c:pt>
                <c:pt idx="92">
                  <c:v>1.0869565217391304E-3</c:v>
                </c:pt>
                <c:pt idx="93">
                  <c:v>1.0752688172043011E-3</c:v>
                </c:pt>
                <c:pt idx="94">
                  <c:v>1.0638297872340426E-3</c:v>
                </c:pt>
                <c:pt idx="95">
                  <c:v>1.0526315789473684E-3</c:v>
                </c:pt>
                <c:pt idx="96">
                  <c:v>1.0416666666666667E-3</c:v>
                </c:pt>
                <c:pt idx="97">
                  <c:v>1.0309278350515464E-3</c:v>
                </c:pt>
                <c:pt idx="98">
                  <c:v>1.0204081632653062E-3</c:v>
                </c:pt>
                <c:pt idx="99">
                  <c:v>1.0101010101010101E-3</c:v>
                </c:pt>
                <c:pt idx="100">
                  <c:v>1.0752688172043011E-3</c:v>
                </c:pt>
                <c:pt idx="101">
                  <c:v>1.0638297872340426E-3</c:v>
                </c:pt>
                <c:pt idx="102">
                  <c:v>1.0526315789473684E-3</c:v>
                </c:pt>
                <c:pt idx="103">
                  <c:v>1.0416666666666667E-3</c:v>
                </c:pt>
                <c:pt idx="104">
                  <c:v>1.0309278350515464E-3</c:v>
                </c:pt>
                <c:pt idx="105">
                  <c:v>1.0204081632653062E-3</c:v>
                </c:pt>
                <c:pt idx="106">
                  <c:v>1.0101010101010101E-3</c:v>
                </c:pt>
                <c:pt idx="107">
                  <c:v>1E-3</c:v>
                </c:pt>
                <c:pt idx="108">
                  <c:v>5.0000000000000001E-4</c:v>
                </c:pt>
                <c:pt idx="109">
                  <c:v>3.3333333333333332E-4</c:v>
                </c:pt>
                <c:pt idx="110">
                  <c:v>2.0000000000000001E-4</c:v>
                </c:pt>
              </c:numCache>
            </c:numRef>
          </c:xVal>
          <c:yVal>
            <c:numRef>
              <c:f>'a_LDpl MD-11 (Cargo)'!$E$2:$E$112</c:f>
              <c:numCache>
                <c:formatCode>_(* #,##0.00_);_(* \(#,##0.00\);_(* "-"??_);_(@_)</c:formatCode>
                <c:ptCount val="111"/>
                <c:pt idx="0">
                  <c:v>5.714661728802926E-6</c:v>
                </c:pt>
                <c:pt idx="1">
                  <c:v>5.7146617288029253E-3</c:v>
                </c:pt>
                <c:pt idx="2">
                  <c:v>1.1429323457605851E-2</c:v>
                </c:pt>
                <c:pt idx="3">
                  <c:v>1.7143985186408778E-2</c:v>
                </c:pt>
                <c:pt idx="4">
                  <c:v>2.2858646915211701E-2</c:v>
                </c:pt>
                <c:pt idx="5">
                  <c:v>2.8573308644014632E-2</c:v>
                </c:pt>
                <c:pt idx="6">
                  <c:v>3.4287970372817556E-2</c:v>
                </c:pt>
                <c:pt idx="7">
                  <c:v>4.0002632101620479E-2</c:v>
                </c:pt>
                <c:pt idx="8">
                  <c:v>4.5717293830423403E-2</c:v>
                </c:pt>
                <c:pt idx="9">
                  <c:v>5.1431955559226326E-2</c:v>
                </c:pt>
                <c:pt idx="10">
                  <c:v>5.7146617288029264E-2</c:v>
                </c:pt>
                <c:pt idx="11">
                  <c:v>6.2861279016832181E-2</c:v>
                </c:pt>
                <c:pt idx="12">
                  <c:v>6.8575940745635111E-2</c:v>
                </c:pt>
                <c:pt idx="13">
                  <c:v>7.4290602474438042E-2</c:v>
                </c:pt>
                <c:pt idx="14">
                  <c:v>8.0005264203240958E-2</c:v>
                </c:pt>
                <c:pt idx="15">
                  <c:v>8.5719925932043889E-2</c:v>
                </c:pt>
                <c:pt idx="16">
                  <c:v>9.1434587660846806E-2</c:v>
                </c:pt>
                <c:pt idx="17">
                  <c:v>9.714924938964975E-2</c:v>
                </c:pt>
                <c:pt idx="18">
                  <c:v>0.10286391111845265</c:v>
                </c:pt>
                <c:pt idx="19">
                  <c:v>0.1085785728472556</c:v>
                </c:pt>
                <c:pt idx="20">
                  <c:v>0.11429323457605853</c:v>
                </c:pt>
                <c:pt idx="21">
                  <c:v>0.12000789630486144</c:v>
                </c:pt>
                <c:pt idx="22">
                  <c:v>0.12572255803366436</c:v>
                </c:pt>
                <c:pt idx="23">
                  <c:v>0.13143721976246731</c:v>
                </c:pt>
                <c:pt idx="24">
                  <c:v>0.13715188149127022</c:v>
                </c:pt>
                <c:pt idx="25">
                  <c:v>0.14286654322007314</c:v>
                </c:pt>
                <c:pt idx="26">
                  <c:v>0.14858120494887608</c:v>
                </c:pt>
                <c:pt idx="27">
                  <c:v>0.154295866677679</c:v>
                </c:pt>
                <c:pt idx="28">
                  <c:v>0.16001052840648192</c:v>
                </c:pt>
                <c:pt idx="29">
                  <c:v>0.16572519013528483</c:v>
                </c:pt>
                <c:pt idx="30">
                  <c:v>0.17143985186408778</c:v>
                </c:pt>
                <c:pt idx="31">
                  <c:v>0.17715451359289069</c:v>
                </c:pt>
                <c:pt idx="32">
                  <c:v>0.18286917532169361</c:v>
                </c:pt>
                <c:pt idx="33">
                  <c:v>0.18858383705049656</c:v>
                </c:pt>
                <c:pt idx="34">
                  <c:v>0.1942984987792995</c:v>
                </c:pt>
                <c:pt idx="35">
                  <c:v>0.20001316050810242</c:v>
                </c:pt>
                <c:pt idx="36">
                  <c:v>0.20572782223690531</c:v>
                </c:pt>
                <c:pt idx="37">
                  <c:v>0.21144248396570825</c:v>
                </c:pt>
                <c:pt idx="38">
                  <c:v>0.21715714569451119</c:v>
                </c:pt>
                <c:pt idx="39">
                  <c:v>0.22287180742331408</c:v>
                </c:pt>
                <c:pt idx="40">
                  <c:v>0.22858646915211706</c:v>
                </c:pt>
                <c:pt idx="41">
                  <c:v>0.23430113088091994</c:v>
                </c:pt>
                <c:pt idx="42">
                  <c:v>0.24001579260972289</c:v>
                </c:pt>
                <c:pt idx="43">
                  <c:v>0.24573045433852578</c:v>
                </c:pt>
                <c:pt idx="44">
                  <c:v>0.25144511606732872</c:v>
                </c:pt>
                <c:pt idx="45">
                  <c:v>0.25715977779613169</c:v>
                </c:pt>
                <c:pt idx="46">
                  <c:v>0.26287443952493461</c:v>
                </c:pt>
                <c:pt idx="47">
                  <c:v>0.26858910125373753</c:v>
                </c:pt>
                <c:pt idx="48">
                  <c:v>0.27430376298254044</c:v>
                </c:pt>
                <c:pt idx="49">
                  <c:v>0.28001842471134336</c:v>
                </c:pt>
                <c:pt idx="50">
                  <c:v>0.28573308644014628</c:v>
                </c:pt>
                <c:pt idx="51">
                  <c:v>0.29144774816894919</c:v>
                </c:pt>
                <c:pt idx="52">
                  <c:v>0.29716240989775217</c:v>
                </c:pt>
                <c:pt idx="53">
                  <c:v>0.30287707162655508</c:v>
                </c:pt>
                <c:pt idx="54">
                  <c:v>0.308591733355358</c:v>
                </c:pt>
                <c:pt idx="55">
                  <c:v>0.31430639508416092</c:v>
                </c:pt>
                <c:pt idx="56">
                  <c:v>0.32002105681296383</c:v>
                </c:pt>
                <c:pt idx="57">
                  <c:v>0.32573571854176675</c:v>
                </c:pt>
                <c:pt idx="58">
                  <c:v>0.33145038027056967</c:v>
                </c:pt>
                <c:pt idx="59">
                  <c:v>0.33716504199937264</c:v>
                </c:pt>
                <c:pt idx="60">
                  <c:v>0.34287970372817556</c:v>
                </c:pt>
                <c:pt idx="61">
                  <c:v>0.34859436545697847</c:v>
                </c:pt>
                <c:pt idx="62">
                  <c:v>0.35430902718578139</c:v>
                </c:pt>
                <c:pt idx="63">
                  <c:v>0.36002368891458436</c:v>
                </c:pt>
                <c:pt idx="64">
                  <c:v>0.36573835064338722</c:v>
                </c:pt>
                <c:pt idx="65">
                  <c:v>0.37145301237219014</c:v>
                </c:pt>
                <c:pt idx="66">
                  <c:v>0.37716767410099311</c:v>
                </c:pt>
                <c:pt idx="67">
                  <c:v>0.38288233582979603</c:v>
                </c:pt>
                <c:pt idx="68">
                  <c:v>0.388596997558599</c:v>
                </c:pt>
                <c:pt idx="69">
                  <c:v>0.39431165928740192</c:v>
                </c:pt>
                <c:pt idx="70">
                  <c:v>0.40002632101620483</c:v>
                </c:pt>
                <c:pt idx="71">
                  <c:v>0.40574098274500775</c:v>
                </c:pt>
                <c:pt idx="72">
                  <c:v>0.41145564447381061</c:v>
                </c:pt>
                <c:pt idx="73">
                  <c:v>0.41717030620261358</c:v>
                </c:pt>
                <c:pt idx="74">
                  <c:v>0.4228849679314165</c:v>
                </c:pt>
                <c:pt idx="75">
                  <c:v>0.42859962966021947</c:v>
                </c:pt>
                <c:pt idx="76">
                  <c:v>0.43431429138902239</c:v>
                </c:pt>
                <c:pt idx="77">
                  <c:v>0.44002895311782531</c:v>
                </c:pt>
                <c:pt idx="78">
                  <c:v>0.44574361484662817</c:v>
                </c:pt>
                <c:pt idx="79">
                  <c:v>0.45145827657543114</c:v>
                </c:pt>
                <c:pt idx="80">
                  <c:v>0.45717293830423411</c:v>
                </c:pt>
                <c:pt idx="81">
                  <c:v>0.46288760003303703</c:v>
                </c:pt>
                <c:pt idx="82">
                  <c:v>0.46860226176183989</c:v>
                </c:pt>
                <c:pt idx="83">
                  <c:v>0.47431692349064286</c:v>
                </c:pt>
                <c:pt idx="84">
                  <c:v>0.48003158521944578</c:v>
                </c:pt>
                <c:pt idx="85">
                  <c:v>0.48574624694824875</c:v>
                </c:pt>
                <c:pt idx="86">
                  <c:v>0.49146090867705156</c:v>
                </c:pt>
                <c:pt idx="87">
                  <c:v>0.49717557040585453</c:v>
                </c:pt>
                <c:pt idx="88">
                  <c:v>0.50289023213465744</c:v>
                </c:pt>
                <c:pt idx="89">
                  <c:v>0.50860489386346042</c:v>
                </c:pt>
                <c:pt idx="90">
                  <c:v>0.51431955559226339</c:v>
                </c:pt>
                <c:pt idx="91">
                  <c:v>0.52003421732106625</c:v>
                </c:pt>
                <c:pt idx="92">
                  <c:v>0.52574887904986922</c:v>
                </c:pt>
                <c:pt idx="93">
                  <c:v>0.53146354077867208</c:v>
                </c:pt>
                <c:pt idx="94">
                  <c:v>0.53717820250747506</c:v>
                </c:pt>
                <c:pt idx="95">
                  <c:v>0.54289286423627792</c:v>
                </c:pt>
                <c:pt idx="96">
                  <c:v>0.54860752596508089</c:v>
                </c:pt>
                <c:pt idx="97">
                  <c:v>0.55432218769388386</c:v>
                </c:pt>
                <c:pt idx="98">
                  <c:v>0.56003684942268672</c:v>
                </c:pt>
                <c:pt idx="99">
                  <c:v>0.56575151115148969</c:v>
                </c:pt>
                <c:pt idx="100">
                  <c:v>0.53146354077867208</c:v>
                </c:pt>
                <c:pt idx="101">
                  <c:v>0.53717820250747506</c:v>
                </c:pt>
                <c:pt idx="102">
                  <c:v>0.54289286423627792</c:v>
                </c:pt>
                <c:pt idx="103">
                  <c:v>0.54860752596508089</c:v>
                </c:pt>
                <c:pt idx="104">
                  <c:v>0.55432218769388386</c:v>
                </c:pt>
                <c:pt idx="105">
                  <c:v>0.56003684942268672</c:v>
                </c:pt>
                <c:pt idx="106">
                  <c:v>0.56575151115148969</c:v>
                </c:pt>
                <c:pt idx="107">
                  <c:v>0.57146617288029256</c:v>
                </c:pt>
                <c:pt idx="108">
                  <c:v>1.1429323457605851</c:v>
                </c:pt>
                <c:pt idx="109">
                  <c:v>1.7143985186408779</c:v>
                </c:pt>
                <c:pt idx="110">
                  <c:v>2.857330864401463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47-439D-BCB6-0FE5913B4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93792"/>
        <c:axId val="193395712"/>
      </c:scatterChart>
      <c:scatterChart>
        <c:scatterStyle val="lineMarker"/>
        <c:varyColors val="0"/>
        <c:ser>
          <c:idx val="0"/>
          <c:order val="0"/>
          <c:tx>
            <c:v>Fixed Wing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1.024792839683668E-2"/>
                  <c:y val="2.3587345519137982E-2"/>
                </c:manualLayout>
              </c:layout>
              <c:tx>
                <c:rich>
                  <a:bodyPr/>
                  <a:lstStyle/>
                  <a:p>
                    <a:fld id="{98A2BC87-7C2E-4E61-9A88-ED75818F245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247-439D-BCB6-0FE5913B493C}"/>
                </c:ext>
              </c:extLst>
            </c:dLbl>
            <c:dLbl>
              <c:idx val="1"/>
              <c:layout>
                <c:manualLayout>
                  <c:x val="2.9279795419533097E-3"/>
                  <c:y val="-1.8869876415310384E-2"/>
                </c:manualLayout>
              </c:layout>
              <c:tx>
                <c:rich>
                  <a:bodyPr/>
                  <a:lstStyle/>
                  <a:p>
                    <a:fld id="{BE588947-0360-4664-8589-2A9F248B6F3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247-439D-BCB6-0FE5913B493C}"/>
                </c:ext>
              </c:extLst>
            </c:dLbl>
            <c:dLbl>
              <c:idx val="2"/>
              <c:layout>
                <c:manualLayout>
                  <c:x val="-8.6375396487623463E-2"/>
                  <c:y val="2.3587345519137984E-3"/>
                </c:manualLayout>
              </c:layout>
              <c:tx>
                <c:rich>
                  <a:bodyPr/>
                  <a:lstStyle/>
                  <a:p>
                    <a:fld id="{EDD8E081-616A-41AA-99DC-83EE19E0825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247-439D-BCB6-0FE5913B493C}"/>
                </c:ext>
              </c:extLst>
            </c:dLbl>
            <c:dLbl>
              <c:idx val="3"/>
              <c:layout>
                <c:manualLayout>
                  <c:x val="-7.9055447632740111E-2"/>
                  <c:y val="-1.4152407311482786E-2"/>
                </c:manualLayout>
              </c:layout>
              <c:tx>
                <c:rich>
                  <a:bodyPr/>
                  <a:lstStyle/>
                  <a:p>
                    <a:fld id="{3054694C-77A2-4842-9219-BED9ADE2CC3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247-439D-BCB6-0FE5913B493C}"/>
                </c:ext>
              </c:extLst>
            </c:dLbl>
            <c:dLbl>
              <c:idx val="4"/>
              <c:layout>
                <c:manualLayout>
                  <c:x val="-8.4911396928503746E-2"/>
                  <c:y val="-5.9097899909317762E-2"/>
                </c:manualLayout>
              </c:layout>
              <c:tx>
                <c:rich>
                  <a:bodyPr/>
                  <a:lstStyle/>
                  <a:p>
                    <a:fld id="{AF2839EE-4888-4CE5-96D2-ADB89AC1490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247-439D-BCB6-0FE5913B493C}"/>
                </c:ext>
              </c:extLst>
            </c:dLbl>
            <c:dLbl>
              <c:idx val="5"/>
              <c:layout>
                <c:manualLayout>
                  <c:x val="-5.8559584088623265E-3"/>
                  <c:y val="-2.1318350679594793E-2"/>
                </c:manualLayout>
              </c:layout>
              <c:tx>
                <c:rich>
                  <a:bodyPr/>
                  <a:lstStyle/>
                  <a:p>
                    <a:fld id="{54B6B4C5-2513-4144-888F-0E5390C278B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247-439D-BCB6-0FE5913B493C}"/>
                </c:ext>
              </c:extLst>
            </c:dLbl>
            <c:dLbl>
              <c:idx val="6"/>
              <c:layout>
                <c:manualLayout>
                  <c:x val="-7.9055447632740083E-2"/>
                  <c:y val="-2.8304814622965656E-2"/>
                </c:manualLayout>
              </c:layout>
              <c:tx>
                <c:rich>
                  <a:bodyPr/>
                  <a:lstStyle/>
                  <a:p>
                    <a:fld id="{D08D7394-1202-4FA9-B0EB-981046719FB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247-439D-BCB6-0FE5913B493C}"/>
                </c:ext>
              </c:extLst>
            </c:dLbl>
            <c:dLbl>
              <c:idx val="7"/>
              <c:layout>
                <c:manualLayout>
                  <c:x val="-9.9582902764531647E-2"/>
                  <c:y val="2.8280962515085387E-2"/>
                </c:manualLayout>
              </c:layout>
              <c:tx>
                <c:rich>
                  <a:bodyPr/>
                  <a:lstStyle/>
                  <a:p>
                    <a:fld id="{E8EB216A-149A-4465-B3B0-1D75B1F48D4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247-439D-BCB6-0FE5913B493C}"/>
                </c:ext>
              </c:extLst>
            </c:dLbl>
            <c:dLbl>
              <c:idx val="8"/>
              <c:layout>
                <c:manualLayout>
                  <c:x val="-8.4911406716646751E-2"/>
                  <c:y val="9.4349382076551035E-3"/>
                </c:manualLayout>
              </c:layout>
              <c:tx>
                <c:rich>
                  <a:bodyPr/>
                  <a:lstStyle/>
                  <a:p>
                    <a:fld id="{FA33DDF9-B807-4899-8649-C3C4BD60258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E247-439D-BCB6-0FE5913B493C}"/>
                </c:ext>
              </c:extLst>
            </c:dLbl>
            <c:dLbl>
              <c:idx val="9"/>
              <c:layout>
                <c:manualLayout>
                  <c:x val="-2.6839502415683406E-17"/>
                  <c:y val="2.1228610967224094E-2"/>
                </c:manualLayout>
              </c:layout>
              <c:tx>
                <c:rich>
                  <a:bodyPr/>
                  <a:lstStyle/>
                  <a:p>
                    <a:fld id="{0C058FB6-FC53-4C0F-AE08-463CE6FA838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E247-439D-BCB6-0FE5913B493C}"/>
                </c:ext>
              </c:extLst>
            </c:dLbl>
            <c:dLbl>
              <c:idx val="10"/>
              <c:layout>
                <c:manualLayout>
                  <c:x val="-6.2951560151996724E-2"/>
                  <c:y val="-3.5381018278706967E-2"/>
                </c:manualLayout>
              </c:layout>
              <c:tx>
                <c:rich>
                  <a:bodyPr/>
                  <a:lstStyle/>
                  <a:p>
                    <a:fld id="{F04E987B-7A13-4BC9-A1F4-88C2DF2F591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247-439D-BCB6-0FE5913B493C}"/>
                </c:ext>
              </c:extLst>
            </c:dLbl>
            <c:dLbl>
              <c:idx val="11"/>
              <c:layout>
                <c:manualLayout>
                  <c:x val="2.9279795419533097E-3"/>
                  <c:y val="-7.0762036557414807E-3"/>
                </c:manualLayout>
              </c:layout>
              <c:tx>
                <c:rich>
                  <a:bodyPr/>
                  <a:lstStyle/>
                  <a:p>
                    <a:fld id="{4CF8624C-CC7E-4991-88AD-303B2DE435D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247-439D-BCB6-0FE5913B493C}"/>
                </c:ext>
              </c:extLst>
            </c:dLbl>
            <c:dLbl>
              <c:idx val="12"/>
              <c:layout>
                <c:manualLayout>
                  <c:x val="7.3199480110778528E-3"/>
                  <c:y val="-4.7374112621321567E-3"/>
                </c:manualLayout>
              </c:layout>
              <c:tx>
                <c:rich>
                  <a:bodyPr/>
                  <a:lstStyle/>
                  <a:p>
                    <a:fld id="{4939EADF-8E84-4FE3-8B15-F42B196B43E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247-439D-BCB6-0FE5913B493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2661F07-35E7-4753-B13F-B6F84A981ED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247-439D-BCB6-0FE5913B493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C6D9195-EB32-42E2-8E27-2DB3C295EE3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247-439D-BCB6-0FE5913B49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'Subsonic Aircraft'!$K$5:$K$19</c:f>
              <c:numCache>
                <c:formatCode>0.000000</c:formatCode>
                <c:ptCount val="15"/>
                <c:pt idx="0">
                  <c:v>4.3200276481769485E-3</c:v>
                </c:pt>
                <c:pt idx="1">
                  <c:v>4.3393360815795184E-3</c:v>
                </c:pt>
                <c:pt idx="2">
                  <c:v>4.0500587258515252E-3</c:v>
                </c:pt>
                <c:pt idx="3">
                  <c:v>4.0165481784954007E-3</c:v>
                </c:pt>
                <c:pt idx="4">
                  <c:v>3.8880248833592537E-3</c:v>
                </c:pt>
                <c:pt idx="5">
                  <c:v>3.9591416580885266E-3</c:v>
                </c:pt>
                <c:pt idx="6">
                  <c:v>3.7894577285990379E-3</c:v>
                </c:pt>
                <c:pt idx="7">
                  <c:v>3.9592984123213368E-3</c:v>
                </c:pt>
                <c:pt idx="8">
                  <c:v>3.9835876190096797E-3</c:v>
                </c:pt>
                <c:pt idx="9">
                  <c:v>4.4485964678144044E-3</c:v>
                </c:pt>
                <c:pt idx="10">
                  <c:v>3.8106851611919819E-3</c:v>
                </c:pt>
                <c:pt idx="11">
                  <c:v>4.6957175056348607E-3</c:v>
                </c:pt>
                <c:pt idx="12">
                  <c:v>4.2353140485366985E-3</c:v>
                </c:pt>
                <c:pt idx="13">
                  <c:v>5.2143080613202631E-3</c:v>
                </c:pt>
                <c:pt idx="14">
                  <c:v>3.9432176656151417E-3</c:v>
                </c:pt>
              </c:numCache>
            </c:numRef>
          </c:xVal>
          <c:yVal>
            <c:numRef>
              <c:f>'Subsonic Aircraft'!$R$5:$R$19</c:f>
              <c:numCache>
                <c:formatCode>0.0000</c:formatCode>
                <c:ptCount val="15"/>
                <c:pt idx="0">
                  <c:v>0.18769148257815868</c:v>
                </c:pt>
                <c:pt idx="1">
                  <c:v>0.23039617119972639</c:v>
                </c:pt>
                <c:pt idx="2">
                  <c:v>0.22475805523937328</c:v>
                </c:pt>
                <c:pt idx="3">
                  <c:v>0.22921541386810868</c:v>
                </c:pt>
                <c:pt idx="4">
                  <c:v>0.25161981014359425</c:v>
                </c:pt>
                <c:pt idx="5">
                  <c:v>0.3470765045724738</c:v>
                </c:pt>
                <c:pt idx="6">
                  <c:v>0.23609041783341761</c:v>
                </c:pt>
                <c:pt idx="7">
                  <c:v>0.17537950027538135</c:v>
                </c:pt>
                <c:pt idx="8">
                  <c:v>0.19127732090607899</c:v>
                </c:pt>
                <c:pt idx="9">
                  <c:v>0.22228891498220132</c:v>
                </c:pt>
                <c:pt idx="10">
                  <c:v>0.24819140204818327</c:v>
                </c:pt>
                <c:pt idx="11">
                  <c:v>0.22060932141527173</c:v>
                </c:pt>
                <c:pt idx="12">
                  <c:v>0.31209911434011584</c:v>
                </c:pt>
                <c:pt idx="13">
                  <c:v>0.6134588213857366</c:v>
                </c:pt>
                <c:pt idx="14">
                  <c:v>0.45653296343310945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Aircraft'!$A$5:$A$21</c15:f>
                <c15:dlblRangeCache>
                  <c:ptCount val="17"/>
                  <c:pt idx="0">
                    <c:v>A321-200</c:v>
                  </c:pt>
                  <c:pt idx="1">
                    <c:v>A320-200</c:v>
                  </c:pt>
                  <c:pt idx="2">
                    <c:v>A300-600R</c:v>
                  </c:pt>
                  <c:pt idx="3">
                    <c:v>A310-300</c:v>
                  </c:pt>
                  <c:pt idx="4">
                    <c:v>A340-300</c:v>
                  </c:pt>
                  <c:pt idx="5">
                    <c:v>B747-400</c:v>
                  </c:pt>
                  <c:pt idx="6">
                    <c:v>B757-200</c:v>
                  </c:pt>
                  <c:pt idx="7">
                    <c:v>B737-300</c:v>
                  </c:pt>
                  <c:pt idx="8">
                    <c:v>B767-300</c:v>
                  </c:pt>
                  <c:pt idx="9">
                    <c:v>MD90-30</c:v>
                  </c:pt>
                  <c:pt idx="10">
                    <c:v>MD-11</c:v>
                  </c:pt>
                  <c:pt idx="11">
                    <c:v>Fokker 100</c:v>
                  </c:pt>
                  <c:pt idx="12">
                    <c:v>TU-154M</c:v>
                  </c:pt>
                  <c:pt idx="13">
                    <c:v>YB-49</c:v>
                  </c:pt>
                  <c:pt idx="14">
                    <c:v>Avro Vulcan</c:v>
                  </c:pt>
                  <c:pt idx="15">
                    <c:v>B747-400 (Cargo)</c:v>
                  </c:pt>
                  <c:pt idx="16">
                    <c:v>MD-11 (Cargo)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E247-439D-BCB6-0FE5913B493C}"/>
            </c:ext>
          </c:extLst>
        </c:ser>
        <c:ser>
          <c:idx val="1"/>
          <c:order val="1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F3F6A7B-78A8-41FB-9E9C-319857C97DB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84D-4DF6-AD9B-7D12583A8829}"/>
                </c:ext>
              </c:extLst>
            </c:dLbl>
            <c:dLbl>
              <c:idx val="1"/>
              <c:layout>
                <c:manualLayout>
                  <c:x val="1.3692722371967555E-2"/>
                  <c:y val="2.1070410010269665E-2"/>
                </c:manualLayout>
              </c:layout>
              <c:tx>
                <c:rich>
                  <a:bodyPr/>
                  <a:lstStyle/>
                  <a:p>
                    <a:fld id="{E5AC1355-8998-4745-920B-46CE63E7BEE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84D-4DF6-AD9B-7D12583A882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5A4026A-2873-4105-AF03-3075C1D084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84D-4DF6-AD9B-7D12583A8829}"/>
                </c:ext>
              </c:extLst>
            </c:dLbl>
            <c:dLbl>
              <c:idx val="3"/>
              <c:layout>
                <c:manualLayout>
                  <c:x val="0"/>
                  <c:y val="-1.6388096674654337E-2"/>
                </c:manualLayout>
              </c:layout>
              <c:tx>
                <c:rich>
                  <a:bodyPr/>
                  <a:lstStyle/>
                  <a:p>
                    <a:fld id="{F1B0A9EF-65A0-4831-B77C-310025E2FEC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84D-4DF6-AD9B-7D12583A8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Helicopter!$E$5:$E$8</c:f>
              <c:numCache>
                <c:formatCode>General</c:formatCode>
                <c:ptCount val="4"/>
                <c:pt idx="0">
                  <c:v>1.7998560115190784E-2</c:v>
                </c:pt>
                <c:pt idx="1">
                  <c:v>1.7822135091783996E-2</c:v>
                </c:pt>
                <c:pt idx="2">
                  <c:v>1.5318627450980392E-2</c:v>
                </c:pt>
                <c:pt idx="3">
                  <c:v>1.764602082230457E-2</c:v>
                </c:pt>
              </c:numCache>
            </c:numRef>
          </c:xVal>
          <c:yVal>
            <c:numRef>
              <c:f>Helicopter!$M$5:$M$8</c:f>
              <c:numCache>
                <c:formatCode>_(* #,##0.00_);_(* \(#,##0.00\);_(* "-"??_);_(@_)</c:formatCode>
                <c:ptCount val="4"/>
                <c:pt idx="0">
                  <c:v>0.80366816165566957</c:v>
                </c:pt>
                <c:pt idx="1">
                  <c:v>0.75289071066209157</c:v>
                </c:pt>
                <c:pt idx="2">
                  <c:v>0.8403486567763071</c:v>
                </c:pt>
                <c:pt idx="3">
                  <c:v>0.83115989672354451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Helicopter!$A$5:$A$8</c15:f>
                <c15:dlblRangeCache>
                  <c:ptCount val="4"/>
                  <c:pt idx="0">
                    <c:v>R44 Raven I</c:v>
                  </c:pt>
                  <c:pt idx="1">
                    <c:v>R44 Raven II</c:v>
                  </c:pt>
                  <c:pt idx="2">
                    <c:v>AS350 B3</c:v>
                  </c:pt>
                  <c:pt idx="3">
                    <c:v>EC120 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E247-439D-BCB6-0FE5913B493C}"/>
            </c:ext>
          </c:extLst>
        </c:ser>
        <c:ser>
          <c:idx val="2"/>
          <c:order val="2"/>
          <c:tx>
            <c:v>Lighter than 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7.6502742773924395E-2"/>
                  <c:y val="-3.1291909907881629E-3"/>
                </c:manualLayout>
              </c:layout>
              <c:tx>
                <c:rich>
                  <a:bodyPr/>
                  <a:lstStyle/>
                  <a:p>
                    <a:fld id="{0FBFAEB0-331C-4801-B480-93E9A3E66B4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84D-4DF6-AD9B-7D12583A8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Airship!$H$5</c:f>
              <c:numCache>
                <c:formatCode>0.00</c:formatCode>
                <c:ptCount val="1"/>
                <c:pt idx="0">
                  <c:v>2.880184331797235E-2</c:v>
                </c:pt>
              </c:numCache>
            </c:numRef>
          </c:xVal>
          <c:yVal>
            <c:numRef>
              <c:f>Airship!$U$5</c:f>
              <c:numCache>
                <c:formatCode>0.00</c:formatCode>
                <c:ptCount val="1"/>
                <c:pt idx="0">
                  <c:v>0.32576631968131609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Airship!$A$5</c15:f>
                <c15:dlblRangeCache>
                  <c:ptCount val="1"/>
                  <c:pt idx="0">
                    <c:v>LZ 129 Hindenburg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E247-439D-BCB6-0FE5913B493C}"/>
            </c:ext>
          </c:extLst>
        </c:ser>
        <c:ser>
          <c:idx val="3"/>
          <c:order val="3"/>
          <c:tx>
            <c:v>Unpowered flight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4.9665602579022763E-2"/>
                  <c:y val="-2.5712064995388573E-2"/>
                </c:manualLayout>
              </c:layout>
              <c:tx>
                <c:rich>
                  <a:bodyPr/>
                  <a:lstStyle/>
                  <a:p>
                    <a:fld id="{E4A5A97E-D01C-4C71-87B5-E91B8FB7632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84D-4DF6-AD9B-7D12583A882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B956F36-12D1-4A6C-A440-A4DA702FAA7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28E-4444-953F-F8B53B5C1E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Glider!$G$5:$G$6</c:f>
              <c:numCache>
                <c:formatCode>_-* #,##0.000_-;\-* #,##0.000_-;_-* "-"??_-;_-@_-</c:formatCode>
                <c:ptCount val="2"/>
                <c:pt idx="0">
                  <c:v>3.2414910858995137E-2</c:v>
                </c:pt>
                <c:pt idx="1">
                  <c:v>1.7998560115190784E-2</c:v>
                </c:pt>
              </c:numCache>
            </c:numRef>
          </c:xVal>
          <c:yVal>
            <c:numRef>
              <c:f>Glider!$N$5:$N$6</c:f>
              <c:numCache>
                <c:formatCode>General</c:formatCode>
                <c:ptCount val="2"/>
                <c:pt idx="0">
                  <c:v>8.6511640381933277E-2</c:v>
                </c:pt>
                <c:pt idx="1">
                  <c:v>8.9743589743589744E-2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Glider!$A$5:$A$6</c15:f>
                <c15:dlblRangeCache>
                  <c:ptCount val="2"/>
                  <c:pt idx="0">
                    <c:v>Grob 103</c:v>
                  </c:pt>
                  <c:pt idx="1">
                    <c:v>ASW 28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E247-439D-BCB6-0FE5913B493C}"/>
            </c:ext>
          </c:extLst>
        </c:ser>
        <c:ser>
          <c:idx val="5"/>
          <c:order val="5"/>
          <c:tx>
            <c:v>Supersonic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6C8E053-C732-45E2-8413-A457337F916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28E-4444-953F-F8B53B5C1E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'Supersonic Aircraft'!$I$5</c:f>
              <c:numCache>
                <c:formatCode>0.000</c:formatCode>
                <c:ptCount val="1"/>
                <c:pt idx="0">
                  <c:v>1.6682113067655235E-3</c:v>
                </c:pt>
              </c:numCache>
            </c:numRef>
          </c:xVal>
          <c:yVal>
            <c:numRef>
              <c:f>'Supersonic Aircraft'!$P$5</c:f>
              <c:numCache>
                <c:formatCode>0.000</c:formatCode>
                <c:ptCount val="1"/>
                <c:pt idx="0">
                  <c:v>1.8604415653459971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'Supersonic Aircraft'!$A$5</c15:f>
                <c15:dlblRangeCache>
                  <c:ptCount val="1"/>
                  <c:pt idx="0">
                    <c:v>Concorde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28E-4444-953F-F8B53B5C1E11}"/>
            </c:ext>
          </c:extLst>
        </c:ser>
        <c:ser>
          <c:idx val="6"/>
          <c:order val="6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1.317590641994023E-2"/>
                  <c:y val="7.7790085931038408E-2"/>
                </c:manualLayout>
              </c:layout>
              <c:tx>
                <c:rich>
                  <a:bodyPr/>
                  <a:lstStyle/>
                  <a:p>
                    <a:fld id="{3BBC10BC-5AD9-484C-9897-F9687761106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495-4C8C-AA21-2201E03A9FE4}"/>
                </c:ext>
              </c:extLst>
            </c:dLbl>
            <c:dLbl>
              <c:idx val="1"/>
              <c:layout>
                <c:manualLayout>
                  <c:x val="-6.8807511304132332E-2"/>
                  <c:y val="5.657460794984611E-2"/>
                </c:manualLayout>
              </c:layout>
              <c:tx>
                <c:rich>
                  <a:bodyPr/>
                  <a:lstStyle/>
                  <a:p>
                    <a:fld id="{652C67FB-4A6C-4CC8-8866-F83BCB5C029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495-4C8C-AA21-2201E03A9F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'Subsonic Aircraft'!$K$20:$K$21</c:f>
              <c:numCache>
                <c:formatCode>0.000000</c:formatCode>
                <c:ptCount val="2"/>
                <c:pt idx="0">
                  <c:v>3.9591416580885266E-3</c:v>
                </c:pt>
                <c:pt idx="1">
                  <c:v>3.8106851611919819E-3</c:v>
                </c:pt>
              </c:numCache>
            </c:numRef>
          </c:xVal>
          <c:yVal>
            <c:numRef>
              <c:f>'Subsonic Aircraft'!$R$20:$R$21</c:f>
              <c:numCache>
                <c:formatCode>0.0000</c:formatCode>
                <c:ptCount val="2"/>
                <c:pt idx="0">
                  <c:v>0.1879311770687733</c:v>
                </c:pt>
                <c:pt idx="1">
                  <c:v>0.14996415308724639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Aircraft'!$A$20:$A$21</c15:f>
                <c15:dlblRangeCache>
                  <c:ptCount val="2"/>
                  <c:pt idx="0">
                    <c:v>B747-400 (Cargo)</c:v>
                  </c:pt>
                  <c:pt idx="1">
                    <c:v>MD-11 (Cargo)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E61-4952-9CAE-98A3426BC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93792"/>
        <c:axId val="193395712"/>
      </c:scatterChart>
      <c:valAx>
        <c:axId val="193393792"/>
        <c:scaling>
          <c:orientation val="minMax"/>
          <c:max val="3.0000000000000009E-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1/V</a:t>
                </a:r>
                <a:r>
                  <a:rPr lang="en-GB" sz="1600" baseline="0"/>
                  <a:t> [s/m]</a:t>
                </a:r>
                <a:endParaRPr lang="en-GB" sz="1600"/>
              </a:p>
            </c:rich>
          </c:tx>
          <c:layout>
            <c:manualLayout>
              <c:xMode val="edge"/>
              <c:yMode val="edge"/>
              <c:x val="0.48309708729470285"/>
              <c:y val="0.9342703215422868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395712"/>
        <c:crosses val="autoZero"/>
        <c:crossBetween val="midCat"/>
      </c:valAx>
      <c:valAx>
        <c:axId val="193395712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1/(L/D)payload</a:t>
                </a:r>
              </a:p>
            </c:rich>
          </c:tx>
          <c:layout>
            <c:manualLayout>
              <c:xMode val="edge"/>
              <c:yMode val="edge"/>
              <c:x val="1.0247927215509068E-2"/>
              <c:y val="0.3803784559779881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393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19579148574902"/>
          <c:y val="5.724806706006981E-2"/>
          <c:w val="0.68169830520433439"/>
          <c:h val="0.84205491625136075"/>
        </c:manualLayout>
      </c:layout>
      <c:scatterChart>
        <c:scatterStyle val="smoothMarker"/>
        <c:varyColors val="0"/>
        <c:ser>
          <c:idx val="10"/>
          <c:order val="15"/>
          <c:tx>
            <c:v>Line VLBC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'a_E VLBC'!$B$2:$B$101</c:f>
              <c:numCache>
                <c:formatCode>General</c:formatCode>
                <c:ptCount val="10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</c:numCache>
            </c:numRef>
          </c:xVal>
          <c:yVal>
            <c:numRef>
              <c:f>'a_E VLBC'!$C$2:$C$101</c:f>
              <c:numCache>
                <c:formatCode>_(* #,##0.00_);_(* \(#,##0.00\);_(* "-"??_);_(@_)</c:formatCode>
                <c:ptCount val="100"/>
                <c:pt idx="0">
                  <c:v>335.21739130434781</c:v>
                </c:pt>
                <c:pt idx="1">
                  <c:v>33.521739130434781</c:v>
                </c:pt>
                <c:pt idx="2">
                  <c:v>16.760869565217391</c:v>
                </c:pt>
                <c:pt idx="3">
                  <c:v>11.17391304347826</c:v>
                </c:pt>
                <c:pt idx="4">
                  <c:v>8.3804347826086953</c:v>
                </c:pt>
                <c:pt idx="5">
                  <c:v>6.7043478260869565</c:v>
                </c:pt>
                <c:pt idx="6">
                  <c:v>5.5869565217391299</c:v>
                </c:pt>
                <c:pt idx="7">
                  <c:v>4.7888198757763973</c:v>
                </c:pt>
                <c:pt idx="8">
                  <c:v>4.1902173913043477</c:v>
                </c:pt>
                <c:pt idx="9">
                  <c:v>3.72463768115942</c:v>
                </c:pt>
                <c:pt idx="10">
                  <c:v>3.3521739130434782</c:v>
                </c:pt>
                <c:pt idx="11">
                  <c:v>3.0474308300395254</c:v>
                </c:pt>
                <c:pt idx="12">
                  <c:v>2.793478260869565</c:v>
                </c:pt>
                <c:pt idx="13">
                  <c:v>2.5785953177257523</c:v>
                </c:pt>
                <c:pt idx="14">
                  <c:v>2.3944099378881987</c:v>
                </c:pt>
                <c:pt idx="15">
                  <c:v>2.2347826086956522</c:v>
                </c:pt>
                <c:pt idx="16">
                  <c:v>2.0951086956521738</c:v>
                </c:pt>
                <c:pt idx="17">
                  <c:v>1.9718670076726341</c:v>
                </c:pt>
                <c:pt idx="18">
                  <c:v>1.86231884057971</c:v>
                </c:pt>
                <c:pt idx="19">
                  <c:v>1.7643020594965675</c:v>
                </c:pt>
                <c:pt idx="20">
                  <c:v>1.6760869565217391</c:v>
                </c:pt>
                <c:pt idx="21">
                  <c:v>1.5962732919254659</c:v>
                </c:pt>
                <c:pt idx="22">
                  <c:v>1.5237154150197627</c:v>
                </c:pt>
                <c:pt idx="23">
                  <c:v>1.4574669187145557</c:v>
                </c:pt>
                <c:pt idx="24">
                  <c:v>1.3967391304347825</c:v>
                </c:pt>
                <c:pt idx="25">
                  <c:v>1.3408695652173912</c:v>
                </c:pt>
                <c:pt idx="26">
                  <c:v>1.2892976588628762</c:v>
                </c:pt>
                <c:pt idx="27">
                  <c:v>1.2415458937198067</c:v>
                </c:pt>
                <c:pt idx="28">
                  <c:v>1.1972049689440993</c:v>
                </c:pt>
                <c:pt idx="29">
                  <c:v>1.1559220389805096</c:v>
                </c:pt>
                <c:pt idx="30">
                  <c:v>1.1173913043478261</c:v>
                </c:pt>
                <c:pt idx="31">
                  <c:v>1.0813464235624124</c:v>
                </c:pt>
                <c:pt idx="32">
                  <c:v>1.0475543478260869</c:v>
                </c:pt>
                <c:pt idx="33">
                  <c:v>1.0158102766798418</c:v>
                </c:pt>
                <c:pt idx="34">
                  <c:v>0.98593350383631706</c:v>
                </c:pt>
                <c:pt idx="35">
                  <c:v>0.95776397515527945</c:v>
                </c:pt>
                <c:pt idx="36">
                  <c:v>0.93115942028985499</c:v>
                </c:pt>
                <c:pt idx="37">
                  <c:v>0.90599294947121034</c:v>
                </c:pt>
                <c:pt idx="38">
                  <c:v>0.88215102974828374</c:v>
                </c:pt>
                <c:pt idx="39">
                  <c:v>0.85953177257525082</c:v>
                </c:pt>
                <c:pt idx="40">
                  <c:v>0.83804347826086956</c:v>
                </c:pt>
                <c:pt idx="41">
                  <c:v>0.81760339342523858</c:v>
                </c:pt>
                <c:pt idx="42">
                  <c:v>0.79813664596273293</c:v>
                </c:pt>
                <c:pt idx="43">
                  <c:v>0.77957532861476231</c:v>
                </c:pt>
                <c:pt idx="44">
                  <c:v>0.76185770750988135</c:v>
                </c:pt>
                <c:pt idx="45">
                  <c:v>0.74492753623188401</c:v>
                </c:pt>
                <c:pt idx="46">
                  <c:v>0.72873345935727785</c:v>
                </c:pt>
                <c:pt idx="47">
                  <c:v>0.7132284921369102</c:v>
                </c:pt>
                <c:pt idx="48">
                  <c:v>0.69836956521739124</c:v>
                </c:pt>
                <c:pt idx="49">
                  <c:v>0.68411712511091394</c:v>
                </c:pt>
                <c:pt idx="50">
                  <c:v>0.6704347826086956</c:v>
                </c:pt>
                <c:pt idx="51">
                  <c:v>0.65728900255754474</c:v>
                </c:pt>
                <c:pt idx="52">
                  <c:v>0.64464882943143809</c:v>
                </c:pt>
                <c:pt idx="53">
                  <c:v>0.63248564397046758</c:v>
                </c:pt>
                <c:pt idx="54">
                  <c:v>0.62077294685990336</c:v>
                </c:pt>
                <c:pt idx="55">
                  <c:v>0.60948616600790506</c:v>
                </c:pt>
                <c:pt idx="56">
                  <c:v>0.59860248447204967</c:v>
                </c:pt>
                <c:pt idx="57">
                  <c:v>0.58810068649885583</c:v>
                </c:pt>
                <c:pt idx="58">
                  <c:v>0.5779610194902548</c:v>
                </c:pt>
                <c:pt idx="59">
                  <c:v>0.56816507000736916</c:v>
                </c:pt>
                <c:pt idx="60">
                  <c:v>0.55869565217391304</c:v>
                </c:pt>
                <c:pt idx="61">
                  <c:v>0.54953670705630786</c:v>
                </c:pt>
                <c:pt idx="62">
                  <c:v>0.5406732117812062</c:v>
                </c:pt>
                <c:pt idx="63">
                  <c:v>0.53209109730848858</c:v>
                </c:pt>
                <c:pt idx="64">
                  <c:v>0.52377717391304346</c:v>
                </c:pt>
                <c:pt idx="65">
                  <c:v>0.51571906354515051</c:v>
                </c:pt>
                <c:pt idx="66">
                  <c:v>0.5079051383399209</c:v>
                </c:pt>
                <c:pt idx="67">
                  <c:v>0.50032446463335489</c:v>
                </c:pt>
                <c:pt idx="68">
                  <c:v>0.49296675191815853</c:v>
                </c:pt>
                <c:pt idx="69">
                  <c:v>0.48582230623818523</c:v>
                </c:pt>
                <c:pt idx="70">
                  <c:v>0.47888198757763972</c:v>
                </c:pt>
                <c:pt idx="71">
                  <c:v>0.47213717085119411</c:v>
                </c:pt>
                <c:pt idx="72">
                  <c:v>0.46557971014492749</c:v>
                </c:pt>
                <c:pt idx="73">
                  <c:v>0.45920190589636689</c:v>
                </c:pt>
                <c:pt idx="74">
                  <c:v>0.45299647473560517</c:v>
                </c:pt>
                <c:pt idx="75">
                  <c:v>0.44695652173913042</c:v>
                </c:pt>
                <c:pt idx="76">
                  <c:v>0.44107551487414187</c:v>
                </c:pt>
                <c:pt idx="77">
                  <c:v>0.43534726143421792</c:v>
                </c:pt>
                <c:pt idx="78">
                  <c:v>0.42976588628762541</c:v>
                </c:pt>
                <c:pt idx="79">
                  <c:v>0.42432581177765544</c:v>
                </c:pt>
                <c:pt idx="80">
                  <c:v>0.41902173913043478</c:v>
                </c:pt>
                <c:pt idx="81">
                  <c:v>0.41384863123993559</c:v>
                </c:pt>
                <c:pt idx="82">
                  <c:v>0.40880169671261929</c:v>
                </c:pt>
                <c:pt idx="83">
                  <c:v>0.4038763750654793</c:v>
                </c:pt>
                <c:pt idx="84">
                  <c:v>0.39906832298136646</c:v>
                </c:pt>
                <c:pt idx="85">
                  <c:v>0.39437340153452682</c:v>
                </c:pt>
                <c:pt idx="86">
                  <c:v>0.38978766430738115</c:v>
                </c:pt>
                <c:pt idx="87">
                  <c:v>0.38530734632683655</c:v>
                </c:pt>
                <c:pt idx="88">
                  <c:v>0.38092885375494068</c:v>
                </c:pt>
                <c:pt idx="89">
                  <c:v>0.37664875427454808</c:v>
                </c:pt>
                <c:pt idx="90">
                  <c:v>0.37246376811594201</c:v>
                </c:pt>
                <c:pt idx="91">
                  <c:v>0.36837075967510746</c:v>
                </c:pt>
                <c:pt idx="92">
                  <c:v>0.36436672967863892</c:v>
                </c:pt>
                <c:pt idx="93">
                  <c:v>0.36044880785413741</c:v>
                </c:pt>
                <c:pt idx="94">
                  <c:v>0.3566142460684551</c:v>
                </c:pt>
                <c:pt idx="95">
                  <c:v>0.3528604118993135</c:v>
                </c:pt>
                <c:pt idx="96">
                  <c:v>0.34918478260869562</c:v>
                </c:pt>
                <c:pt idx="97">
                  <c:v>0.34558493948901836</c:v>
                </c:pt>
                <c:pt idx="98">
                  <c:v>0.34205856255545697</c:v>
                </c:pt>
                <c:pt idx="99">
                  <c:v>0.33860342555994727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772-4257-BD19-1F4EC60F5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02272"/>
        <c:axId val="106904192"/>
      </c:scatterChart>
      <c:scatterChart>
        <c:scatterStyle val="lineMarker"/>
        <c:varyColors val="0"/>
        <c:ser>
          <c:idx val="0"/>
          <c:order val="0"/>
          <c:tx>
            <c:v>Subsonic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'Subsonic Aircraft'!$I$5:$I$19</c:f>
              <c:numCache>
                <c:formatCode>0.00</c:formatCode>
                <c:ptCount val="15"/>
                <c:pt idx="0">
                  <c:v>231.48</c:v>
                </c:pt>
                <c:pt idx="1">
                  <c:v>230.45</c:v>
                </c:pt>
                <c:pt idx="2">
                  <c:v>246.91</c:v>
                </c:pt>
                <c:pt idx="3">
                  <c:v>248.97</c:v>
                </c:pt>
                <c:pt idx="4">
                  <c:v>257.2</c:v>
                </c:pt>
                <c:pt idx="5">
                  <c:v>252.58</c:v>
                </c:pt>
                <c:pt idx="6">
                  <c:v>263.89</c:v>
                </c:pt>
                <c:pt idx="7">
                  <c:v>252.57</c:v>
                </c:pt>
                <c:pt idx="8">
                  <c:v>251.03</c:v>
                </c:pt>
                <c:pt idx="9">
                  <c:v>224.79</c:v>
                </c:pt>
                <c:pt idx="10">
                  <c:v>262.42</c:v>
                </c:pt>
                <c:pt idx="11">
                  <c:v>212.96</c:v>
                </c:pt>
                <c:pt idx="12">
                  <c:v>236.11</c:v>
                </c:pt>
                <c:pt idx="13">
                  <c:v>191.78</c:v>
                </c:pt>
                <c:pt idx="14">
                  <c:v>253.6</c:v>
                </c:pt>
              </c:numCache>
            </c:numRef>
          </c:xVal>
          <c:yVal>
            <c:numRef>
              <c:f>'Subsonic Aircraft'!$Y$5:$Y$19</c:f>
              <c:numCache>
                <c:formatCode>0.00</c:formatCode>
                <c:ptCount val="15"/>
                <c:pt idx="0">
                  <c:v>0.18252533599951423</c:v>
                </c:pt>
                <c:pt idx="1">
                  <c:v>0.1548259434417574</c:v>
                </c:pt>
                <c:pt idx="2">
                  <c:v>0.15978433618409421</c:v>
                </c:pt>
                <c:pt idx="3">
                  <c:v>0.15853098003045168</c:v>
                </c:pt>
                <c:pt idx="4">
                  <c:v>0.15822256259151929</c:v>
                </c:pt>
                <c:pt idx="5">
                  <c:v>0.1058484573224899</c:v>
                </c:pt>
                <c:pt idx="6">
                  <c:v>0.14596570755116872</c:v>
                </c:pt>
                <c:pt idx="7">
                  <c:v>0.18214442560539532</c:v>
                </c:pt>
                <c:pt idx="8">
                  <c:v>0.19423436611506129</c:v>
                </c:pt>
                <c:pt idx="9">
                  <c:v>0.24377462412089865</c:v>
                </c:pt>
                <c:pt idx="10">
                  <c:v>0.15815024798121827</c:v>
                </c:pt>
                <c:pt idx="11">
                  <c:v>0.11802224490347964</c:v>
                </c:pt>
                <c:pt idx="12">
                  <c:v>8.1716469228110392E-2</c:v>
                </c:pt>
                <c:pt idx="13">
                  <c:v>2.6095288065960349E-2</c:v>
                </c:pt>
                <c:pt idx="14">
                  <c:v>5.1947144760596219E-2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2D-4E31-B9D4-54442BCDB7C2}"/>
            </c:ext>
          </c:extLst>
        </c:ser>
        <c:ser>
          <c:idx val="11"/>
          <c:order val="1"/>
          <c:tx>
            <c:v>Supersonic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'Supersonic Aircraft'!$F$5</c:f>
              <c:numCache>
                <c:formatCode>0.000</c:formatCode>
                <c:ptCount val="1"/>
                <c:pt idx="0">
                  <c:v>599.44444444444446</c:v>
                </c:pt>
              </c:numCache>
            </c:numRef>
          </c:xVal>
          <c:yVal>
            <c:numRef>
              <c:f>'Supersonic Aircraft'!$W$5</c:f>
              <c:numCache>
                <c:formatCode>0.000</c:formatCode>
                <c:ptCount val="1"/>
                <c:pt idx="0">
                  <c:v>2.2841505587892146E-2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51-4179-A5B4-B3A3D215C4E0}"/>
            </c:ext>
          </c:extLst>
        </c:ser>
        <c:ser>
          <c:idx val="15"/>
          <c:order val="2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'Subsonic Aircraft'!$I$20:$I$21</c:f>
              <c:numCache>
                <c:formatCode>0.00</c:formatCode>
                <c:ptCount val="2"/>
                <c:pt idx="0">
                  <c:v>252.58</c:v>
                </c:pt>
                <c:pt idx="1">
                  <c:v>262.42</c:v>
                </c:pt>
              </c:numCache>
            </c:numRef>
          </c:xVal>
          <c:yVal>
            <c:numRef>
              <c:f>'Subsonic Aircraft'!$Y$20:$Y$21</c:f>
              <c:numCache>
                <c:formatCode>0.00</c:formatCode>
                <c:ptCount val="2"/>
                <c:pt idx="0">
                  <c:v>0.19548386358711731</c:v>
                </c:pt>
                <c:pt idx="1">
                  <c:v>0.2617394288746499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EA-4603-9B4A-321117C4F3A5}"/>
            </c:ext>
          </c:extLst>
        </c:ser>
        <c:ser>
          <c:idx val="1"/>
          <c:order val="3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Helicopter!$D$5:$D$8</c:f>
              <c:numCache>
                <c:formatCode>General</c:formatCode>
                <c:ptCount val="4"/>
                <c:pt idx="0">
                  <c:v>55.56</c:v>
                </c:pt>
                <c:pt idx="1">
                  <c:v>56.11</c:v>
                </c:pt>
                <c:pt idx="2">
                  <c:v>65.28</c:v>
                </c:pt>
                <c:pt idx="3">
                  <c:v>56.67</c:v>
                </c:pt>
              </c:numCache>
            </c:numRef>
          </c:xVal>
          <c:yVal>
            <c:numRef>
              <c:f>Helicopter!$S$5:$S$8</c:f>
              <c:numCache>
                <c:formatCode>_-* #,##0.000_-;\-* #,##0.000_-;_-* "-"??_-;_-@_-</c:formatCode>
                <c:ptCount val="4"/>
                <c:pt idx="0">
                  <c:v>5.6119186046511629E-2</c:v>
                </c:pt>
                <c:pt idx="1">
                  <c:v>5.9316860465116285E-2</c:v>
                </c:pt>
                <c:pt idx="2">
                  <c:v>3.6189158205044217E-2</c:v>
                </c:pt>
                <c:pt idx="3">
                  <c:v>3.7292617546910094E-2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2D-4E31-B9D4-54442BCDB7C2}"/>
            </c:ext>
          </c:extLst>
        </c:ser>
        <c:ser>
          <c:idx val="2"/>
          <c:order val="4"/>
          <c:tx>
            <c:v>Airship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Airship!$G$5</c:f>
              <c:numCache>
                <c:formatCode>0.00</c:formatCode>
                <c:ptCount val="1"/>
                <c:pt idx="0">
                  <c:v>34.72</c:v>
                </c:pt>
              </c:numCache>
            </c:numRef>
          </c:xVal>
          <c:yVal>
            <c:numRef>
              <c:f>Airship!$AA$5</c:f>
              <c:numCache>
                <c:formatCode>0.00</c:formatCode>
                <c:ptCount val="1"/>
                <c:pt idx="0">
                  <c:v>0.21376091592128801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E2D-4E31-B9D4-54442BCDB7C2}"/>
            </c:ext>
          </c:extLst>
        </c:ser>
        <c:ser>
          <c:idx val="4"/>
          <c:order val="6"/>
          <c:tx>
            <c:v>Bulker, Tanker, Container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'Bulker, Tanker, Container'!$D$5:$D$21</c:f>
              <c:numCache>
                <c:formatCode>0.00</c:formatCode>
                <c:ptCount val="17"/>
                <c:pt idx="0">
                  <c:v>6.7847999999999997</c:v>
                </c:pt>
                <c:pt idx="1">
                  <c:v>7.0983400000000003</c:v>
                </c:pt>
                <c:pt idx="2">
                  <c:v>7.3553400000000009</c:v>
                </c:pt>
                <c:pt idx="3">
                  <c:v>7.5146799999999994</c:v>
                </c:pt>
                <c:pt idx="4">
                  <c:v>7.6072000000000006</c:v>
                </c:pt>
                <c:pt idx="5">
                  <c:v>7.71</c:v>
                </c:pt>
                <c:pt idx="6">
                  <c:v>7.1446000000000005</c:v>
                </c:pt>
                <c:pt idx="7">
                  <c:v>7.47356</c:v>
                </c:pt>
                <c:pt idx="8">
                  <c:v>7.71</c:v>
                </c:pt>
                <c:pt idx="9">
                  <c:v>7.71</c:v>
                </c:pt>
                <c:pt idx="10">
                  <c:v>7.71</c:v>
                </c:pt>
                <c:pt idx="11">
                  <c:v>7.71</c:v>
                </c:pt>
                <c:pt idx="12">
                  <c:v>7.9670000000000005</c:v>
                </c:pt>
                <c:pt idx="13">
                  <c:v>10.280000000000001</c:v>
                </c:pt>
                <c:pt idx="14">
                  <c:v>10.742599999999999</c:v>
                </c:pt>
                <c:pt idx="15">
                  <c:v>11.256599999999999</c:v>
                </c:pt>
                <c:pt idx="16">
                  <c:v>12.079000000000001</c:v>
                </c:pt>
              </c:numCache>
            </c:numRef>
          </c:xVal>
          <c:yVal>
            <c:numRef>
              <c:f>'Bulker, Tanker, Container'!$S$5:$S$21</c:f>
              <c:numCache>
                <c:formatCode>0.00</c:formatCode>
                <c:ptCount val="17"/>
                <c:pt idx="0">
                  <c:v>7.1428571428571423</c:v>
                </c:pt>
                <c:pt idx="1">
                  <c:v>12.195121951219512</c:v>
                </c:pt>
                <c:pt idx="2">
                  <c:v>17.857142857142858</c:v>
                </c:pt>
                <c:pt idx="3">
                  <c:v>25</c:v>
                </c:pt>
                <c:pt idx="4">
                  <c:v>26.315789473684212</c:v>
                </c:pt>
                <c:pt idx="5">
                  <c:v>43.478260869565219</c:v>
                </c:pt>
                <c:pt idx="6">
                  <c:v>5.9880239520958076</c:v>
                </c:pt>
                <c:pt idx="7">
                  <c:v>10.869565217391305</c:v>
                </c:pt>
                <c:pt idx="8">
                  <c:v>15.873015873015873</c:v>
                </c:pt>
                <c:pt idx="9">
                  <c:v>20</c:v>
                </c:pt>
                <c:pt idx="10">
                  <c:v>25.641025641025642</c:v>
                </c:pt>
                <c:pt idx="11">
                  <c:v>33.333333333333336</c:v>
                </c:pt>
                <c:pt idx="12">
                  <c:v>40</c:v>
                </c:pt>
                <c:pt idx="13">
                  <c:v>6.4982456140350884</c:v>
                </c:pt>
                <c:pt idx="14">
                  <c:v>7.6213991769547329</c:v>
                </c:pt>
                <c:pt idx="15">
                  <c:v>8.8612440191387556</c:v>
                </c:pt>
                <c:pt idx="16">
                  <c:v>14.816000000000001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8E2D-4E31-B9D4-54442BCDB7C2}"/>
            </c:ext>
          </c:extLst>
        </c:ser>
        <c:ser>
          <c:idx val="5"/>
          <c:order val="7"/>
          <c:tx>
            <c:v>Cruise 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'Cruise Ship'!$C$5:$C$7</c:f>
              <c:numCache>
                <c:formatCode>0.00</c:formatCode>
                <c:ptCount val="3"/>
                <c:pt idx="0">
                  <c:v>13.375</c:v>
                </c:pt>
                <c:pt idx="1">
                  <c:v>10.802777777777777</c:v>
                </c:pt>
                <c:pt idx="2">
                  <c:v>11.316666666666666</c:v>
                </c:pt>
              </c:numCache>
            </c:numRef>
          </c:xVal>
          <c:yVal>
            <c:numRef>
              <c:f>'Cruise Ship'!$AF$5:$AF$7</c:f>
              <c:numCache>
                <c:formatCode>0.00</c:formatCode>
                <c:ptCount val="3"/>
                <c:pt idx="0">
                  <c:v>8.2040889830508459E-2</c:v>
                </c:pt>
                <c:pt idx="1">
                  <c:v>8.5331838591887643E-2</c:v>
                </c:pt>
                <c:pt idx="2">
                  <c:v>6.6280587532238769E-2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76-4EA8-8666-42C93F481D75}"/>
            </c:ext>
          </c:extLst>
        </c:ser>
        <c:ser>
          <c:idx val="6"/>
          <c:order val="8"/>
          <c:tx>
            <c:v>Car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99"/>
              </a:solidFill>
              <a:ln w="9525">
                <a:noFill/>
              </a:ln>
              <a:effectLst/>
            </c:spPr>
          </c:marker>
          <c:xVal>
            <c:numRef>
              <c:f>Car!$B$5:$B$8</c:f>
              <c:numCache>
                <c:formatCode>0.00</c:formatCode>
                <c:ptCount val="4"/>
                <c:pt idx="0">
                  <c:v>27.78</c:v>
                </c:pt>
                <c:pt idx="1">
                  <c:v>27.78</c:v>
                </c:pt>
                <c:pt idx="2">
                  <c:v>27.78</c:v>
                </c:pt>
                <c:pt idx="3">
                  <c:v>27.78</c:v>
                </c:pt>
              </c:numCache>
            </c:numRef>
          </c:xVal>
          <c:yVal>
            <c:numRef>
              <c:f>Car!$X$5:$X$8</c:f>
              <c:numCache>
                <c:formatCode>0.00</c:formatCode>
                <c:ptCount val="4"/>
                <c:pt idx="0">
                  <c:v>8.1928512053200342E-2</c:v>
                </c:pt>
                <c:pt idx="1">
                  <c:v>0.30430590191188694</c:v>
                </c:pt>
                <c:pt idx="2">
                  <c:v>0.80941869021339208</c:v>
                </c:pt>
                <c:pt idx="3">
                  <c:v>0.51570557899671821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76-4EA8-8666-42C93F481D75}"/>
            </c:ext>
          </c:extLst>
        </c:ser>
        <c:ser>
          <c:idx val="13"/>
          <c:order val="9"/>
          <c:tx>
            <c:v>Truck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CC"/>
              </a:solidFill>
              <a:ln w="9525">
                <a:noFill/>
              </a:ln>
              <a:effectLst/>
            </c:spPr>
          </c:marker>
          <c:xVal>
            <c:numRef>
              <c:f>Truck!$B$5:$B$7</c:f>
              <c:numCache>
                <c:formatCode>0.00</c:formatCode>
                <c:ptCount val="3"/>
                <c:pt idx="0">
                  <c:v>27.78</c:v>
                </c:pt>
                <c:pt idx="1">
                  <c:v>16.670000000000002</c:v>
                </c:pt>
                <c:pt idx="2">
                  <c:v>27.78</c:v>
                </c:pt>
              </c:numCache>
            </c:numRef>
          </c:xVal>
          <c:yVal>
            <c:numRef>
              <c:f>Truck!$V$5:$V$7</c:f>
              <c:numCache>
                <c:formatCode>0.00</c:formatCode>
                <c:ptCount val="3"/>
                <c:pt idx="0">
                  <c:v>2.1357380161366875</c:v>
                </c:pt>
                <c:pt idx="1">
                  <c:v>2.1357380161366875</c:v>
                </c:pt>
                <c:pt idx="2">
                  <c:v>1.8161683277962346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C3-49DC-991B-A5978F5F6CE2}"/>
            </c:ext>
          </c:extLst>
        </c:ser>
        <c:ser>
          <c:idx val="14"/>
          <c:order val="10"/>
          <c:tx>
            <c:v>Bus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3FA60"/>
              </a:solidFill>
              <a:ln w="9525">
                <a:noFill/>
              </a:ln>
              <a:effectLst/>
            </c:spPr>
          </c:marker>
          <c:xVal>
            <c:numRef>
              <c:f>Bus!$B$5</c:f>
              <c:numCache>
                <c:formatCode>0.00</c:formatCode>
                <c:ptCount val="1"/>
                <c:pt idx="0">
                  <c:v>27.78</c:v>
                </c:pt>
              </c:numCache>
            </c:numRef>
          </c:xVal>
          <c:yVal>
            <c:numRef>
              <c:f>Bus!$V$5</c:f>
              <c:numCache>
                <c:formatCode>0.00</c:formatCode>
                <c:ptCount val="1"/>
                <c:pt idx="0">
                  <c:v>0.89774085309799601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C3-49DC-991B-A5978F5F6CE2}"/>
            </c:ext>
          </c:extLst>
        </c:ser>
        <c:ser>
          <c:idx val="7"/>
          <c:order val="11"/>
          <c:tx>
            <c:v>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D4D4D"/>
              </a:solidFill>
              <a:ln w="9525">
                <a:noFill/>
              </a:ln>
              <a:effectLst/>
            </c:spPr>
          </c:marker>
          <c:xVal>
            <c:numRef>
              <c:f>Train!$C$5:$C$6</c:f>
              <c:numCache>
                <c:formatCode>_(* #,##0.00_);_(* \(#,##0.00\);_(* "-"??_);_(@_)</c:formatCode>
                <c:ptCount val="2"/>
                <c:pt idx="0">
                  <c:v>88.888888888888886</c:v>
                </c:pt>
                <c:pt idx="1">
                  <c:v>83.333333333333329</c:v>
                </c:pt>
              </c:numCache>
            </c:numRef>
          </c:xVal>
          <c:yVal>
            <c:numRef>
              <c:f>Train!$P$5:$P$6</c:f>
              <c:numCache>
                <c:formatCode>_(* #,##0.00_);_(* \(#,##0.00\);_(* "-"??_);_(@_)</c:formatCode>
                <c:ptCount val="2"/>
                <c:pt idx="0">
                  <c:v>0.51250000000000007</c:v>
                </c:pt>
                <c:pt idx="1">
                  <c:v>0.51250000000000007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F76-4EA8-8666-42C93F481D75}"/>
            </c:ext>
          </c:extLst>
        </c:ser>
        <c:ser>
          <c:idx val="8"/>
          <c:order val="12"/>
          <c:tx>
            <c:v>Human and Animal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C66FF"/>
              </a:solidFill>
              <a:ln w="9525">
                <a:noFill/>
              </a:ln>
              <a:effectLst/>
            </c:spPr>
          </c:marker>
          <c:xVal>
            <c:numRef>
              <c:f>'Human and Animal'!$F$5:$F$13</c:f>
              <c:numCache>
                <c:formatCode>0.00</c:formatCode>
                <c:ptCount val="9"/>
                <c:pt idx="0">
                  <c:v>1.3410818059901652</c:v>
                </c:pt>
                <c:pt idx="1">
                  <c:v>4.0232454179704957</c:v>
                </c:pt>
                <c:pt idx="2">
                  <c:v>10.013410818059901</c:v>
                </c:pt>
                <c:pt idx="3">
                  <c:v>6.9289226642825206</c:v>
                </c:pt>
                <c:pt idx="4">
                  <c:v>11.175681716584711</c:v>
                </c:pt>
                <c:pt idx="5">
                  <c:v>17.031738936075101</c:v>
                </c:pt>
                <c:pt idx="6">
                  <c:v>2.0116227089852479</c:v>
                </c:pt>
                <c:pt idx="7">
                  <c:v>4.0232454179704957</c:v>
                </c:pt>
                <c:pt idx="8">
                  <c:v>17.210549843540456</c:v>
                </c:pt>
              </c:numCache>
            </c:numRef>
          </c:xVal>
          <c:yVal>
            <c:numRef>
              <c:f>'Human and Animal'!$U$5:$U$13</c:f>
              <c:numCache>
                <c:formatCode>0.00</c:formatCode>
                <c:ptCount val="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0.90909090909090906</c:v>
                </c:pt>
                <c:pt idx="4">
                  <c:v>0.90909090909090906</c:v>
                </c:pt>
                <c:pt idx="5">
                  <c:v>0.90909090909090906</c:v>
                </c:pt>
                <c:pt idx="6">
                  <c:v>0.24663677130044842</c:v>
                </c:pt>
                <c:pt idx="7">
                  <c:v>0.24663677130044842</c:v>
                </c:pt>
                <c:pt idx="8">
                  <c:v>0.24663677130044842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F76-4EA8-8666-42C93F481D75}"/>
            </c:ext>
          </c:extLst>
        </c:ser>
        <c:ser>
          <c:idx val="9"/>
          <c:order val="13"/>
          <c:tx>
            <c:v>Pipeline for Passenger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Hyperloop!$F$5:$F$6</c:f>
              <c:numCache>
                <c:formatCode>0.00</c:formatCode>
                <c:ptCount val="2"/>
                <c:pt idx="0">
                  <c:v>339.75</c:v>
                </c:pt>
                <c:pt idx="1">
                  <c:v>339.75</c:v>
                </c:pt>
              </c:numCache>
            </c:numRef>
          </c:xVal>
          <c:yVal>
            <c:numRef>
              <c:f>Hyperloop!$S$5:$S$6</c:f>
              <c:numCache>
                <c:formatCode>0.00</c:formatCode>
                <c:ptCount val="2"/>
                <c:pt idx="0">
                  <c:v>0.63131313131313116</c:v>
                </c:pt>
                <c:pt idx="1">
                  <c:v>0.63131313131313116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F76-4EA8-8666-42C93F481D75}"/>
            </c:ext>
          </c:extLst>
        </c:ser>
        <c:ser>
          <c:idx val="12"/>
          <c:order val="14"/>
          <c:tx>
            <c:v>Oil and Gas Pipeline (Electric)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Pipeline'!$T$5:$T$7</c:f>
              <c:numCache>
                <c:formatCode>_(* #,##0.00_);_(* \(#,##0.00\);_(* "-"??_);_(@_)</c:formatCode>
                <c:ptCount val="3"/>
                <c:pt idx="0">
                  <c:v>7.1280147683832338</c:v>
                </c:pt>
                <c:pt idx="1">
                  <c:v>3.0479966656869308</c:v>
                </c:pt>
                <c:pt idx="2">
                  <c:v>1.2426350338722167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3F-4DBB-8A24-76213959241E}"/>
            </c:ext>
          </c:extLst>
        </c:ser>
        <c:ser>
          <c:idx val="16"/>
          <c:order val="16"/>
          <c:tx>
            <c:v>Oil and Gas Pipeline (Diesel)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Pipeline'!$V$5:$V$7</c:f>
              <c:numCache>
                <c:formatCode>_(* #,##0.00_);_(* \(#,##0.00\);_(* "-"??_);_(@_)</c:formatCode>
                <c:ptCount val="3"/>
                <c:pt idx="0">
                  <c:v>0.46763838763614057</c:v>
                </c:pt>
                <c:pt idx="1">
                  <c:v>1.0936144946805892</c:v>
                </c:pt>
                <c:pt idx="2">
                  <c:v>2.6824717173362012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A4-45C0-B2DA-C86D67709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02272"/>
        <c:axId val="10690419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5"/>
                <c:tx>
                  <c:v>Unpowered Flight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Glider!$F$5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30.85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Glider!$O$6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619.0971428571429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6-8E2D-4E31-B9D4-54442BCDB7C2}"/>
                  </c:ext>
                </c:extLst>
              </c15:ser>
            </c15:filteredScatterSeries>
          </c:ext>
        </c:extLst>
      </c:scatterChart>
      <c:valAx>
        <c:axId val="10690227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Cruise</a:t>
                </a:r>
                <a:r>
                  <a:rPr lang="en-GB" sz="1600" baseline="0"/>
                  <a:t> speed [m/s]</a:t>
                </a:r>
                <a:endParaRPr lang="en-GB" sz="1600"/>
              </a:p>
            </c:rich>
          </c:tx>
          <c:layout>
            <c:manualLayout>
              <c:xMode val="edge"/>
              <c:yMode val="edge"/>
              <c:x val="0.38034447543162514"/>
              <c:y val="0.942870833222963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904192"/>
        <c:crosses val="autoZero"/>
        <c:crossBetween val="midCat"/>
      </c:valAx>
      <c:valAx>
        <c:axId val="106904192"/>
        <c:scaling>
          <c:logBase val="10"/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aseline="0"/>
                  <a:t>s*m/E [mkg/J]</a:t>
                </a:r>
                <a:endParaRPr lang="en-GB" sz="1600"/>
              </a:p>
            </c:rich>
          </c:tx>
          <c:layout>
            <c:manualLayout>
              <c:xMode val="edge"/>
              <c:yMode val="edge"/>
              <c:x val="8.6931183259775068E-3"/>
              <c:y val="0.4026088593560203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902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0040281807714841"/>
          <c:y val="5.7166178362541502E-2"/>
          <c:w val="0.18859913049573837"/>
          <c:h val="0.843344824411034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Inverse of Primary Energy Consumption per Payload Range for Aircraft </a:t>
            </a:r>
            <a:r>
              <a:rPr lang="en-GB" sz="1400" b="0" i="0" baseline="0">
                <a:effectLst/>
              </a:rPr>
              <a:t>in Pareto Front Curve </a:t>
            </a:r>
            <a:endParaRPr lang="x-none" sz="14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3"/>
          <c:order val="3"/>
          <c:tx>
            <c:v>Line MD-11 (Cargo)</c:v>
          </c:tx>
          <c:spPr>
            <a:ln w="158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'a_Eprim MD-11(Cargo)'!$D$2:$D$104</c:f>
              <c:numCache>
                <c:formatCode>_(* #,##0.00_);_(* \(#,##0.00\);_(* "-"??_);_(@_)</c:formatCode>
                <c:ptCount val="103"/>
                <c:pt idx="0">
                  <c:v>0.1</c:v>
                </c:pt>
                <c:pt idx="1">
                  <c:v>0.05</c:v>
                </c:pt>
                <c:pt idx="2">
                  <c:v>3.3333333333333333E-2</c:v>
                </c:pt>
                <c:pt idx="3">
                  <c:v>2.5000000000000001E-2</c:v>
                </c:pt>
                <c:pt idx="4">
                  <c:v>0.02</c:v>
                </c:pt>
                <c:pt idx="5">
                  <c:v>1.6666666666666666E-2</c:v>
                </c:pt>
                <c:pt idx="6">
                  <c:v>1.4285714285714285E-2</c:v>
                </c:pt>
                <c:pt idx="7">
                  <c:v>1.2500000000000001E-2</c:v>
                </c:pt>
                <c:pt idx="8">
                  <c:v>1.1111111111111112E-2</c:v>
                </c:pt>
                <c:pt idx="9">
                  <c:v>0.01</c:v>
                </c:pt>
                <c:pt idx="10">
                  <c:v>9.0909090909090905E-3</c:v>
                </c:pt>
                <c:pt idx="11">
                  <c:v>8.3333333333333332E-3</c:v>
                </c:pt>
                <c:pt idx="12">
                  <c:v>7.6923076923076927E-3</c:v>
                </c:pt>
                <c:pt idx="13">
                  <c:v>7.1428571428571426E-3</c:v>
                </c:pt>
                <c:pt idx="14">
                  <c:v>6.6666666666666671E-3</c:v>
                </c:pt>
                <c:pt idx="15">
                  <c:v>6.2500000000000003E-3</c:v>
                </c:pt>
                <c:pt idx="16">
                  <c:v>5.8823529411764705E-3</c:v>
                </c:pt>
                <c:pt idx="17">
                  <c:v>5.5555555555555558E-3</c:v>
                </c:pt>
                <c:pt idx="18">
                  <c:v>5.263157894736842E-3</c:v>
                </c:pt>
                <c:pt idx="19">
                  <c:v>5.0000000000000001E-3</c:v>
                </c:pt>
                <c:pt idx="20">
                  <c:v>4.7619047619047623E-3</c:v>
                </c:pt>
                <c:pt idx="21">
                  <c:v>4.5454545454545452E-3</c:v>
                </c:pt>
                <c:pt idx="22">
                  <c:v>4.3478260869565218E-3</c:v>
                </c:pt>
                <c:pt idx="23">
                  <c:v>4.1666666666666666E-3</c:v>
                </c:pt>
                <c:pt idx="24">
                  <c:v>4.0000000000000001E-3</c:v>
                </c:pt>
                <c:pt idx="25">
                  <c:v>3.8461538461538464E-3</c:v>
                </c:pt>
                <c:pt idx="26">
                  <c:v>3.7037037037037038E-3</c:v>
                </c:pt>
                <c:pt idx="27">
                  <c:v>3.5714285714285713E-3</c:v>
                </c:pt>
                <c:pt idx="28">
                  <c:v>3.4482758620689655E-3</c:v>
                </c:pt>
                <c:pt idx="29">
                  <c:v>3.3333333333333335E-3</c:v>
                </c:pt>
                <c:pt idx="30">
                  <c:v>3.2258064516129032E-3</c:v>
                </c:pt>
                <c:pt idx="31">
                  <c:v>3.1250000000000002E-3</c:v>
                </c:pt>
                <c:pt idx="32">
                  <c:v>3.0303030303030303E-3</c:v>
                </c:pt>
                <c:pt idx="33">
                  <c:v>2.9411764705882353E-3</c:v>
                </c:pt>
                <c:pt idx="34">
                  <c:v>2.8571428571428571E-3</c:v>
                </c:pt>
                <c:pt idx="35">
                  <c:v>2.7777777777777779E-3</c:v>
                </c:pt>
                <c:pt idx="36">
                  <c:v>2.7027027027027029E-3</c:v>
                </c:pt>
                <c:pt idx="37">
                  <c:v>2.631578947368421E-3</c:v>
                </c:pt>
                <c:pt idx="38">
                  <c:v>2.5641025641025641E-3</c:v>
                </c:pt>
                <c:pt idx="39">
                  <c:v>2.5000000000000001E-3</c:v>
                </c:pt>
                <c:pt idx="40">
                  <c:v>2.4390243902439024E-3</c:v>
                </c:pt>
                <c:pt idx="41">
                  <c:v>2.3809523809523812E-3</c:v>
                </c:pt>
                <c:pt idx="42">
                  <c:v>2.3255813953488372E-3</c:v>
                </c:pt>
                <c:pt idx="43">
                  <c:v>2.2727272727272726E-3</c:v>
                </c:pt>
                <c:pt idx="44">
                  <c:v>2.2222222222222222E-3</c:v>
                </c:pt>
                <c:pt idx="45">
                  <c:v>2.1739130434782609E-3</c:v>
                </c:pt>
                <c:pt idx="46">
                  <c:v>2.1276595744680851E-3</c:v>
                </c:pt>
                <c:pt idx="47">
                  <c:v>2.0833333333333333E-3</c:v>
                </c:pt>
                <c:pt idx="48">
                  <c:v>2.0408163265306124E-3</c:v>
                </c:pt>
                <c:pt idx="49">
                  <c:v>2E-3</c:v>
                </c:pt>
                <c:pt idx="50">
                  <c:v>1.9607843137254902E-3</c:v>
                </c:pt>
                <c:pt idx="51">
                  <c:v>1.9230769230769232E-3</c:v>
                </c:pt>
                <c:pt idx="52">
                  <c:v>1.8867924528301887E-3</c:v>
                </c:pt>
                <c:pt idx="53">
                  <c:v>1.8518518518518519E-3</c:v>
                </c:pt>
                <c:pt idx="54">
                  <c:v>1.8181818181818182E-3</c:v>
                </c:pt>
                <c:pt idx="55">
                  <c:v>1.7857142857142857E-3</c:v>
                </c:pt>
                <c:pt idx="56">
                  <c:v>1.7543859649122807E-3</c:v>
                </c:pt>
                <c:pt idx="57">
                  <c:v>1.7241379310344827E-3</c:v>
                </c:pt>
                <c:pt idx="58">
                  <c:v>1.6949152542372881E-3</c:v>
                </c:pt>
                <c:pt idx="59">
                  <c:v>1.6666666666666668E-3</c:v>
                </c:pt>
                <c:pt idx="60">
                  <c:v>1.639344262295082E-3</c:v>
                </c:pt>
                <c:pt idx="61">
                  <c:v>1.6129032258064516E-3</c:v>
                </c:pt>
                <c:pt idx="62">
                  <c:v>1.5873015873015873E-3</c:v>
                </c:pt>
                <c:pt idx="63">
                  <c:v>1.5625000000000001E-3</c:v>
                </c:pt>
                <c:pt idx="64">
                  <c:v>1.5384615384615385E-3</c:v>
                </c:pt>
                <c:pt idx="65">
                  <c:v>1.5151515151515152E-3</c:v>
                </c:pt>
                <c:pt idx="66">
                  <c:v>1.4925373134328358E-3</c:v>
                </c:pt>
                <c:pt idx="67">
                  <c:v>1.4705882352941176E-3</c:v>
                </c:pt>
                <c:pt idx="68">
                  <c:v>1.4492753623188406E-3</c:v>
                </c:pt>
                <c:pt idx="69">
                  <c:v>1.4285714285714286E-3</c:v>
                </c:pt>
                <c:pt idx="70">
                  <c:v>1.4084507042253522E-3</c:v>
                </c:pt>
                <c:pt idx="71">
                  <c:v>1.3888888888888889E-3</c:v>
                </c:pt>
                <c:pt idx="72">
                  <c:v>1.3698630136986301E-3</c:v>
                </c:pt>
                <c:pt idx="73">
                  <c:v>1.3513513513513514E-3</c:v>
                </c:pt>
                <c:pt idx="74">
                  <c:v>1.3333333333333333E-3</c:v>
                </c:pt>
                <c:pt idx="75">
                  <c:v>1.3157894736842105E-3</c:v>
                </c:pt>
                <c:pt idx="76">
                  <c:v>1.2987012987012987E-3</c:v>
                </c:pt>
                <c:pt idx="77">
                  <c:v>1.2820512820512821E-3</c:v>
                </c:pt>
                <c:pt idx="78">
                  <c:v>1.2658227848101266E-3</c:v>
                </c:pt>
                <c:pt idx="79">
                  <c:v>1.25E-3</c:v>
                </c:pt>
                <c:pt idx="80">
                  <c:v>1.2345679012345679E-3</c:v>
                </c:pt>
                <c:pt idx="81">
                  <c:v>1.2195121951219512E-3</c:v>
                </c:pt>
                <c:pt idx="82">
                  <c:v>1.2048192771084338E-3</c:v>
                </c:pt>
                <c:pt idx="83">
                  <c:v>1.1904761904761906E-3</c:v>
                </c:pt>
                <c:pt idx="84">
                  <c:v>1.176470588235294E-3</c:v>
                </c:pt>
                <c:pt idx="85">
                  <c:v>1.1627906976744186E-3</c:v>
                </c:pt>
                <c:pt idx="86">
                  <c:v>1.1494252873563218E-3</c:v>
                </c:pt>
                <c:pt idx="87">
                  <c:v>1.1363636363636363E-3</c:v>
                </c:pt>
                <c:pt idx="88">
                  <c:v>1.1235955056179776E-3</c:v>
                </c:pt>
                <c:pt idx="89">
                  <c:v>1.1111111111111111E-3</c:v>
                </c:pt>
                <c:pt idx="90">
                  <c:v>1.0989010989010989E-3</c:v>
                </c:pt>
                <c:pt idx="91">
                  <c:v>1.0869565217391304E-3</c:v>
                </c:pt>
                <c:pt idx="92">
                  <c:v>1.0752688172043011E-3</c:v>
                </c:pt>
                <c:pt idx="93">
                  <c:v>1.0638297872340426E-3</c:v>
                </c:pt>
                <c:pt idx="94">
                  <c:v>1.0526315789473684E-3</c:v>
                </c:pt>
                <c:pt idx="95">
                  <c:v>1.0416666666666667E-3</c:v>
                </c:pt>
                <c:pt idx="96">
                  <c:v>1.0309278350515464E-3</c:v>
                </c:pt>
                <c:pt idx="97">
                  <c:v>1.0204081632653062E-3</c:v>
                </c:pt>
                <c:pt idx="98">
                  <c:v>1.0101010101010101E-3</c:v>
                </c:pt>
                <c:pt idx="99">
                  <c:v>1E-3</c:v>
                </c:pt>
                <c:pt idx="100">
                  <c:v>5.0000000000000001E-4</c:v>
                </c:pt>
                <c:pt idx="101">
                  <c:v>3.3333333333333332E-4</c:v>
                </c:pt>
                <c:pt idx="102">
                  <c:v>2.0000000000000001E-4</c:v>
                </c:pt>
              </c:numCache>
            </c:numRef>
          </c:xVal>
          <c:yVal>
            <c:numRef>
              <c:f>'a_Eprim MD-11(Cargo)'!$E$2:$E$104</c:f>
              <c:numCache>
                <c:formatCode>_(* #,##0.00_);_(* \(#,##0.00\);_(* "-"??_);_(@_)</c:formatCode>
                <c:ptCount val="103"/>
                <c:pt idx="0">
                  <c:v>0.16014987483290724</c:v>
                </c:pt>
                <c:pt idx="1">
                  <c:v>0.32029974966581448</c:v>
                </c:pt>
                <c:pt idx="2">
                  <c:v>0.48044962449872164</c:v>
                </c:pt>
                <c:pt idx="3">
                  <c:v>0.64059949933162896</c:v>
                </c:pt>
                <c:pt idx="4">
                  <c:v>0.80074937416453618</c:v>
                </c:pt>
                <c:pt idx="5">
                  <c:v>0.96089924899744328</c:v>
                </c:pt>
                <c:pt idx="6">
                  <c:v>1.1210491238303506</c:v>
                </c:pt>
                <c:pt idx="7">
                  <c:v>1.2811989986632579</c:v>
                </c:pt>
                <c:pt idx="8">
                  <c:v>1.441348873496165</c:v>
                </c:pt>
                <c:pt idx="9">
                  <c:v>1.6014987483290724</c:v>
                </c:pt>
                <c:pt idx="10">
                  <c:v>1.7616486231619797</c:v>
                </c:pt>
                <c:pt idx="11">
                  <c:v>1.9217984979948866</c:v>
                </c:pt>
                <c:pt idx="12">
                  <c:v>2.0819483728277941</c:v>
                </c:pt>
                <c:pt idx="13">
                  <c:v>2.2420982476607012</c:v>
                </c:pt>
                <c:pt idx="14">
                  <c:v>2.4022481224936083</c:v>
                </c:pt>
                <c:pt idx="15">
                  <c:v>2.5623979973265159</c:v>
                </c:pt>
                <c:pt idx="16">
                  <c:v>2.722547872159423</c:v>
                </c:pt>
                <c:pt idx="17">
                  <c:v>2.8826977469923301</c:v>
                </c:pt>
                <c:pt idx="18">
                  <c:v>3.0428476218252376</c:v>
                </c:pt>
                <c:pt idx="19">
                  <c:v>3.2029974966581447</c:v>
                </c:pt>
                <c:pt idx="20">
                  <c:v>3.3631473714910518</c:v>
                </c:pt>
                <c:pt idx="21">
                  <c:v>3.5232972463239594</c:v>
                </c:pt>
                <c:pt idx="22">
                  <c:v>3.6834471211568665</c:v>
                </c:pt>
                <c:pt idx="23">
                  <c:v>3.8435969959897731</c:v>
                </c:pt>
                <c:pt idx="24">
                  <c:v>4.0037468708226802</c:v>
                </c:pt>
                <c:pt idx="25">
                  <c:v>4.1638967456555882</c:v>
                </c:pt>
                <c:pt idx="26">
                  <c:v>4.3240466204884953</c:v>
                </c:pt>
                <c:pt idx="27">
                  <c:v>4.4841964953214024</c:v>
                </c:pt>
                <c:pt idx="28">
                  <c:v>4.6443463701543095</c:v>
                </c:pt>
                <c:pt idx="29">
                  <c:v>4.8044962449872166</c:v>
                </c:pt>
                <c:pt idx="30">
                  <c:v>4.9646461198201237</c:v>
                </c:pt>
                <c:pt idx="31">
                  <c:v>5.1247959946530317</c:v>
                </c:pt>
                <c:pt idx="32">
                  <c:v>5.2849458694859379</c:v>
                </c:pt>
                <c:pt idx="33">
                  <c:v>5.4450957443188459</c:v>
                </c:pt>
                <c:pt idx="34">
                  <c:v>5.605245619151753</c:v>
                </c:pt>
                <c:pt idx="35">
                  <c:v>5.7653954939846601</c:v>
                </c:pt>
                <c:pt idx="36">
                  <c:v>5.9255453688175672</c:v>
                </c:pt>
                <c:pt idx="37">
                  <c:v>6.0856952436504752</c:v>
                </c:pt>
                <c:pt idx="38">
                  <c:v>6.2458451184833823</c:v>
                </c:pt>
                <c:pt idx="39">
                  <c:v>6.4059949933162894</c:v>
                </c:pt>
                <c:pt idx="40">
                  <c:v>6.5661448681491965</c:v>
                </c:pt>
                <c:pt idx="41">
                  <c:v>6.7262947429821036</c:v>
                </c:pt>
                <c:pt idx="42">
                  <c:v>6.8864446178150107</c:v>
                </c:pt>
                <c:pt idx="43">
                  <c:v>7.0465944926479187</c:v>
                </c:pt>
                <c:pt idx="44">
                  <c:v>7.2067443674808249</c:v>
                </c:pt>
                <c:pt idx="45">
                  <c:v>7.3668942423137329</c:v>
                </c:pt>
                <c:pt idx="46">
                  <c:v>7.5270441171466391</c:v>
                </c:pt>
                <c:pt idx="47">
                  <c:v>7.6871939919795462</c:v>
                </c:pt>
                <c:pt idx="48">
                  <c:v>7.8473438668124551</c:v>
                </c:pt>
                <c:pt idx="49">
                  <c:v>8.0074937416453604</c:v>
                </c:pt>
                <c:pt idx="50">
                  <c:v>8.1676436164782675</c:v>
                </c:pt>
                <c:pt idx="51">
                  <c:v>8.3277934913111764</c:v>
                </c:pt>
                <c:pt idx="52">
                  <c:v>8.4879433661440835</c:v>
                </c:pt>
                <c:pt idx="53">
                  <c:v>8.6480932409769906</c:v>
                </c:pt>
                <c:pt idx="54">
                  <c:v>8.8082431158098977</c:v>
                </c:pt>
                <c:pt idx="55">
                  <c:v>8.9683929906428048</c:v>
                </c:pt>
                <c:pt idx="56">
                  <c:v>9.1285428654757119</c:v>
                </c:pt>
                <c:pt idx="57">
                  <c:v>9.288692740308619</c:v>
                </c:pt>
                <c:pt idx="58">
                  <c:v>9.4488426151415261</c:v>
                </c:pt>
                <c:pt idx="59">
                  <c:v>9.6089924899744332</c:v>
                </c:pt>
                <c:pt idx="60">
                  <c:v>9.7691423648073403</c:v>
                </c:pt>
                <c:pt idx="61">
                  <c:v>9.9292922396402474</c:v>
                </c:pt>
                <c:pt idx="62">
                  <c:v>10.089442114473155</c:v>
                </c:pt>
                <c:pt idx="63">
                  <c:v>10.249591989306063</c:v>
                </c:pt>
                <c:pt idx="64">
                  <c:v>10.409741864138971</c:v>
                </c:pt>
                <c:pt idx="65">
                  <c:v>10.569891738971876</c:v>
                </c:pt>
                <c:pt idx="66">
                  <c:v>10.730041613804785</c:v>
                </c:pt>
                <c:pt idx="67">
                  <c:v>10.890191488637692</c:v>
                </c:pt>
                <c:pt idx="68">
                  <c:v>11.050341363470599</c:v>
                </c:pt>
                <c:pt idx="69">
                  <c:v>11.210491238303506</c:v>
                </c:pt>
                <c:pt idx="70">
                  <c:v>11.370641113136413</c:v>
                </c:pt>
                <c:pt idx="71">
                  <c:v>11.53079098796932</c:v>
                </c:pt>
                <c:pt idx="72">
                  <c:v>11.690940862802227</c:v>
                </c:pt>
                <c:pt idx="73">
                  <c:v>11.851090737635134</c:v>
                </c:pt>
                <c:pt idx="74">
                  <c:v>12.011240612468043</c:v>
                </c:pt>
                <c:pt idx="75">
                  <c:v>12.17139048730095</c:v>
                </c:pt>
                <c:pt idx="76">
                  <c:v>12.331540362133858</c:v>
                </c:pt>
                <c:pt idx="77">
                  <c:v>12.491690236966765</c:v>
                </c:pt>
                <c:pt idx="78">
                  <c:v>12.65184011179967</c:v>
                </c:pt>
                <c:pt idx="79">
                  <c:v>12.811989986632579</c:v>
                </c:pt>
                <c:pt idx="80">
                  <c:v>12.972139861465486</c:v>
                </c:pt>
                <c:pt idx="81">
                  <c:v>13.132289736298393</c:v>
                </c:pt>
                <c:pt idx="82">
                  <c:v>13.2924396111313</c:v>
                </c:pt>
                <c:pt idx="83">
                  <c:v>13.452589485964207</c:v>
                </c:pt>
                <c:pt idx="84">
                  <c:v>13.612739360797116</c:v>
                </c:pt>
                <c:pt idx="85">
                  <c:v>13.772889235630021</c:v>
                </c:pt>
                <c:pt idx="86">
                  <c:v>13.933039110462929</c:v>
                </c:pt>
                <c:pt idx="87">
                  <c:v>14.093188985295837</c:v>
                </c:pt>
                <c:pt idx="88">
                  <c:v>14.253338860128745</c:v>
                </c:pt>
                <c:pt idx="89">
                  <c:v>14.41348873496165</c:v>
                </c:pt>
                <c:pt idx="90">
                  <c:v>14.573638609794559</c:v>
                </c:pt>
                <c:pt idx="91">
                  <c:v>14.733788484627466</c:v>
                </c:pt>
                <c:pt idx="92">
                  <c:v>14.893938359460373</c:v>
                </c:pt>
                <c:pt idx="93">
                  <c:v>15.054088234293278</c:v>
                </c:pt>
                <c:pt idx="94">
                  <c:v>15.214238109126187</c:v>
                </c:pt>
                <c:pt idx="95">
                  <c:v>15.374387983959092</c:v>
                </c:pt>
                <c:pt idx="96">
                  <c:v>15.534537858792001</c:v>
                </c:pt>
                <c:pt idx="97">
                  <c:v>15.69468773362491</c:v>
                </c:pt>
                <c:pt idx="98">
                  <c:v>15.854837608457817</c:v>
                </c:pt>
                <c:pt idx="99">
                  <c:v>16.014987483290721</c:v>
                </c:pt>
                <c:pt idx="100">
                  <c:v>32.029974966581442</c:v>
                </c:pt>
                <c:pt idx="101">
                  <c:v>48.044962449872173</c:v>
                </c:pt>
                <c:pt idx="102">
                  <c:v>80.074937416453608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18-4329-935E-03E7F4B47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30176"/>
        <c:axId val="193119744"/>
      </c:scatterChart>
      <c:scatterChart>
        <c:scatterStyle val="lineMarker"/>
        <c:varyColors val="0"/>
        <c:ser>
          <c:idx val="0"/>
          <c:order val="0"/>
          <c:tx>
            <c:v>Fixed Wing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EE78C6D-0C0E-46DA-A78B-1E42DF56A62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F18-4329-935E-03E7F4B47E0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A39A709-88E0-4D59-87E1-021303FD9AF6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F18-4329-935E-03E7F4B47E05}"/>
                </c:ext>
              </c:extLst>
            </c:dLbl>
            <c:dLbl>
              <c:idx val="2"/>
              <c:layout>
                <c:manualLayout>
                  <c:x val="-9.4052496459080523E-2"/>
                  <c:y val="-1.4759338525960456E-2"/>
                </c:manualLayout>
              </c:layout>
              <c:tx>
                <c:rich>
                  <a:bodyPr/>
                  <a:lstStyle/>
                  <a:p>
                    <a:fld id="{CE0D4134-7D13-4169-AF3A-CEBA42BC80F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F18-4329-935E-03E7F4B47E05}"/>
                </c:ext>
              </c:extLst>
            </c:dLbl>
            <c:dLbl>
              <c:idx val="3"/>
              <c:layout>
                <c:manualLayout>
                  <c:x val="1.0597464389755574E-2"/>
                  <c:y val="-2.2139007788940693E-2"/>
                </c:manualLayout>
              </c:layout>
              <c:tx>
                <c:rich>
                  <a:bodyPr/>
                  <a:lstStyle/>
                  <a:p>
                    <a:fld id="{F96B5094-0CD3-4890-B5B0-7212005326A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F18-4329-935E-03E7F4B47E05}"/>
                </c:ext>
              </c:extLst>
            </c:dLbl>
            <c:dLbl>
              <c:idx val="4"/>
              <c:layout>
                <c:manualLayout>
                  <c:x val="-8.6104398166763851E-2"/>
                  <c:y val="-3.6898346314901145E-2"/>
                </c:manualLayout>
              </c:layout>
              <c:tx>
                <c:rich>
                  <a:bodyPr/>
                  <a:lstStyle/>
                  <a:p>
                    <a:fld id="{35007468-402F-4BC2-8719-AD2398F5326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F18-4329-935E-03E7F4B47E0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8DC8DF2-C29C-40AF-A1D5-FDAF5CA1A426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F18-4329-935E-03E7F4B47E05}"/>
                </c:ext>
              </c:extLst>
            </c:dLbl>
            <c:dLbl>
              <c:idx val="6"/>
              <c:layout>
                <c:manualLayout>
                  <c:x val="-7.2857567679569399E-2"/>
                  <c:y val="-0.115614818453357"/>
                </c:manualLayout>
              </c:layout>
              <c:tx>
                <c:rich>
                  <a:bodyPr/>
                  <a:lstStyle/>
                  <a:p>
                    <a:fld id="{FCD5CFA2-4C78-4163-9E17-E5CCDFB242F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F18-4329-935E-03E7F4B47E05}"/>
                </c:ext>
              </c:extLst>
            </c:dLbl>
            <c:dLbl>
              <c:idx val="7"/>
              <c:layout>
                <c:manualLayout>
                  <c:x val="-7.9480982923166618E-2"/>
                  <c:y val="3.6898346314901145E-2"/>
                </c:manualLayout>
              </c:layout>
              <c:tx>
                <c:rich>
                  <a:bodyPr/>
                  <a:lstStyle/>
                  <a:p>
                    <a:fld id="{439B1340-27D7-4821-BB52-975729C929A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F18-4329-935E-03E7F4B47E05}"/>
                </c:ext>
              </c:extLst>
            </c:dLbl>
            <c:dLbl>
              <c:idx val="8"/>
              <c:layout>
                <c:manualLayout>
                  <c:x val="1.3246830487194435E-2"/>
                  <c:y val="1.7219228280287109E-2"/>
                </c:manualLayout>
              </c:layout>
              <c:tx>
                <c:rich>
                  <a:bodyPr/>
                  <a:lstStyle/>
                  <a:p>
                    <a:fld id="{CDD6812D-FE9F-47DC-A3CF-8F6702B9B05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F18-4329-935E-03E7F4B47E05}"/>
                </c:ext>
              </c:extLst>
            </c:dLbl>
            <c:dLbl>
              <c:idx val="9"/>
              <c:layout>
                <c:manualLayout>
                  <c:x val="-3.9740491461583557E-3"/>
                  <c:y val="1.9679118034613946E-2"/>
                </c:manualLayout>
              </c:layout>
              <c:tx>
                <c:rich>
                  <a:bodyPr/>
                  <a:lstStyle/>
                  <a:p>
                    <a:fld id="{4FB3EE2C-ECD6-480E-B575-5137E8EAD0E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F18-4329-935E-03E7F4B47E05}"/>
                </c:ext>
              </c:extLst>
            </c:dLbl>
            <c:dLbl>
              <c:idx val="10"/>
              <c:layout>
                <c:manualLayout>
                  <c:x val="-7.0208201582130508E-2"/>
                  <c:y val="1.22994487716338E-2"/>
                </c:manualLayout>
              </c:layout>
              <c:tx>
                <c:rich>
                  <a:bodyPr/>
                  <a:lstStyle/>
                  <a:p>
                    <a:fld id="{C894C480-B685-4C22-9F29-47D8CE47F46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F18-4329-935E-03E7F4B47E0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018A993-CC2E-42E6-86D1-049AE20360D5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F18-4329-935E-03E7F4B47E0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EBDCCBC-5FDB-43BC-8209-33C962C15CDA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F18-4329-935E-03E7F4B47E0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9F51F2F-7C86-4E29-8E5D-2516B15DBB8B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A17-475C-9E4F-9A96A93406C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D37B709D-EECB-44B3-88C9-FB9B88D175DD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A17-475C-9E4F-9A96A93406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'Subsonic Aircraft'!$K$5:$K$19</c:f>
              <c:numCache>
                <c:formatCode>0.000000</c:formatCode>
                <c:ptCount val="15"/>
                <c:pt idx="0">
                  <c:v>4.3200276481769485E-3</c:v>
                </c:pt>
                <c:pt idx="1">
                  <c:v>4.3393360815795184E-3</c:v>
                </c:pt>
                <c:pt idx="2">
                  <c:v>4.0500587258515252E-3</c:v>
                </c:pt>
                <c:pt idx="3">
                  <c:v>4.0165481784954007E-3</c:v>
                </c:pt>
                <c:pt idx="4">
                  <c:v>3.8880248833592537E-3</c:v>
                </c:pt>
                <c:pt idx="5">
                  <c:v>3.9591416580885266E-3</c:v>
                </c:pt>
                <c:pt idx="6">
                  <c:v>3.7894577285990379E-3</c:v>
                </c:pt>
                <c:pt idx="7">
                  <c:v>3.9592984123213368E-3</c:v>
                </c:pt>
                <c:pt idx="8">
                  <c:v>3.9835876190096797E-3</c:v>
                </c:pt>
                <c:pt idx="9">
                  <c:v>4.4485964678144044E-3</c:v>
                </c:pt>
                <c:pt idx="10">
                  <c:v>3.8106851611919819E-3</c:v>
                </c:pt>
                <c:pt idx="11">
                  <c:v>4.6957175056348607E-3</c:v>
                </c:pt>
                <c:pt idx="12">
                  <c:v>4.2353140485366985E-3</c:v>
                </c:pt>
                <c:pt idx="13">
                  <c:v>5.2143080613202631E-3</c:v>
                </c:pt>
                <c:pt idx="14">
                  <c:v>3.9432176656151417E-3</c:v>
                </c:pt>
              </c:numCache>
            </c:numRef>
          </c:xVal>
          <c:yVal>
            <c:numRef>
              <c:f>'Subsonic Aircraft'!$AA$5:$AA$19</c:f>
              <c:numCache>
                <c:formatCode>0.00</c:formatCode>
                <c:ptCount val="15"/>
                <c:pt idx="0">
                  <c:v>6.0265606085662951</c:v>
                </c:pt>
                <c:pt idx="1">
                  <c:v>7.1047524435967624</c:v>
                </c:pt>
                <c:pt idx="2">
                  <c:v>6.8842793121638914</c:v>
                </c:pt>
                <c:pt idx="3">
                  <c:v>6.9387068684537541</c:v>
                </c:pt>
                <c:pt idx="4">
                  <c:v>6.9522322352966359</c:v>
                </c:pt>
                <c:pt idx="5">
                  <c:v>10.392215699928583</c:v>
                </c:pt>
                <c:pt idx="6">
                  <c:v>7.5360166333204788</c:v>
                </c:pt>
                <c:pt idx="7">
                  <c:v>6.0391636820282519</c:v>
                </c:pt>
                <c:pt idx="8">
                  <c:v>5.6632614608909018</c:v>
                </c:pt>
                <c:pt idx="9">
                  <c:v>4.5123646645618916</c:v>
                </c:pt>
                <c:pt idx="10">
                  <c:v>6.9554111614838234</c:v>
                </c:pt>
                <c:pt idx="11">
                  <c:v>9.3202768757669077</c:v>
                </c:pt>
                <c:pt idx="12">
                  <c:v>13.461178761032436</c:v>
                </c:pt>
                <c:pt idx="13">
                  <c:v>42.153203950826679</c:v>
                </c:pt>
                <c:pt idx="14">
                  <c:v>21.175369793074552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Aircraft'!$A$3:$A$17</c15:f>
                <c15:dlblRangeCache>
                  <c:ptCount val="15"/>
                  <c:pt idx="0">
                    <c:v>Vehicle</c:v>
                  </c:pt>
                  <c:pt idx="2">
                    <c:v>A321-200</c:v>
                  </c:pt>
                  <c:pt idx="3">
                    <c:v>A320-200</c:v>
                  </c:pt>
                  <c:pt idx="4">
                    <c:v>A300-600R</c:v>
                  </c:pt>
                  <c:pt idx="5">
                    <c:v>A310-300</c:v>
                  </c:pt>
                  <c:pt idx="6">
                    <c:v>A340-300</c:v>
                  </c:pt>
                  <c:pt idx="7">
                    <c:v>B747-400</c:v>
                  </c:pt>
                  <c:pt idx="8">
                    <c:v>B757-200</c:v>
                  </c:pt>
                  <c:pt idx="9">
                    <c:v>B737-300</c:v>
                  </c:pt>
                  <c:pt idx="10">
                    <c:v>B767-300</c:v>
                  </c:pt>
                  <c:pt idx="11">
                    <c:v>MD90-30</c:v>
                  </c:pt>
                  <c:pt idx="12">
                    <c:v>MD-11</c:v>
                  </c:pt>
                  <c:pt idx="13">
                    <c:v>Fokker 100</c:v>
                  </c:pt>
                  <c:pt idx="14">
                    <c:v>TU-154M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8CE-48CB-B607-042AF90E5371}"/>
            </c:ext>
          </c:extLst>
        </c:ser>
        <c:ser>
          <c:idx val="1"/>
          <c:order val="1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B9FC6A4-1711-4038-ADE2-6B7604824A5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F18-4329-935E-03E7F4B47E0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078B597-4F76-4561-9409-693AE6BF9A4E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F18-4329-935E-03E7F4B47E0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E570F1E-481D-4FF5-A6A4-F91C1D23465D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DF18-4329-935E-03E7F4B47E0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659DF8D-A861-4956-977A-E3160E9C01FD}" type="CELLRANGE">
                      <a:rPr lang="en-GB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F18-4329-935E-03E7F4B47E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Helicopter!$E$5:$E$8</c:f>
              <c:numCache>
                <c:formatCode>General</c:formatCode>
                <c:ptCount val="4"/>
                <c:pt idx="0">
                  <c:v>1.7998560115190784E-2</c:v>
                </c:pt>
                <c:pt idx="1">
                  <c:v>1.7822135091783996E-2</c:v>
                </c:pt>
                <c:pt idx="2">
                  <c:v>1.5318627450980392E-2</c:v>
                </c:pt>
                <c:pt idx="3">
                  <c:v>1.764602082230457E-2</c:v>
                </c:pt>
              </c:numCache>
            </c:numRef>
          </c:xVal>
          <c:yVal>
            <c:numRef>
              <c:f>Helicopter!$U$5:$U$8</c:f>
              <c:numCache>
                <c:formatCode>_(* #,##0.00_);_(* \(#,##0.00\);_(* "-"??_);_(@_)</c:formatCode>
                <c:ptCount val="4"/>
                <c:pt idx="0">
                  <c:v>19.601139601139604</c:v>
                </c:pt>
                <c:pt idx="1">
                  <c:v>18.544474393530997</c:v>
                </c:pt>
                <c:pt idx="2">
                  <c:v>30.395843798507499</c:v>
                </c:pt>
                <c:pt idx="3">
                  <c:v>29.496454589606607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Helicopter!$A$3:$A$6</c15:f>
                <c15:dlblRangeCache>
                  <c:ptCount val="4"/>
                  <c:pt idx="0">
                    <c:v>Vehicle</c:v>
                  </c:pt>
                  <c:pt idx="2">
                    <c:v>R44 Raven I</c:v>
                  </c:pt>
                  <c:pt idx="3">
                    <c:v>R44 Raven II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88CE-48CB-B607-042AF90E5371}"/>
            </c:ext>
          </c:extLst>
        </c:ser>
        <c:ser>
          <c:idx val="2"/>
          <c:order val="2"/>
          <c:tx>
            <c:v>Lighter than 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6.7570838274826781E-2"/>
                  <c:y val="-7.3503891944262838E-3"/>
                </c:manualLayout>
              </c:layout>
              <c:tx>
                <c:rich>
                  <a:bodyPr/>
                  <a:lstStyle/>
                  <a:p>
                    <a:fld id="{BEC920D2-5DCF-42D7-83CB-9B92E3ABBD4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DF18-4329-935E-03E7F4B47E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Airship!$H$5</c:f>
              <c:numCache>
                <c:formatCode>0.00</c:formatCode>
                <c:ptCount val="1"/>
                <c:pt idx="0">
                  <c:v>2.880184331797235E-2</c:v>
                </c:pt>
              </c:numCache>
            </c:numRef>
          </c:xVal>
          <c:yVal>
            <c:numRef>
              <c:f>Airship!$AC$5</c:f>
              <c:numCache>
                <c:formatCode>0.00</c:formatCode>
                <c:ptCount val="1"/>
                <c:pt idx="0">
                  <c:v>5.1459360344668754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Airship!$A$3</c15:f>
                <c15:dlblRangeCache>
                  <c:ptCount val="1"/>
                  <c:pt idx="0">
                    <c:v>Vehicle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88CE-48CB-B607-042AF90E5371}"/>
            </c:ext>
          </c:extLst>
        </c:ser>
        <c:ser>
          <c:idx val="4"/>
          <c:order val="4"/>
          <c:tx>
            <c:v>Supersonic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F89348F-AEB3-4073-9F82-F6FD9533AE5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486-473B-ACC2-530534BDCF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'Supersonic Aircraft'!$I$5</c:f>
              <c:numCache>
                <c:formatCode>0.000</c:formatCode>
                <c:ptCount val="1"/>
                <c:pt idx="0">
                  <c:v>1.6682113067655235E-3</c:v>
                </c:pt>
              </c:numCache>
            </c:numRef>
          </c:xVal>
          <c:yVal>
            <c:numRef>
              <c:f>'Supersonic Aircraft'!$Y$5</c:f>
              <c:numCache>
                <c:formatCode>0.000</c:formatCode>
                <c:ptCount val="1"/>
                <c:pt idx="0">
                  <c:v>48.157946321326975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'Supersonic Aircraft'!$A$3</c15:f>
                <c15:dlblRangeCache>
                  <c:ptCount val="1"/>
                  <c:pt idx="0">
                    <c:v>Vehicle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486-473B-ACC2-530534BDCFD8}"/>
            </c:ext>
          </c:extLst>
        </c:ser>
        <c:ser>
          <c:idx val="5"/>
          <c:order val="5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2.6493660974388875E-3"/>
                  <c:y val="7.8716472138455604E-2"/>
                </c:manualLayout>
              </c:layout>
              <c:tx>
                <c:rich>
                  <a:bodyPr/>
                  <a:lstStyle/>
                  <a:p>
                    <a:fld id="{A1EEDA16-5B76-4539-99E5-0EDB4C0004B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A6F-4981-BD99-866E5EA76E05}"/>
                </c:ext>
              </c:extLst>
            </c:dLbl>
            <c:dLbl>
              <c:idx val="1"/>
              <c:layout>
                <c:manualLayout>
                  <c:x val="-7.6831616825727755E-2"/>
                  <c:y val="5.1657684840861612E-2"/>
                </c:manualLayout>
              </c:layout>
              <c:tx>
                <c:rich>
                  <a:bodyPr/>
                  <a:lstStyle/>
                  <a:p>
                    <a:fld id="{87A9974E-01DE-4E78-872D-3471FC6FAAB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A6F-4981-BD99-866E5EA76E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'Subsonic Aircraft'!$K$20:$K$21</c:f>
              <c:numCache>
                <c:formatCode>0.000000</c:formatCode>
                <c:ptCount val="2"/>
                <c:pt idx="0">
                  <c:v>3.9591416580885266E-3</c:v>
                </c:pt>
                <c:pt idx="1">
                  <c:v>3.8106851611919819E-3</c:v>
                </c:pt>
              </c:numCache>
            </c:numRef>
          </c:xVal>
          <c:yVal>
            <c:numRef>
              <c:f>'Subsonic Aircraft'!$AA$20:$AA$21</c:f>
              <c:numCache>
                <c:formatCode>0.00</c:formatCode>
                <c:ptCount val="2"/>
                <c:pt idx="0">
                  <c:v>5.6270629187241612</c:v>
                </c:pt>
                <c:pt idx="1">
                  <c:v>4.2026530153651516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Aircraft'!$A$18:$A$19</c15:f>
                <c15:dlblRangeCache>
                  <c:ptCount val="2"/>
                  <c:pt idx="0">
                    <c:v>YB-49</c:v>
                  </c:pt>
                  <c:pt idx="1">
                    <c:v>Avro Vulcan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A6F-4981-BD99-866E5EA76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30176"/>
        <c:axId val="193119744"/>
      </c:scatterChart>
      <c:valAx>
        <c:axId val="193330176"/>
        <c:scaling>
          <c:orientation val="minMax"/>
          <c:max val="3.0000000000000009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1/V</a:t>
                </a:r>
                <a:r>
                  <a:rPr lang="en-GB" baseline="0"/>
                  <a:t> [s/m]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_-* #,##0.000_-;\-* #,##0.000_-;_-* &quot;-&quot;???_-;_-@_-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119744"/>
        <c:crosses val="autoZero"/>
        <c:crossBetween val="midCat"/>
        <c:minorUnit val="5.0000000000000023E-4"/>
      </c:valAx>
      <c:valAx>
        <c:axId val="193119744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E_prim</a:t>
                </a:r>
                <a:r>
                  <a:rPr lang="en-GB" baseline="0"/>
                  <a:t>/(s*m) [J/mkg]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330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Inverse</a:t>
            </a:r>
            <a:r>
              <a:rPr lang="en-GB" baseline="0"/>
              <a:t> of Primary Energy Consumption per Payload Range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0242715224654393E-2"/>
          <c:y val="5.724806706006981E-2"/>
          <c:w val="0.78410715765044248"/>
          <c:h val="0.89011307251336325"/>
        </c:manualLayout>
      </c:layout>
      <c:scatterChart>
        <c:scatterStyle val="smoothMarker"/>
        <c:varyColors val="0"/>
        <c:ser>
          <c:idx val="10"/>
          <c:order val="16"/>
          <c:tx>
            <c:v>Line VLBC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'a_E VLBC'!$F$2:$F$101</c:f>
              <c:numCache>
                <c:formatCode>General</c:formatCode>
                <c:ptCount val="10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</c:numCache>
            </c:numRef>
          </c:xVal>
          <c:yVal>
            <c:numRef>
              <c:f>'a_E VLBC'!$G$2:$G$101</c:f>
              <c:numCache>
                <c:formatCode>_(* #,##0.00_);_(* \(#,##0.00\);_(* "-"??_);_(@_)</c:formatCode>
                <c:ptCount val="100"/>
                <c:pt idx="0">
                  <c:v>304.74308300395251</c:v>
                </c:pt>
                <c:pt idx="1">
                  <c:v>30.474308300395251</c:v>
                </c:pt>
                <c:pt idx="2">
                  <c:v>15.237154150197625</c:v>
                </c:pt>
                <c:pt idx="3">
                  <c:v>10.158102766798416</c:v>
                </c:pt>
                <c:pt idx="4">
                  <c:v>7.6185770750988127</c:v>
                </c:pt>
                <c:pt idx="5">
                  <c:v>6.0948616600790499</c:v>
                </c:pt>
                <c:pt idx="6">
                  <c:v>5.0790513833992081</c:v>
                </c:pt>
                <c:pt idx="7">
                  <c:v>4.3534726143421789</c:v>
                </c:pt>
                <c:pt idx="8">
                  <c:v>3.8092885375494063</c:v>
                </c:pt>
                <c:pt idx="9">
                  <c:v>3.3860342555994722</c:v>
                </c:pt>
                <c:pt idx="10">
                  <c:v>3.047430830039525</c:v>
                </c:pt>
                <c:pt idx="11">
                  <c:v>2.7703916636722954</c:v>
                </c:pt>
                <c:pt idx="12">
                  <c:v>2.5395256916996041</c:v>
                </c:pt>
                <c:pt idx="13">
                  <c:v>2.3441775615688654</c:v>
                </c:pt>
                <c:pt idx="14">
                  <c:v>2.1767363071710895</c:v>
                </c:pt>
                <c:pt idx="15">
                  <c:v>2.0316205533596832</c:v>
                </c:pt>
                <c:pt idx="16">
                  <c:v>1.9046442687747032</c:v>
                </c:pt>
                <c:pt idx="17">
                  <c:v>1.7926063706114854</c:v>
                </c:pt>
                <c:pt idx="18">
                  <c:v>1.6930171277997361</c:v>
                </c:pt>
                <c:pt idx="19">
                  <c:v>1.6039109631786974</c:v>
                </c:pt>
                <c:pt idx="20">
                  <c:v>1.5237154150197625</c:v>
                </c:pt>
                <c:pt idx="21">
                  <c:v>1.4511575381140596</c:v>
                </c:pt>
                <c:pt idx="22">
                  <c:v>1.3851958318361477</c:v>
                </c:pt>
                <c:pt idx="23">
                  <c:v>1.3249699261041414</c:v>
                </c:pt>
                <c:pt idx="24">
                  <c:v>1.269762845849802</c:v>
                </c:pt>
                <c:pt idx="25">
                  <c:v>1.2189723320158101</c:v>
                </c:pt>
                <c:pt idx="26">
                  <c:v>1.1720887807844327</c:v>
                </c:pt>
                <c:pt idx="27">
                  <c:v>1.1286780851998242</c:v>
                </c:pt>
                <c:pt idx="28">
                  <c:v>1.0883681535855447</c:v>
                </c:pt>
                <c:pt idx="29">
                  <c:v>1.0508382172550086</c:v>
                </c:pt>
                <c:pt idx="30">
                  <c:v>1.0158102766798416</c:v>
                </c:pt>
                <c:pt idx="31">
                  <c:v>0.98304220323855651</c:v>
                </c:pt>
                <c:pt idx="32">
                  <c:v>0.95232213438735158</c:v>
                </c:pt>
                <c:pt idx="33">
                  <c:v>0.92346388789076517</c:v>
                </c:pt>
                <c:pt idx="34">
                  <c:v>0.89630318530574271</c:v>
                </c:pt>
                <c:pt idx="35">
                  <c:v>0.87069452286843574</c:v>
                </c:pt>
                <c:pt idx="36">
                  <c:v>0.84650856389986806</c:v>
                </c:pt>
                <c:pt idx="37">
                  <c:v>0.82362995406473649</c:v>
                </c:pt>
                <c:pt idx="38">
                  <c:v>0.80195548158934871</c:v>
                </c:pt>
                <c:pt idx="39">
                  <c:v>0.78139252052295516</c:v>
                </c:pt>
                <c:pt idx="40">
                  <c:v>0.76185770750988124</c:v>
                </c:pt>
                <c:pt idx="41">
                  <c:v>0.74327581220476224</c:v>
                </c:pt>
                <c:pt idx="42">
                  <c:v>0.72557876905702978</c:v>
                </c:pt>
                <c:pt idx="43">
                  <c:v>0.70870484419523838</c:v>
                </c:pt>
                <c:pt idx="44">
                  <c:v>0.69259791591807385</c:v>
                </c:pt>
                <c:pt idx="45">
                  <c:v>0.67720685111989443</c:v>
                </c:pt>
                <c:pt idx="46">
                  <c:v>0.66248496305207072</c:v>
                </c:pt>
                <c:pt idx="47">
                  <c:v>0.64838953830628188</c:v>
                </c:pt>
                <c:pt idx="48">
                  <c:v>0.63488142292490102</c:v>
                </c:pt>
                <c:pt idx="49">
                  <c:v>0.62192465919173978</c:v>
                </c:pt>
                <c:pt idx="50">
                  <c:v>0.60948616600790506</c:v>
                </c:pt>
                <c:pt idx="51">
                  <c:v>0.59753545687049514</c:v>
                </c:pt>
                <c:pt idx="52">
                  <c:v>0.58604439039221634</c:v>
                </c:pt>
                <c:pt idx="53">
                  <c:v>0.57498694906406134</c:v>
                </c:pt>
                <c:pt idx="54">
                  <c:v>0.56433904259991208</c:v>
                </c:pt>
                <c:pt idx="55">
                  <c:v>0.55407833273445906</c:v>
                </c:pt>
                <c:pt idx="56">
                  <c:v>0.54418407679277236</c:v>
                </c:pt>
                <c:pt idx="57">
                  <c:v>0.53463698772623247</c:v>
                </c:pt>
                <c:pt idx="58">
                  <c:v>0.52541910862750429</c:v>
                </c:pt>
                <c:pt idx="59">
                  <c:v>0.51651370000669916</c:v>
                </c:pt>
                <c:pt idx="60">
                  <c:v>0.50790513833992079</c:v>
                </c:pt>
                <c:pt idx="61">
                  <c:v>0.49957882459664343</c:v>
                </c:pt>
                <c:pt idx="62">
                  <c:v>0.49152110161927826</c:v>
                </c:pt>
                <c:pt idx="63">
                  <c:v>0.48371917937135317</c:v>
                </c:pt>
                <c:pt idx="64">
                  <c:v>0.47616106719367579</c:v>
                </c:pt>
                <c:pt idx="65">
                  <c:v>0.46883551231377307</c:v>
                </c:pt>
                <c:pt idx="66">
                  <c:v>0.46173194394538258</c:v>
                </c:pt>
                <c:pt idx="67">
                  <c:v>0.45484042239395894</c:v>
                </c:pt>
                <c:pt idx="68">
                  <c:v>0.44815159265287136</c:v>
                </c:pt>
                <c:pt idx="69">
                  <c:v>0.44165664203471378</c:v>
                </c:pt>
                <c:pt idx="70">
                  <c:v>0.43534726143421787</c:v>
                </c:pt>
                <c:pt idx="71">
                  <c:v>0.42921560986472185</c:v>
                </c:pt>
                <c:pt idx="72">
                  <c:v>0.42325428194993403</c:v>
                </c:pt>
                <c:pt idx="73">
                  <c:v>0.41745627808760616</c:v>
                </c:pt>
                <c:pt idx="74">
                  <c:v>0.41181497703236825</c:v>
                </c:pt>
                <c:pt idx="75">
                  <c:v>0.40632411067193669</c:v>
                </c:pt>
                <c:pt idx="76">
                  <c:v>0.40097774079467435</c:v>
                </c:pt>
                <c:pt idx="77">
                  <c:v>0.39577023766747077</c:v>
                </c:pt>
                <c:pt idx="78">
                  <c:v>0.39069626026147758</c:v>
                </c:pt>
                <c:pt idx="79">
                  <c:v>0.38575073797968673</c:v>
                </c:pt>
                <c:pt idx="80">
                  <c:v>0.38092885375494062</c:v>
                </c:pt>
                <c:pt idx="81">
                  <c:v>0.37622602839994135</c:v>
                </c:pt>
                <c:pt idx="82">
                  <c:v>0.37163790610238112</c:v>
                </c:pt>
                <c:pt idx="83">
                  <c:v>0.36716034096861749</c:v>
                </c:pt>
                <c:pt idx="84">
                  <c:v>0.36278938452851489</c:v>
                </c:pt>
                <c:pt idx="85">
                  <c:v>0.35852127412229706</c:v>
                </c:pt>
                <c:pt idx="86">
                  <c:v>0.35435242209761919</c:v>
                </c:pt>
                <c:pt idx="87">
                  <c:v>0.35027940575166955</c:v>
                </c:pt>
                <c:pt idx="88">
                  <c:v>0.34629895795903692</c:v>
                </c:pt>
                <c:pt idx="89">
                  <c:v>0.34240795843140731</c:v>
                </c:pt>
                <c:pt idx="90">
                  <c:v>0.33860342555994721</c:v>
                </c:pt>
                <c:pt idx="91">
                  <c:v>0.3348825087955522</c:v>
                </c:pt>
                <c:pt idx="92">
                  <c:v>0.33124248152603536</c:v>
                </c:pt>
                <c:pt idx="93">
                  <c:v>0.32768073441285217</c:v>
                </c:pt>
                <c:pt idx="94">
                  <c:v>0.32419476915314094</c:v>
                </c:pt>
                <c:pt idx="95">
                  <c:v>0.32078219263573948</c:v>
                </c:pt>
                <c:pt idx="96">
                  <c:v>0.31744071146245051</c:v>
                </c:pt>
                <c:pt idx="97">
                  <c:v>0.31416812680819844</c:v>
                </c:pt>
                <c:pt idx="98">
                  <c:v>0.31096232959586989</c:v>
                </c:pt>
                <c:pt idx="99">
                  <c:v>0.30782129596358837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B3-4D05-9768-DD2CCC951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49280"/>
        <c:axId val="193663744"/>
      </c:scatterChart>
      <c:scatterChart>
        <c:scatterStyle val="lineMarker"/>
        <c:varyColors val="0"/>
        <c:ser>
          <c:idx val="0"/>
          <c:order val="0"/>
          <c:tx>
            <c:v>Subsonic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'Subsonic Aircraft'!$I$5:$I$19</c:f>
              <c:numCache>
                <c:formatCode>0.00</c:formatCode>
                <c:ptCount val="15"/>
                <c:pt idx="0">
                  <c:v>231.48</c:v>
                </c:pt>
                <c:pt idx="1">
                  <c:v>230.45</c:v>
                </c:pt>
                <c:pt idx="2">
                  <c:v>246.91</c:v>
                </c:pt>
                <c:pt idx="3">
                  <c:v>248.97</c:v>
                </c:pt>
                <c:pt idx="4">
                  <c:v>257.2</c:v>
                </c:pt>
                <c:pt idx="5">
                  <c:v>252.58</c:v>
                </c:pt>
                <c:pt idx="6">
                  <c:v>263.89</c:v>
                </c:pt>
                <c:pt idx="7">
                  <c:v>252.57</c:v>
                </c:pt>
                <c:pt idx="8">
                  <c:v>251.03</c:v>
                </c:pt>
                <c:pt idx="9">
                  <c:v>224.79</c:v>
                </c:pt>
                <c:pt idx="10">
                  <c:v>262.42</c:v>
                </c:pt>
                <c:pt idx="11">
                  <c:v>212.96</c:v>
                </c:pt>
                <c:pt idx="12">
                  <c:v>236.11</c:v>
                </c:pt>
                <c:pt idx="13">
                  <c:v>191.78</c:v>
                </c:pt>
                <c:pt idx="14">
                  <c:v>253.6</c:v>
                </c:pt>
              </c:numCache>
            </c:numRef>
          </c:xVal>
          <c:yVal>
            <c:numRef>
              <c:f>'Subsonic Aircraft'!$AB$5:$AB$19</c:f>
              <c:numCache>
                <c:formatCode>0.00</c:formatCode>
                <c:ptCount val="15"/>
                <c:pt idx="0">
                  <c:v>0.16593212363592202</c:v>
                </c:pt>
                <c:pt idx="1">
                  <c:v>0.14075085767432491</c:v>
                </c:pt>
                <c:pt idx="2">
                  <c:v>0.14525848744008563</c:v>
                </c:pt>
                <c:pt idx="3">
                  <c:v>0.14411907275495608</c:v>
                </c:pt>
                <c:pt idx="4">
                  <c:v>0.14383869326501753</c:v>
                </c:pt>
                <c:pt idx="5">
                  <c:v>9.622587029317263E-2</c:v>
                </c:pt>
                <c:pt idx="6">
                  <c:v>0.13269609777378974</c:v>
                </c:pt>
                <c:pt idx="7">
                  <c:v>0.16558584145945027</c:v>
                </c:pt>
                <c:pt idx="8">
                  <c:v>0.17657669646823748</c:v>
                </c:pt>
                <c:pt idx="9">
                  <c:v>0.22161329465536239</c:v>
                </c:pt>
                <c:pt idx="10">
                  <c:v>0.14377295271019841</c:v>
                </c:pt>
                <c:pt idx="11">
                  <c:v>0.10729294991225422</c:v>
                </c:pt>
                <c:pt idx="12">
                  <c:v>7.4287699298282162E-2</c:v>
                </c:pt>
                <c:pt idx="13">
                  <c:v>2.3722989150873043E-2</c:v>
                </c:pt>
                <c:pt idx="14">
                  <c:v>4.7224677055087469E-2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B3-4D05-9768-DD2CCC9512F8}"/>
            </c:ext>
          </c:extLst>
        </c:ser>
        <c:ser>
          <c:idx val="11"/>
          <c:order val="1"/>
          <c:tx>
            <c:v>Supersonic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'Supersonic Aircraft'!$F$5</c:f>
              <c:numCache>
                <c:formatCode>0.000</c:formatCode>
                <c:ptCount val="1"/>
                <c:pt idx="0">
                  <c:v>599.44444444444446</c:v>
                </c:pt>
              </c:numCache>
            </c:numRef>
          </c:xVal>
          <c:yVal>
            <c:numRef>
              <c:f>'Supersonic Aircraft'!$Z$5</c:f>
              <c:numCache>
                <c:formatCode>0.000</c:formatCode>
                <c:ptCount val="1"/>
                <c:pt idx="0">
                  <c:v>2.0765005079901949E-2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AB3-4D05-9768-DD2CCC9512F8}"/>
            </c:ext>
          </c:extLst>
        </c:ser>
        <c:ser>
          <c:idx val="16"/>
          <c:order val="2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'Subsonic Aircraft'!$I$20:$I$21</c:f>
              <c:numCache>
                <c:formatCode>0.00</c:formatCode>
                <c:ptCount val="2"/>
                <c:pt idx="0">
                  <c:v>252.58</c:v>
                </c:pt>
                <c:pt idx="1">
                  <c:v>262.42</c:v>
                </c:pt>
              </c:numCache>
            </c:numRef>
          </c:xVal>
          <c:yVal>
            <c:numRef>
              <c:f>'Subsonic Aircraft'!$AB$20:$AB$21</c:f>
              <c:numCache>
                <c:formatCode>0.00</c:formatCode>
                <c:ptCount val="2"/>
                <c:pt idx="0">
                  <c:v>0.17771260326101571</c:v>
                </c:pt>
                <c:pt idx="1">
                  <c:v>0.2379449353405908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8D-48C4-B9EC-3E94545C660A}"/>
            </c:ext>
          </c:extLst>
        </c:ser>
        <c:ser>
          <c:idx val="1"/>
          <c:order val="3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Helicopter!$D$5:$D$8</c:f>
              <c:numCache>
                <c:formatCode>General</c:formatCode>
                <c:ptCount val="4"/>
                <c:pt idx="0">
                  <c:v>55.56</c:v>
                </c:pt>
                <c:pt idx="1">
                  <c:v>56.11</c:v>
                </c:pt>
                <c:pt idx="2">
                  <c:v>65.28</c:v>
                </c:pt>
                <c:pt idx="3">
                  <c:v>56.67</c:v>
                </c:pt>
              </c:numCache>
            </c:numRef>
          </c:xVal>
          <c:yVal>
            <c:numRef>
              <c:f>Helicopter!$V$5:$V$8</c:f>
              <c:numCache>
                <c:formatCode>_-* #,##0.0000_-;\-* #,##0.0000_-;_-* "-"??_-;_-@_-</c:formatCode>
                <c:ptCount val="4"/>
                <c:pt idx="0">
                  <c:v>5.1017441860465113E-2</c:v>
                </c:pt>
                <c:pt idx="1">
                  <c:v>5.3924418604651164E-2</c:v>
                </c:pt>
                <c:pt idx="2">
                  <c:v>3.2899234731858379E-2</c:v>
                </c:pt>
                <c:pt idx="3">
                  <c:v>3.3902379588100079E-2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B3-4D05-9768-DD2CCC9512F8}"/>
            </c:ext>
          </c:extLst>
        </c:ser>
        <c:ser>
          <c:idx val="2"/>
          <c:order val="4"/>
          <c:tx>
            <c:v>Airship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Airship!$G$5</c:f>
              <c:numCache>
                <c:formatCode>0.00</c:formatCode>
                <c:ptCount val="1"/>
                <c:pt idx="0">
                  <c:v>34.72</c:v>
                </c:pt>
              </c:numCache>
            </c:numRef>
          </c:xVal>
          <c:yVal>
            <c:numRef>
              <c:f>Airship!$AD$5</c:f>
              <c:numCache>
                <c:formatCode>0.00</c:formatCode>
                <c:ptCount val="1"/>
                <c:pt idx="0">
                  <c:v>0.19432810538298911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B3-4D05-9768-DD2CCC9512F8}"/>
            </c:ext>
          </c:extLst>
        </c:ser>
        <c:ser>
          <c:idx val="4"/>
          <c:order val="6"/>
          <c:tx>
            <c:v>Bulker, Tanker, Container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'Bulker, Tanker, Container'!$D$5:$D$21</c:f>
              <c:numCache>
                <c:formatCode>0.00</c:formatCode>
                <c:ptCount val="17"/>
                <c:pt idx="0">
                  <c:v>6.7847999999999997</c:v>
                </c:pt>
                <c:pt idx="1">
                  <c:v>7.0983400000000003</c:v>
                </c:pt>
                <c:pt idx="2">
                  <c:v>7.3553400000000009</c:v>
                </c:pt>
                <c:pt idx="3">
                  <c:v>7.5146799999999994</c:v>
                </c:pt>
                <c:pt idx="4">
                  <c:v>7.6072000000000006</c:v>
                </c:pt>
                <c:pt idx="5">
                  <c:v>7.71</c:v>
                </c:pt>
                <c:pt idx="6">
                  <c:v>7.1446000000000005</c:v>
                </c:pt>
                <c:pt idx="7">
                  <c:v>7.47356</c:v>
                </c:pt>
                <c:pt idx="8">
                  <c:v>7.71</c:v>
                </c:pt>
                <c:pt idx="9">
                  <c:v>7.71</c:v>
                </c:pt>
                <c:pt idx="10">
                  <c:v>7.71</c:v>
                </c:pt>
                <c:pt idx="11">
                  <c:v>7.71</c:v>
                </c:pt>
                <c:pt idx="12">
                  <c:v>7.9670000000000005</c:v>
                </c:pt>
                <c:pt idx="13">
                  <c:v>10.280000000000001</c:v>
                </c:pt>
                <c:pt idx="14">
                  <c:v>10.742599999999999</c:v>
                </c:pt>
                <c:pt idx="15">
                  <c:v>11.256599999999999</c:v>
                </c:pt>
                <c:pt idx="16">
                  <c:v>12.079000000000001</c:v>
                </c:pt>
              </c:numCache>
            </c:numRef>
          </c:xVal>
          <c:yVal>
            <c:numRef>
              <c:f>'Bulker, Tanker, Container'!$V$5:$V$21</c:f>
              <c:numCache>
                <c:formatCode>0.00</c:formatCode>
                <c:ptCount val="17"/>
                <c:pt idx="0">
                  <c:v>6.4935064935064926</c:v>
                </c:pt>
                <c:pt idx="1">
                  <c:v>11.086474501108645</c:v>
                </c:pt>
                <c:pt idx="2">
                  <c:v>16.233766233766232</c:v>
                </c:pt>
                <c:pt idx="3">
                  <c:v>22.727272727272727</c:v>
                </c:pt>
                <c:pt idx="4">
                  <c:v>23.923444976076553</c:v>
                </c:pt>
                <c:pt idx="5">
                  <c:v>39.525691699604735</c:v>
                </c:pt>
                <c:pt idx="6">
                  <c:v>5.4436581382689155</c:v>
                </c:pt>
                <c:pt idx="7">
                  <c:v>9.8814229249011838</c:v>
                </c:pt>
                <c:pt idx="8">
                  <c:v>14.430014430014429</c:v>
                </c:pt>
                <c:pt idx="9">
                  <c:v>18.18181818181818</c:v>
                </c:pt>
                <c:pt idx="10">
                  <c:v>23.310023310023311</c:v>
                </c:pt>
                <c:pt idx="11">
                  <c:v>30.303030303030301</c:v>
                </c:pt>
                <c:pt idx="12">
                  <c:v>36.36363636363636</c:v>
                </c:pt>
                <c:pt idx="13">
                  <c:v>5.9074960127591707</c:v>
                </c:pt>
                <c:pt idx="14">
                  <c:v>6.9285447063224836</c:v>
                </c:pt>
                <c:pt idx="15">
                  <c:v>8.0556763810352319</c:v>
                </c:pt>
                <c:pt idx="16">
                  <c:v>13.469090909090907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AB3-4D05-9768-DD2CCC9512F8}"/>
            </c:ext>
          </c:extLst>
        </c:ser>
        <c:ser>
          <c:idx val="5"/>
          <c:order val="7"/>
          <c:tx>
            <c:v>Cruise 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'Cruise Ship'!$C$5:$C$7</c:f>
              <c:numCache>
                <c:formatCode>0.00</c:formatCode>
                <c:ptCount val="3"/>
                <c:pt idx="0">
                  <c:v>13.375</c:v>
                </c:pt>
                <c:pt idx="1">
                  <c:v>10.802777777777777</c:v>
                </c:pt>
                <c:pt idx="2">
                  <c:v>11.316666666666666</c:v>
                </c:pt>
              </c:numCache>
            </c:numRef>
          </c:xVal>
          <c:yVal>
            <c:numRef>
              <c:f>'Cruise Ship'!$AI$5:$AI$7</c:f>
              <c:numCache>
                <c:formatCode>0.00</c:formatCode>
                <c:ptCount val="3"/>
                <c:pt idx="0">
                  <c:v>7.4582627118644051E-2</c:v>
                </c:pt>
                <c:pt idx="1">
                  <c:v>7.7574398719897852E-2</c:v>
                </c:pt>
                <c:pt idx="2">
                  <c:v>6.0255079574762511E-2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AB3-4D05-9768-DD2CCC9512F8}"/>
            </c:ext>
          </c:extLst>
        </c:ser>
        <c:ser>
          <c:idx val="6"/>
          <c:order val="8"/>
          <c:tx>
            <c:v>Car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99"/>
              </a:solidFill>
              <a:ln w="9525">
                <a:noFill/>
              </a:ln>
              <a:effectLst/>
            </c:spPr>
          </c:marker>
          <c:xVal>
            <c:numRef>
              <c:f>Car!$B$5:$B$8</c:f>
              <c:numCache>
                <c:formatCode>0.00</c:formatCode>
                <c:ptCount val="4"/>
                <c:pt idx="0">
                  <c:v>27.78</c:v>
                </c:pt>
                <c:pt idx="1">
                  <c:v>27.78</c:v>
                </c:pt>
                <c:pt idx="2">
                  <c:v>27.78</c:v>
                </c:pt>
                <c:pt idx="3">
                  <c:v>27.78</c:v>
                </c:pt>
              </c:numCache>
            </c:numRef>
          </c:xVal>
          <c:yVal>
            <c:numRef>
              <c:f>Car!$AA$5:$AA$8</c:f>
              <c:numCache>
                <c:formatCode>0.00</c:formatCode>
                <c:ptCount val="4"/>
                <c:pt idx="0">
                  <c:v>7.4480465502909404E-2</c:v>
                </c:pt>
                <c:pt idx="1">
                  <c:v>0.2766417290108063</c:v>
                </c:pt>
                <c:pt idx="2">
                  <c:v>0.3854374715301867</c:v>
                </c:pt>
                <c:pt idx="3">
                  <c:v>0.24557408523653249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AB3-4D05-9768-DD2CCC9512F8}"/>
            </c:ext>
          </c:extLst>
        </c:ser>
        <c:ser>
          <c:idx val="13"/>
          <c:order val="9"/>
          <c:tx>
            <c:v>Truck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CC"/>
              </a:solidFill>
              <a:ln w="9525">
                <a:noFill/>
              </a:ln>
              <a:effectLst/>
            </c:spPr>
          </c:marker>
          <c:xVal>
            <c:numRef>
              <c:f>(Truck!$B$5,Truck!$B$7)</c:f>
              <c:numCache>
                <c:formatCode>0.00</c:formatCode>
                <c:ptCount val="2"/>
                <c:pt idx="0">
                  <c:v>27.78</c:v>
                </c:pt>
                <c:pt idx="1">
                  <c:v>27.78</c:v>
                </c:pt>
              </c:numCache>
            </c:numRef>
          </c:xVal>
          <c:yVal>
            <c:numRef>
              <c:f>(Truck!$Y$5,Truck!$Y$7)</c:f>
              <c:numCache>
                <c:formatCode>0.00</c:formatCode>
                <c:ptCount val="2"/>
                <c:pt idx="0">
                  <c:v>1.9415800146697157</c:v>
                </c:pt>
                <c:pt idx="1">
                  <c:v>1.6510621161783949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A9-45E8-A8C5-5CBD0EDAE9E1}"/>
            </c:ext>
          </c:extLst>
        </c:ser>
        <c:ser>
          <c:idx val="14"/>
          <c:order val="10"/>
          <c:tx>
            <c:v>Bus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3FA60"/>
              </a:solidFill>
              <a:ln w="9525">
                <a:noFill/>
              </a:ln>
              <a:effectLst/>
            </c:spPr>
          </c:marker>
          <c:xVal>
            <c:numRef>
              <c:f>Bus!$B$5</c:f>
              <c:numCache>
                <c:formatCode>0.00</c:formatCode>
                <c:ptCount val="1"/>
                <c:pt idx="0">
                  <c:v>27.78</c:v>
                </c:pt>
              </c:numCache>
            </c:numRef>
          </c:xVal>
          <c:yVal>
            <c:numRef>
              <c:f>Bus!$Y$5</c:f>
              <c:numCache>
                <c:formatCode>0.00</c:formatCode>
                <c:ptCount val="1"/>
                <c:pt idx="0">
                  <c:v>0.42749564433237902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A9-45E8-A8C5-5CBD0EDAE9E1}"/>
            </c:ext>
          </c:extLst>
        </c:ser>
        <c:ser>
          <c:idx val="7"/>
          <c:order val="11"/>
          <c:tx>
            <c:v>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D4D4D"/>
              </a:solidFill>
              <a:ln w="9525">
                <a:noFill/>
              </a:ln>
              <a:effectLst/>
            </c:spPr>
          </c:marker>
          <c:xVal>
            <c:numRef>
              <c:f>Train!$C$5:$C$6</c:f>
              <c:numCache>
                <c:formatCode>_(* #,##0.00_);_(* \(#,##0.00\);_(* "-"??_);_(@_)</c:formatCode>
                <c:ptCount val="2"/>
                <c:pt idx="0">
                  <c:v>88.888888888888886</c:v>
                </c:pt>
                <c:pt idx="1">
                  <c:v>83.333333333333329</c:v>
                </c:pt>
              </c:numCache>
            </c:numRef>
          </c:xVal>
          <c:yVal>
            <c:numRef>
              <c:f>Train!$S$5:$S$6</c:f>
              <c:numCache>
                <c:formatCode>_(* #,##0.00_);_(* \(#,##0.00\);_(* "-"??_);_(@_)</c:formatCode>
                <c:ptCount val="2"/>
                <c:pt idx="0">
                  <c:v>0.24404761904761904</c:v>
                </c:pt>
                <c:pt idx="1">
                  <c:v>0.24404761904761904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AB3-4D05-9768-DD2CCC9512F8}"/>
            </c:ext>
          </c:extLst>
        </c:ser>
        <c:ser>
          <c:idx val="8"/>
          <c:order val="12"/>
          <c:tx>
            <c:v>Living Vehicle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C66FF"/>
              </a:solidFill>
              <a:ln w="9525">
                <a:noFill/>
              </a:ln>
              <a:effectLst/>
            </c:spPr>
          </c:marker>
          <c:xVal>
            <c:numRef>
              <c:f>'Human and Animal'!$F$5:$F$13</c:f>
              <c:numCache>
                <c:formatCode>0.00</c:formatCode>
                <c:ptCount val="9"/>
                <c:pt idx="0">
                  <c:v>1.3410818059901652</c:v>
                </c:pt>
                <c:pt idx="1">
                  <c:v>4.0232454179704957</c:v>
                </c:pt>
                <c:pt idx="2">
                  <c:v>10.013410818059901</c:v>
                </c:pt>
                <c:pt idx="3">
                  <c:v>6.9289226642825206</c:v>
                </c:pt>
                <c:pt idx="4">
                  <c:v>11.175681716584711</c:v>
                </c:pt>
                <c:pt idx="5">
                  <c:v>17.031738936075101</c:v>
                </c:pt>
                <c:pt idx="6">
                  <c:v>2.0116227089852479</c:v>
                </c:pt>
                <c:pt idx="7">
                  <c:v>4.0232454179704957</c:v>
                </c:pt>
                <c:pt idx="8">
                  <c:v>17.210549843540456</c:v>
                </c:pt>
              </c:numCache>
            </c:numRef>
          </c:xVal>
          <c:yVal>
            <c:numRef>
              <c:f>'Human and Animal'!$U$5:$U$13</c:f>
              <c:numCache>
                <c:formatCode>0.00</c:formatCode>
                <c:ptCount val="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0.90909090909090906</c:v>
                </c:pt>
                <c:pt idx="4">
                  <c:v>0.90909090909090906</c:v>
                </c:pt>
                <c:pt idx="5">
                  <c:v>0.90909090909090906</c:v>
                </c:pt>
                <c:pt idx="6">
                  <c:v>0.24663677130044842</c:v>
                </c:pt>
                <c:pt idx="7">
                  <c:v>0.24663677130044842</c:v>
                </c:pt>
                <c:pt idx="8">
                  <c:v>0.24663677130044842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AB3-4D05-9768-DD2CCC9512F8}"/>
            </c:ext>
          </c:extLst>
        </c:ser>
        <c:ser>
          <c:idx val="9"/>
          <c:order val="13"/>
          <c:tx>
            <c:v>Hyperloop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Hyperloop!$F$5:$F$6</c:f>
              <c:numCache>
                <c:formatCode>0.00</c:formatCode>
                <c:ptCount val="2"/>
                <c:pt idx="0">
                  <c:v>339.75</c:v>
                </c:pt>
                <c:pt idx="1">
                  <c:v>339.75</c:v>
                </c:pt>
              </c:numCache>
            </c:numRef>
          </c:xVal>
          <c:yVal>
            <c:numRef>
              <c:f>Hyperloop!$V$5:$V$6</c:f>
              <c:numCache>
                <c:formatCode>0.00</c:formatCode>
                <c:ptCount val="2"/>
                <c:pt idx="0">
                  <c:v>0.63131313131313116</c:v>
                </c:pt>
                <c:pt idx="1">
                  <c:v>0.63131313131313116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AB3-4D05-9768-DD2CCC9512F8}"/>
            </c:ext>
          </c:extLst>
        </c:ser>
        <c:ser>
          <c:idx val="12"/>
          <c:order val="14"/>
          <c:tx>
            <c:v>Oil and Gas Pipeline (Electirc)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Pipeline'!$Z$5:$Z$7</c:f>
              <c:numCache>
                <c:formatCode>General</c:formatCode>
                <c:ptCount val="3"/>
                <c:pt idx="0">
                  <c:v>3.3942927468491586</c:v>
                </c:pt>
                <c:pt idx="1">
                  <c:v>1.4514269836604432</c:v>
                </c:pt>
                <c:pt idx="2">
                  <c:v>0.59173096851057938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78-4EFB-99D2-DDC613DDEE79}"/>
            </c:ext>
          </c:extLst>
        </c:ser>
        <c:ser>
          <c:idx val="15"/>
          <c:order val="15"/>
          <c:tx>
            <c:v>Oil and Gas Pipeline (Diesel)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Pipeline'!$AC$5:$AC$7</c:f>
              <c:numCache>
                <c:formatCode>General</c:formatCode>
                <c:ptCount val="3"/>
                <c:pt idx="0">
                  <c:v>1.9440040277408819</c:v>
                </c:pt>
                <c:pt idx="1">
                  <c:v>0.83127181791461735</c:v>
                </c:pt>
                <c:pt idx="2">
                  <c:v>0.33890046378333177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A9-45E8-A8C5-5CBD0EDAE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49280"/>
        <c:axId val="19366374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5"/>
                <c:tx>
                  <c:v>Unpowered Flight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Glider!$F$5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30.85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Glider!$O$6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619.0971428571429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DAB3-4D05-9768-DD2CCC9512F8}"/>
                  </c:ext>
                </c:extLst>
              </c15:ser>
            </c15:filteredScatterSeries>
          </c:ext>
        </c:extLst>
      </c:scatterChart>
      <c:valAx>
        <c:axId val="19364928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Cruise</a:t>
                </a:r>
                <a:r>
                  <a:rPr lang="en-GB" baseline="0"/>
                  <a:t> speed [m/s]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63744"/>
        <c:crosses val="autoZero"/>
        <c:crossBetween val="midCat"/>
      </c:valAx>
      <c:valAx>
        <c:axId val="193663744"/>
        <c:scaling>
          <c:logBase val="10"/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s*m/E_prim [mkg/J]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49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4113364370958799"/>
          <c:y val="5.7166178362541502E-2"/>
          <c:w val="0.13675502604709519"/>
          <c:h val="0.444072976543648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6480721322229"/>
          <c:y val="6.3344150640623501E-2"/>
          <c:w val="0.80893608352684787"/>
          <c:h val="0.8161173194357868"/>
        </c:manualLayout>
      </c:layout>
      <c:scatterChart>
        <c:scatterStyle val="lineMarker"/>
        <c:varyColors val="0"/>
        <c:ser>
          <c:idx val="0"/>
          <c:order val="0"/>
          <c:tx>
            <c:v>Subsonic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3388E8D-A0F2-4803-A1EB-B11E06D9872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7B9-4B77-8E59-939F7B71B398}"/>
                </c:ext>
              </c:extLst>
            </c:dLbl>
            <c:dLbl>
              <c:idx val="1"/>
              <c:layout>
                <c:manualLayout>
                  <c:x val="3.5847254940784598E-2"/>
                  <c:y val="-7.2924605910454077E-3"/>
                </c:manualLayout>
              </c:layout>
              <c:tx>
                <c:rich>
                  <a:bodyPr/>
                  <a:lstStyle/>
                  <a:p>
                    <a:fld id="{8F47CE23-3280-43E3-A5EF-BF2743EF049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7B9-4B77-8E59-939F7B71B398}"/>
                </c:ext>
              </c:extLst>
            </c:dLbl>
            <c:dLbl>
              <c:idx val="2"/>
              <c:layout>
                <c:manualLayout>
                  <c:x val="9.1609651515338411E-2"/>
                  <c:y val="1.2154100985075527E-2"/>
                </c:manualLayout>
              </c:layout>
              <c:tx>
                <c:rich>
                  <a:bodyPr/>
                  <a:lstStyle/>
                  <a:p>
                    <a:fld id="{1DDD93E2-6EBE-44FB-97DF-7A692786B2C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7B9-4B77-8E59-939F7B71B398}"/>
                </c:ext>
              </c:extLst>
            </c:dLbl>
            <c:dLbl>
              <c:idx val="3"/>
              <c:layout>
                <c:manualLayout>
                  <c:x val="-4.1157959376456395E-2"/>
                  <c:y val="-0.13612593103284593"/>
                </c:manualLayout>
              </c:layout>
              <c:tx>
                <c:rich>
                  <a:bodyPr/>
                  <a:lstStyle/>
                  <a:p>
                    <a:fld id="{BC71A46E-9224-4F73-A0D0-7F7A75A01B0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7B9-4B77-8E59-939F7B71B398}"/>
                </c:ext>
              </c:extLst>
            </c:dLbl>
            <c:dLbl>
              <c:idx val="4"/>
              <c:layout>
                <c:manualLayout>
                  <c:x val="-0.12347387812936921"/>
                  <c:y val="-4.3754763546271822E-2"/>
                </c:manualLayout>
              </c:layout>
              <c:tx>
                <c:rich>
                  <a:bodyPr/>
                  <a:lstStyle/>
                  <a:p>
                    <a:fld id="{EA81F70A-F8FB-4086-9787-0BBD983271A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C7B9-4B77-8E59-939F7B71B39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7BAE7F3-B08C-439D-973F-C0DC66B9BF5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7B9-4B77-8E59-939F7B71B398}"/>
                </c:ext>
              </c:extLst>
            </c:dLbl>
            <c:dLbl>
              <c:idx val="6"/>
              <c:layout>
                <c:manualLayout>
                  <c:x val="-0.11019711704018971"/>
                  <c:y val="-0.12640265024478547"/>
                </c:manualLayout>
              </c:layout>
              <c:tx>
                <c:rich>
                  <a:bodyPr/>
                  <a:lstStyle/>
                  <a:p>
                    <a:fld id="{8CC8649F-D8A1-4C8F-BA26-EE4C14A0EFA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7B9-4B77-8E59-939F7B71B398}"/>
                </c:ext>
              </c:extLst>
            </c:dLbl>
            <c:dLbl>
              <c:idx val="7"/>
              <c:layout>
                <c:manualLayout>
                  <c:x val="-0.11683549758477946"/>
                  <c:y val="-2.6739022167166258E-2"/>
                </c:manualLayout>
              </c:layout>
              <c:tx>
                <c:rich>
                  <a:bodyPr/>
                  <a:lstStyle/>
                  <a:p>
                    <a:fld id="{EA1F6FF4-0A03-456C-BF04-385FA88FDFA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7B9-4B77-8E59-939F7B71B398}"/>
                </c:ext>
              </c:extLst>
            </c:dLbl>
            <c:dLbl>
              <c:idx val="8"/>
              <c:layout>
                <c:manualLayout>
                  <c:x val="-0.11683549758477944"/>
                  <c:y val="4.8616403940302134E-3"/>
                </c:manualLayout>
              </c:layout>
              <c:tx>
                <c:rich>
                  <a:bodyPr/>
                  <a:lstStyle/>
                  <a:p>
                    <a:fld id="{3845A6A3-C6B9-4D1E-B625-BC733A0DE85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C7B9-4B77-8E59-939F7B71B39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1CA868E-AE51-4340-B9E5-4A205A7C0BF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7B9-4B77-8E59-939F7B71B398}"/>
                </c:ext>
              </c:extLst>
            </c:dLbl>
            <c:dLbl>
              <c:idx val="10"/>
              <c:layout>
                <c:manualLayout>
                  <c:x val="-0.10621408871343588"/>
                  <c:y val="-0.10209444827463447"/>
                </c:manualLayout>
              </c:layout>
              <c:tx>
                <c:rich>
                  <a:bodyPr/>
                  <a:lstStyle/>
                  <a:p>
                    <a:fld id="{6E39A420-ADCD-42BA-8AF9-06090A3C9E9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C7B9-4B77-8E59-939F7B71B39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B3779A0-A7B9-4E9F-BF36-0C64EE5C717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7B9-4B77-8E59-939F7B71B39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C5EFC65-0FA8-4B6B-9B47-A1385070149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7B9-4B77-8E59-939F7B71B39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C57BD9F-DDFE-4051-8EAA-0A485206A16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7B9-4B77-8E59-939F7B71B39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BC1783A-422A-4290-A714-43065C1B62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7B9-4B77-8E59-939F7B71B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'Subsonic Aircraft'!$K$5:$K$19</c:f>
              <c:numCache>
                <c:formatCode>0.000000</c:formatCode>
                <c:ptCount val="15"/>
                <c:pt idx="0">
                  <c:v>4.3200276481769485E-3</c:v>
                </c:pt>
                <c:pt idx="1">
                  <c:v>4.3393360815795184E-3</c:v>
                </c:pt>
                <c:pt idx="2">
                  <c:v>4.0500587258515252E-3</c:v>
                </c:pt>
                <c:pt idx="3">
                  <c:v>4.0165481784954007E-3</c:v>
                </c:pt>
                <c:pt idx="4">
                  <c:v>3.8880248833592537E-3</c:v>
                </c:pt>
                <c:pt idx="5">
                  <c:v>3.9591416580885266E-3</c:v>
                </c:pt>
                <c:pt idx="6">
                  <c:v>3.7894577285990379E-3</c:v>
                </c:pt>
                <c:pt idx="7">
                  <c:v>3.9592984123213368E-3</c:v>
                </c:pt>
                <c:pt idx="8">
                  <c:v>3.9835876190096797E-3</c:v>
                </c:pt>
                <c:pt idx="9">
                  <c:v>4.4485964678144044E-3</c:v>
                </c:pt>
                <c:pt idx="10">
                  <c:v>3.8106851611919819E-3</c:v>
                </c:pt>
                <c:pt idx="11">
                  <c:v>4.6957175056348607E-3</c:v>
                </c:pt>
                <c:pt idx="12">
                  <c:v>4.2353140485366985E-3</c:v>
                </c:pt>
                <c:pt idx="13">
                  <c:v>5.2143080613202631E-3</c:v>
                </c:pt>
                <c:pt idx="14">
                  <c:v>3.9432176656151417E-3</c:v>
                </c:pt>
              </c:numCache>
            </c:numRef>
          </c:xVal>
          <c:yVal>
            <c:numRef>
              <c:f>'Subsonic Aircraft'!$X$5:$X$21</c:f>
              <c:numCache>
                <c:formatCode>0.00</c:formatCode>
                <c:ptCount val="17"/>
                <c:pt idx="0">
                  <c:v>5.4786914623329954</c:v>
                </c:pt>
                <c:pt idx="1">
                  <c:v>6.4588658578152378</c:v>
                </c:pt>
                <c:pt idx="2">
                  <c:v>6.2584357383308102</c:v>
                </c:pt>
                <c:pt idx="3">
                  <c:v>6.3079153349579578</c:v>
                </c:pt>
                <c:pt idx="4">
                  <c:v>6.3202111229969411</c:v>
                </c:pt>
                <c:pt idx="5">
                  <c:v>9.4474688181168922</c:v>
                </c:pt>
                <c:pt idx="6">
                  <c:v>6.8509242121095255</c:v>
                </c:pt>
                <c:pt idx="7">
                  <c:v>5.4901488018438647</c:v>
                </c:pt>
                <c:pt idx="8">
                  <c:v>5.148419509900819</c:v>
                </c:pt>
                <c:pt idx="9">
                  <c:v>4.1021496950562648</c:v>
                </c:pt>
                <c:pt idx="10">
                  <c:v>6.3231010558943845</c:v>
                </c:pt>
                <c:pt idx="11">
                  <c:v>8.4729789779699161</c:v>
                </c:pt>
                <c:pt idx="12">
                  <c:v>12.237435237302213</c:v>
                </c:pt>
                <c:pt idx="13">
                  <c:v>38.321094500751521</c:v>
                </c:pt>
                <c:pt idx="14">
                  <c:v>19.250336175522317</c:v>
                </c:pt>
                <c:pt idx="15">
                  <c:v>5.1155117442946914</c:v>
                </c:pt>
                <c:pt idx="16">
                  <c:v>3.820593650331956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Aircraft'!$A$5:$A$19</c15:f>
                <c15:dlblRangeCache>
                  <c:ptCount val="15"/>
                  <c:pt idx="0">
                    <c:v>A321-200</c:v>
                  </c:pt>
                  <c:pt idx="1">
                    <c:v>A320-200</c:v>
                  </c:pt>
                  <c:pt idx="2">
                    <c:v>A300-600R</c:v>
                  </c:pt>
                  <c:pt idx="3">
                    <c:v>A310-300</c:v>
                  </c:pt>
                  <c:pt idx="4">
                    <c:v>A340-300</c:v>
                  </c:pt>
                  <c:pt idx="5">
                    <c:v>B747-400</c:v>
                  </c:pt>
                  <c:pt idx="6">
                    <c:v>B757-200</c:v>
                  </c:pt>
                  <c:pt idx="7">
                    <c:v>B737-300</c:v>
                  </c:pt>
                  <c:pt idx="8">
                    <c:v>B767-300</c:v>
                  </c:pt>
                  <c:pt idx="9">
                    <c:v>MD90-30</c:v>
                  </c:pt>
                  <c:pt idx="10">
                    <c:v>MD-11</c:v>
                  </c:pt>
                  <c:pt idx="11">
                    <c:v>Fokker 100</c:v>
                  </c:pt>
                  <c:pt idx="12">
                    <c:v>TU-154M</c:v>
                  </c:pt>
                  <c:pt idx="13">
                    <c:v>YB-49</c:v>
                  </c:pt>
                  <c:pt idx="14">
                    <c:v>Avro Vulcan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6F84-4377-9CD4-B724AF3E6559}"/>
            </c:ext>
          </c:extLst>
        </c:ser>
        <c:ser>
          <c:idx val="1"/>
          <c:order val="1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1D68F3A-FAC8-452C-B277-26C9F20FEB5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C7B9-4B77-8E59-939F7B71B39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DB8D933-D87D-437A-8CBC-A28C3F9968F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7B9-4B77-8E59-939F7B71B3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0936DD-E2F4-4963-A209-30F52DBD4BF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7B9-4B77-8E59-939F7B71B3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DF2734D-AF21-4536-990B-8525F39E29C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7B9-4B77-8E59-939F7B71B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Helicopter!$E$5:$E$8</c:f>
              <c:numCache>
                <c:formatCode>General</c:formatCode>
                <c:ptCount val="4"/>
                <c:pt idx="0">
                  <c:v>1.7998560115190784E-2</c:v>
                </c:pt>
                <c:pt idx="1">
                  <c:v>1.7822135091783996E-2</c:v>
                </c:pt>
                <c:pt idx="2">
                  <c:v>1.5318627450980392E-2</c:v>
                </c:pt>
                <c:pt idx="3">
                  <c:v>1.764602082230457E-2</c:v>
                </c:pt>
              </c:numCache>
            </c:numRef>
          </c:xVal>
          <c:yVal>
            <c:numRef>
              <c:f>Helicopter!$R$5:$R$8</c:f>
              <c:numCache>
                <c:formatCode>_(* #,##0.00_);_(* \(#,##0.00\);_(* "-"??_);_(@_)</c:formatCode>
                <c:ptCount val="4"/>
                <c:pt idx="0">
                  <c:v>17.819217819217819</c:v>
                </c:pt>
                <c:pt idx="1">
                  <c:v>16.858613085028178</c:v>
                </c:pt>
                <c:pt idx="2">
                  <c:v>27.632585271370452</c:v>
                </c:pt>
                <c:pt idx="3">
                  <c:v>26.814958717824187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Helicopter!$A$5:$A$8</c15:f>
                <c15:dlblRangeCache>
                  <c:ptCount val="4"/>
                  <c:pt idx="0">
                    <c:v>R44 Raven I</c:v>
                  </c:pt>
                  <c:pt idx="1">
                    <c:v>R44 Raven II</c:v>
                  </c:pt>
                  <c:pt idx="2">
                    <c:v>AS350 B3</c:v>
                  </c:pt>
                  <c:pt idx="3">
                    <c:v>EC120 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5-6F84-4377-9CD4-B724AF3E6559}"/>
            </c:ext>
          </c:extLst>
        </c:ser>
        <c:ser>
          <c:idx val="2"/>
          <c:order val="2"/>
          <c:tx>
            <c:v>Lighter than 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2004468879128623E-2"/>
                  <c:y val="-6.9340512304728865E-3"/>
                </c:manualLayout>
              </c:layout>
              <c:tx>
                <c:rich>
                  <a:bodyPr/>
                  <a:lstStyle/>
                  <a:p>
                    <a:fld id="{41588BC6-FCEE-4E1C-A65A-4143FEBC53D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C7B9-4B77-8E59-939F7B71B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Airship!$H$5</c:f>
              <c:numCache>
                <c:formatCode>0.00</c:formatCode>
                <c:ptCount val="1"/>
                <c:pt idx="0">
                  <c:v>2.880184331797235E-2</c:v>
                </c:pt>
              </c:numCache>
            </c:numRef>
          </c:xVal>
          <c:yVal>
            <c:numRef>
              <c:f>Airship!$Z$5</c:f>
              <c:numCache>
                <c:formatCode>0.00</c:formatCode>
                <c:ptCount val="1"/>
                <c:pt idx="0">
                  <c:v>4.6781236676971591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Airship!$A$5</c15:f>
                <c15:dlblRangeCache>
                  <c:ptCount val="1"/>
                  <c:pt idx="0">
                    <c:v>LZ 129 Hindenburg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6F84-4377-9CD4-B724AF3E6559}"/>
            </c:ext>
          </c:extLst>
        </c:ser>
        <c:ser>
          <c:idx val="4"/>
          <c:order val="3"/>
          <c:tx>
            <c:v>Supersonic 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Concorde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16-C7B9-4B77-8E59-939F7B71B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'Supersonic Aircraft'!$I$5</c:f>
              <c:numCache>
                <c:formatCode>0.000</c:formatCode>
                <c:ptCount val="1"/>
                <c:pt idx="0">
                  <c:v>1.6682113067655235E-3</c:v>
                </c:pt>
              </c:numCache>
            </c:numRef>
          </c:xVal>
          <c:yVal>
            <c:numRef>
              <c:f>'Supersonic Aircraft'!$V$5</c:f>
              <c:numCache>
                <c:formatCode>0.000</c:formatCode>
                <c:ptCount val="1"/>
                <c:pt idx="0">
                  <c:v>43.779951201206337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'Supersonic Aircraft'!$A$5</c15:f>
                <c15:dlblRangeCache>
                  <c:ptCount val="1"/>
                  <c:pt idx="0">
                    <c:v>Concorde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6F84-4377-9CD4-B724AF3E6559}"/>
            </c:ext>
          </c:extLst>
        </c:ser>
        <c:ser>
          <c:idx val="5"/>
          <c:order val="4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0.13446372546729887"/>
                  <c:y val="4.9077165727985372E-2"/>
                </c:manualLayout>
              </c:layout>
              <c:tx>
                <c:rich>
                  <a:bodyPr/>
                  <a:lstStyle/>
                  <a:p>
                    <a:fld id="{20A49B40-9490-4733-82A4-75A442CC254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7B9-4B77-8E59-939F7B71B398}"/>
                </c:ext>
              </c:extLst>
            </c:dLbl>
            <c:dLbl>
              <c:idx val="1"/>
              <c:layout>
                <c:manualLayout>
                  <c:x val="-3.7436845801929117E-2"/>
                  <c:y val="4.5912158646702173E-2"/>
                </c:manualLayout>
              </c:layout>
              <c:tx>
                <c:rich>
                  <a:bodyPr/>
                  <a:lstStyle/>
                  <a:p>
                    <a:fld id="{A734D16A-23A2-4A6A-A8C9-9C7E014E53A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7B9-4B77-8E59-939F7B71B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'Subsonic Aircraft'!$K$20:$K$21</c:f>
              <c:numCache>
                <c:formatCode>0.000000</c:formatCode>
                <c:ptCount val="2"/>
                <c:pt idx="0">
                  <c:v>3.9591416580885266E-3</c:v>
                </c:pt>
                <c:pt idx="1">
                  <c:v>3.8106851611919819E-3</c:v>
                </c:pt>
              </c:numCache>
            </c:numRef>
          </c:xVal>
          <c:yVal>
            <c:numRef>
              <c:f>'Subsonic Aircraft'!$X$20:$X$21</c:f>
              <c:numCache>
                <c:formatCode>0.00</c:formatCode>
                <c:ptCount val="2"/>
                <c:pt idx="0">
                  <c:v>5.1155117442946914</c:v>
                </c:pt>
                <c:pt idx="1">
                  <c:v>3.820593650331956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'Subsonic Aircraft'!$A$20:$A$21</c15:f>
                <c15:dlblRangeCache>
                  <c:ptCount val="2"/>
                  <c:pt idx="0">
                    <c:v>B747-400 (Cargo)</c:v>
                  </c:pt>
                  <c:pt idx="1">
                    <c:v>MD-11 (Cargo)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C-6F84-4377-9CD4-B724AF3E6559}"/>
            </c:ext>
          </c:extLst>
        </c:ser>
        <c:ser>
          <c:idx val="3"/>
          <c:order val="5"/>
          <c:tx>
            <c:v>Line MD-11 (Cargo)</c:v>
          </c:tx>
          <c:spPr>
            <a:ln w="158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'a_E MD-11(Cargo)'!$D$2:$D$104</c:f>
              <c:numCache>
                <c:formatCode>_-* #,##0.0000_-;\-* #,##0.0000_-;_-* "-"??_-;_-@_-</c:formatCode>
                <c:ptCount val="103"/>
                <c:pt idx="0">
                  <c:v>0.1</c:v>
                </c:pt>
                <c:pt idx="1">
                  <c:v>0.05</c:v>
                </c:pt>
                <c:pt idx="2">
                  <c:v>3.3333333333333333E-2</c:v>
                </c:pt>
                <c:pt idx="3">
                  <c:v>2.5000000000000001E-2</c:v>
                </c:pt>
                <c:pt idx="4">
                  <c:v>0.02</c:v>
                </c:pt>
                <c:pt idx="5">
                  <c:v>1.6666666666666666E-2</c:v>
                </c:pt>
                <c:pt idx="6">
                  <c:v>1.4285714285714285E-2</c:v>
                </c:pt>
                <c:pt idx="7">
                  <c:v>1.2500000000000001E-2</c:v>
                </c:pt>
                <c:pt idx="8">
                  <c:v>1.1111111111111112E-2</c:v>
                </c:pt>
                <c:pt idx="9">
                  <c:v>0.01</c:v>
                </c:pt>
                <c:pt idx="10">
                  <c:v>9.0909090909090905E-3</c:v>
                </c:pt>
                <c:pt idx="11">
                  <c:v>8.3333333333333332E-3</c:v>
                </c:pt>
                <c:pt idx="12">
                  <c:v>7.6923076923076927E-3</c:v>
                </c:pt>
                <c:pt idx="13">
                  <c:v>7.1428571428571426E-3</c:v>
                </c:pt>
                <c:pt idx="14">
                  <c:v>6.6666666666666671E-3</c:v>
                </c:pt>
                <c:pt idx="15">
                  <c:v>6.2500000000000003E-3</c:v>
                </c:pt>
                <c:pt idx="16">
                  <c:v>5.8823529411764705E-3</c:v>
                </c:pt>
                <c:pt idx="17">
                  <c:v>5.5555555555555558E-3</c:v>
                </c:pt>
                <c:pt idx="18">
                  <c:v>5.263157894736842E-3</c:v>
                </c:pt>
                <c:pt idx="19">
                  <c:v>5.0000000000000001E-3</c:v>
                </c:pt>
                <c:pt idx="20">
                  <c:v>4.7619047619047623E-3</c:v>
                </c:pt>
                <c:pt idx="21">
                  <c:v>4.5454545454545452E-3</c:v>
                </c:pt>
                <c:pt idx="22">
                  <c:v>4.3478260869565218E-3</c:v>
                </c:pt>
                <c:pt idx="23">
                  <c:v>4.1666666666666666E-3</c:v>
                </c:pt>
                <c:pt idx="24">
                  <c:v>4.0000000000000001E-3</c:v>
                </c:pt>
                <c:pt idx="25">
                  <c:v>3.8106851611919819E-3</c:v>
                </c:pt>
                <c:pt idx="26">
                  <c:v>3.7037037037037038E-3</c:v>
                </c:pt>
                <c:pt idx="27">
                  <c:v>3.5714285714285713E-3</c:v>
                </c:pt>
                <c:pt idx="28">
                  <c:v>3.4482758620689655E-3</c:v>
                </c:pt>
                <c:pt idx="29">
                  <c:v>3.3333333333333335E-3</c:v>
                </c:pt>
                <c:pt idx="30">
                  <c:v>3.2258064516129032E-3</c:v>
                </c:pt>
                <c:pt idx="31">
                  <c:v>3.1250000000000002E-3</c:v>
                </c:pt>
                <c:pt idx="32">
                  <c:v>3.0303030303030303E-3</c:v>
                </c:pt>
                <c:pt idx="33">
                  <c:v>2.9411764705882353E-3</c:v>
                </c:pt>
                <c:pt idx="34">
                  <c:v>2.8571428571428571E-3</c:v>
                </c:pt>
                <c:pt idx="35">
                  <c:v>2.7777777777777779E-3</c:v>
                </c:pt>
                <c:pt idx="36">
                  <c:v>2.7027027027027029E-3</c:v>
                </c:pt>
                <c:pt idx="37">
                  <c:v>2.631578947368421E-3</c:v>
                </c:pt>
                <c:pt idx="38">
                  <c:v>2.5641025641025641E-3</c:v>
                </c:pt>
                <c:pt idx="39">
                  <c:v>2.5000000000000001E-3</c:v>
                </c:pt>
                <c:pt idx="40">
                  <c:v>2.4390243902439024E-3</c:v>
                </c:pt>
                <c:pt idx="41">
                  <c:v>2.3809523809523812E-3</c:v>
                </c:pt>
                <c:pt idx="42">
                  <c:v>2.3255813953488372E-3</c:v>
                </c:pt>
                <c:pt idx="43">
                  <c:v>2.2727272727272726E-3</c:v>
                </c:pt>
                <c:pt idx="44">
                  <c:v>2.2222222222222222E-3</c:v>
                </c:pt>
                <c:pt idx="45">
                  <c:v>2.1739130434782609E-3</c:v>
                </c:pt>
                <c:pt idx="46">
                  <c:v>2.1276595744680851E-3</c:v>
                </c:pt>
                <c:pt idx="47">
                  <c:v>2.0833333333333333E-3</c:v>
                </c:pt>
                <c:pt idx="48">
                  <c:v>2.0408163265306124E-3</c:v>
                </c:pt>
                <c:pt idx="49">
                  <c:v>2E-3</c:v>
                </c:pt>
                <c:pt idx="50">
                  <c:v>1.9607843137254902E-3</c:v>
                </c:pt>
                <c:pt idx="51">
                  <c:v>1.9230769230769232E-3</c:v>
                </c:pt>
                <c:pt idx="52">
                  <c:v>1.8867924528301887E-3</c:v>
                </c:pt>
                <c:pt idx="53">
                  <c:v>1.8518518518518519E-3</c:v>
                </c:pt>
                <c:pt idx="54">
                  <c:v>1.8181818181818182E-3</c:v>
                </c:pt>
                <c:pt idx="55">
                  <c:v>1.7857142857142857E-3</c:v>
                </c:pt>
                <c:pt idx="56">
                  <c:v>1.7543859649122807E-3</c:v>
                </c:pt>
                <c:pt idx="57">
                  <c:v>1.7241379310344827E-3</c:v>
                </c:pt>
                <c:pt idx="58">
                  <c:v>1.6949152542372881E-3</c:v>
                </c:pt>
                <c:pt idx="59">
                  <c:v>1.6666666666666668E-3</c:v>
                </c:pt>
                <c:pt idx="60">
                  <c:v>1.639344262295082E-3</c:v>
                </c:pt>
                <c:pt idx="61">
                  <c:v>1.6129032258064516E-3</c:v>
                </c:pt>
                <c:pt idx="62">
                  <c:v>1.5873015873015873E-3</c:v>
                </c:pt>
                <c:pt idx="63">
                  <c:v>1.5625000000000001E-3</c:v>
                </c:pt>
                <c:pt idx="64">
                  <c:v>1.5384615384615385E-3</c:v>
                </c:pt>
                <c:pt idx="65">
                  <c:v>1.5151515151515152E-3</c:v>
                </c:pt>
                <c:pt idx="66">
                  <c:v>1.4925373134328358E-3</c:v>
                </c:pt>
                <c:pt idx="67">
                  <c:v>1.4705882352941176E-3</c:v>
                </c:pt>
                <c:pt idx="68">
                  <c:v>1.4492753623188406E-3</c:v>
                </c:pt>
                <c:pt idx="69">
                  <c:v>1.4285714285714286E-3</c:v>
                </c:pt>
                <c:pt idx="70">
                  <c:v>1.4084507042253522E-3</c:v>
                </c:pt>
                <c:pt idx="71">
                  <c:v>1.3888888888888889E-3</c:v>
                </c:pt>
                <c:pt idx="72">
                  <c:v>1.3698630136986301E-3</c:v>
                </c:pt>
                <c:pt idx="73">
                  <c:v>1.3513513513513514E-3</c:v>
                </c:pt>
                <c:pt idx="74">
                  <c:v>1.3333333333333333E-3</c:v>
                </c:pt>
                <c:pt idx="75">
                  <c:v>1.3157894736842105E-3</c:v>
                </c:pt>
                <c:pt idx="76">
                  <c:v>1.2987012987012987E-3</c:v>
                </c:pt>
                <c:pt idx="77">
                  <c:v>1.2820512820512821E-3</c:v>
                </c:pt>
                <c:pt idx="78">
                  <c:v>1.2658227848101266E-3</c:v>
                </c:pt>
                <c:pt idx="79">
                  <c:v>1.25E-3</c:v>
                </c:pt>
                <c:pt idx="80">
                  <c:v>1.2345679012345679E-3</c:v>
                </c:pt>
                <c:pt idx="81">
                  <c:v>1.2195121951219512E-3</c:v>
                </c:pt>
                <c:pt idx="82">
                  <c:v>1.2048192771084338E-3</c:v>
                </c:pt>
                <c:pt idx="83">
                  <c:v>1.1904761904761906E-3</c:v>
                </c:pt>
                <c:pt idx="84">
                  <c:v>1.176470588235294E-3</c:v>
                </c:pt>
                <c:pt idx="85">
                  <c:v>1.1627906976744186E-3</c:v>
                </c:pt>
                <c:pt idx="86">
                  <c:v>1.1494252873563218E-3</c:v>
                </c:pt>
                <c:pt idx="87">
                  <c:v>1.1363636363636363E-3</c:v>
                </c:pt>
                <c:pt idx="88">
                  <c:v>1.1235955056179776E-3</c:v>
                </c:pt>
                <c:pt idx="89">
                  <c:v>1.1111111111111111E-3</c:v>
                </c:pt>
                <c:pt idx="90">
                  <c:v>1.0989010989010989E-3</c:v>
                </c:pt>
                <c:pt idx="91">
                  <c:v>1.0869565217391304E-3</c:v>
                </c:pt>
                <c:pt idx="92">
                  <c:v>1.0752688172043011E-3</c:v>
                </c:pt>
                <c:pt idx="93">
                  <c:v>1.0638297872340426E-3</c:v>
                </c:pt>
                <c:pt idx="94">
                  <c:v>1.0526315789473684E-3</c:v>
                </c:pt>
                <c:pt idx="95">
                  <c:v>1.0416666666666667E-3</c:v>
                </c:pt>
                <c:pt idx="96">
                  <c:v>1.0309278350515464E-3</c:v>
                </c:pt>
                <c:pt idx="97">
                  <c:v>1.0204081632653062E-3</c:v>
                </c:pt>
                <c:pt idx="98">
                  <c:v>1.0101010101010101E-3</c:v>
                </c:pt>
                <c:pt idx="99">
                  <c:v>1E-3</c:v>
                </c:pt>
                <c:pt idx="100">
                  <c:v>5.0000000000000001E-4</c:v>
                </c:pt>
                <c:pt idx="101">
                  <c:v>3.3333333333333332E-4</c:v>
                </c:pt>
                <c:pt idx="102">
                  <c:v>2.0000000000000001E-4</c:v>
                </c:pt>
              </c:numCache>
            </c:numRef>
          </c:xVal>
          <c:yVal>
            <c:numRef>
              <c:f>'a_E MD-11(Cargo)'!$E$2:$E$104</c:f>
              <c:numCache>
                <c:formatCode>_-* #,##0.000_-;\-* #,##0.000_-;_-* "-"??_-;_-@_-</c:formatCode>
                <c:ptCount val="103"/>
                <c:pt idx="0">
                  <c:v>0.14559079530264293</c:v>
                </c:pt>
                <c:pt idx="1">
                  <c:v>0.29118159060528587</c:v>
                </c:pt>
                <c:pt idx="2">
                  <c:v>0.43677238590792877</c:v>
                </c:pt>
                <c:pt idx="3">
                  <c:v>0.58236318121057173</c:v>
                </c:pt>
                <c:pt idx="4">
                  <c:v>0.7279539765132147</c:v>
                </c:pt>
                <c:pt idx="5">
                  <c:v>0.87354477181585755</c:v>
                </c:pt>
                <c:pt idx="6">
                  <c:v>1.0191355671185005</c:v>
                </c:pt>
                <c:pt idx="7">
                  <c:v>1.1647263624211435</c:v>
                </c:pt>
                <c:pt idx="8">
                  <c:v>1.3103171577237864</c:v>
                </c:pt>
                <c:pt idx="9">
                  <c:v>1.4559079530264294</c:v>
                </c:pt>
                <c:pt idx="10">
                  <c:v>1.6014987483290724</c:v>
                </c:pt>
                <c:pt idx="11">
                  <c:v>1.7470895436317151</c:v>
                </c:pt>
                <c:pt idx="12">
                  <c:v>1.8926803389343578</c:v>
                </c:pt>
                <c:pt idx="13">
                  <c:v>2.038271134237001</c:v>
                </c:pt>
                <c:pt idx="14">
                  <c:v>2.1838619295396438</c:v>
                </c:pt>
                <c:pt idx="15">
                  <c:v>2.3294527248422869</c:v>
                </c:pt>
                <c:pt idx="16">
                  <c:v>2.4750435201449297</c:v>
                </c:pt>
                <c:pt idx="17">
                  <c:v>2.6206343154475729</c:v>
                </c:pt>
                <c:pt idx="18">
                  <c:v>2.7662251107502156</c:v>
                </c:pt>
                <c:pt idx="19">
                  <c:v>2.9118159060528588</c:v>
                </c:pt>
                <c:pt idx="20">
                  <c:v>3.0574067013555015</c:v>
                </c:pt>
                <c:pt idx="21">
                  <c:v>3.2029974966581447</c:v>
                </c:pt>
                <c:pt idx="22">
                  <c:v>3.3485882919607874</c:v>
                </c:pt>
                <c:pt idx="23">
                  <c:v>3.4941790872634302</c:v>
                </c:pt>
                <c:pt idx="24">
                  <c:v>3.6397698825660729</c:v>
                </c:pt>
                <c:pt idx="25">
                  <c:v>3.820593650331956</c:v>
                </c:pt>
                <c:pt idx="26">
                  <c:v>3.9309514731713588</c:v>
                </c:pt>
                <c:pt idx="27">
                  <c:v>4.076542268474002</c:v>
                </c:pt>
                <c:pt idx="28">
                  <c:v>4.2221330637766448</c:v>
                </c:pt>
                <c:pt idx="29">
                  <c:v>4.3677238590792875</c:v>
                </c:pt>
                <c:pt idx="30">
                  <c:v>4.5133146543819311</c:v>
                </c:pt>
                <c:pt idx="31">
                  <c:v>4.6589054496845739</c:v>
                </c:pt>
                <c:pt idx="32">
                  <c:v>4.8044962449872166</c:v>
                </c:pt>
                <c:pt idx="33">
                  <c:v>4.9500870402898594</c:v>
                </c:pt>
                <c:pt idx="34">
                  <c:v>5.095677835592503</c:v>
                </c:pt>
                <c:pt idx="35">
                  <c:v>5.2412686308951457</c:v>
                </c:pt>
                <c:pt idx="36">
                  <c:v>5.3868594261977876</c:v>
                </c:pt>
                <c:pt idx="37">
                  <c:v>5.5324502215004312</c:v>
                </c:pt>
                <c:pt idx="38">
                  <c:v>5.6780410168030739</c:v>
                </c:pt>
                <c:pt idx="39">
                  <c:v>5.8236318121057176</c:v>
                </c:pt>
                <c:pt idx="40">
                  <c:v>5.9692226074083594</c:v>
                </c:pt>
                <c:pt idx="41">
                  <c:v>6.114813402711003</c:v>
                </c:pt>
                <c:pt idx="42">
                  <c:v>6.2604041980136458</c:v>
                </c:pt>
                <c:pt idx="43">
                  <c:v>6.4059949933162894</c:v>
                </c:pt>
                <c:pt idx="44">
                  <c:v>6.5515857886189321</c:v>
                </c:pt>
                <c:pt idx="45">
                  <c:v>6.6971765839215749</c:v>
                </c:pt>
                <c:pt idx="46">
                  <c:v>6.8427673792242176</c:v>
                </c:pt>
                <c:pt idx="47">
                  <c:v>6.9883581745268604</c:v>
                </c:pt>
                <c:pt idx="48">
                  <c:v>7.133948969829504</c:v>
                </c:pt>
                <c:pt idx="49">
                  <c:v>7.2795397651321458</c:v>
                </c:pt>
                <c:pt idx="50">
                  <c:v>7.4251305604347886</c:v>
                </c:pt>
                <c:pt idx="51">
                  <c:v>7.5707213557374313</c:v>
                </c:pt>
                <c:pt idx="52">
                  <c:v>7.716312151040075</c:v>
                </c:pt>
                <c:pt idx="53">
                  <c:v>7.8619029463427177</c:v>
                </c:pt>
                <c:pt idx="54">
                  <c:v>8.0074937416453604</c:v>
                </c:pt>
                <c:pt idx="55">
                  <c:v>8.1530845369480041</c:v>
                </c:pt>
                <c:pt idx="56">
                  <c:v>8.2986753322506477</c:v>
                </c:pt>
                <c:pt idx="57">
                  <c:v>8.4442661275532895</c:v>
                </c:pt>
                <c:pt idx="58">
                  <c:v>8.5898569228559332</c:v>
                </c:pt>
                <c:pt idx="59">
                  <c:v>8.735447718158575</c:v>
                </c:pt>
                <c:pt idx="60">
                  <c:v>8.8810385134612186</c:v>
                </c:pt>
                <c:pt idx="61">
                  <c:v>9.0266293087638623</c:v>
                </c:pt>
                <c:pt idx="62">
                  <c:v>9.1722201040665041</c:v>
                </c:pt>
                <c:pt idx="63">
                  <c:v>9.3178108993691477</c:v>
                </c:pt>
                <c:pt idx="64">
                  <c:v>9.4634016946717896</c:v>
                </c:pt>
                <c:pt idx="65">
                  <c:v>9.6089924899744332</c:v>
                </c:pt>
                <c:pt idx="66">
                  <c:v>9.7545832852770751</c:v>
                </c:pt>
                <c:pt idx="67">
                  <c:v>9.9001740805797187</c:v>
                </c:pt>
                <c:pt idx="68">
                  <c:v>10.045764875882362</c:v>
                </c:pt>
                <c:pt idx="69">
                  <c:v>10.191355671185006</c:v>
                </c:pt>
                <c:pt idx="70">
                  <c:v>10.336946466487648</c:v>
                </c:pt>
                <c:pt idx="71">
                  <c:v>10.482537261790291</c:v>
                </c:pt>
                <c:pt idx="72">
                  <c:v>10.628128057092933</c:v>
                </c:pt>
                <c:pt idx="73">
                  <c:v>10.773718852395575</c:v>
                </c:pt>
                <c:pt idx="74">
                  <c:v>10.919309647698219</c:v>
                </c:pt>
                <c:pt idx="75">
                  <c:v>11.064900443000862</c:v>
                </c:pt>
                <c:pt idx="76">
                  <c:v>11.210491238303504</c:v>
                </c:pt>
                <c:pt idx="77">
                  <c:v>11.356082033606148</c:v>
                </c:pt>
                <c:pt idx="78">
                  <c:v>11.501672828908792</c:v>
                </c:pt>
                <c:pt idx="79">
                  <c:v>11.647263624211435</c:v>
                </c:pt>
                <c:pt idx="80">
                  <c:v>11.792854419514077</c:v>
                </c:pt>
                <c:pt idx="81">
                  <c:v>11.938445214816719</c:v>
                </c:pt>
                <c:pt idx="82">
                  <c:v>12.084036010119364</c:v>
                </c:pt>
                <c:pt idx="83">
                  <c:v>12.229626805422006</c:v>
                </c:pt>
                <c:pt idx="84">
                  <c:v>12.375217600724648</c:v>
                </c:pt>
                <c:pt idx="85">
                  <c:v>12.520808396027292</c:v>
                </c:pt>
                <c:pt idx="86">
                  <c:v>12.666399191329935</c:v>
                </c:pt>
                <c:pt idx="87">
                  <c:v>12.811989986632579</c:v>
                </c:pt>
                <c:pt idx="88">
                  <c:v>12.957580781935221</c:v>
                </c:pt>
                <c:pt idx="89">
                  <c:v>13.103171577237864</c:v>
                </c:pt>
                <c:pt idx="90">
                  <c:v>13.248762372540506</c:v>
                </c:pt>
                <c:pt idx="91">
                  <c:v>13.39435316784315</c:v>
                </c:pt>
                <c:pt idx="92">
                  <c:v>13.539943963145793</c:v>
                </c:pt>
                <c:pt idx="93">
                  <c:v>13.685534758448435</c:v>
                </c:pt>
                <c:pt idx="94">
                  <c:v>13.831125553751079</c:v>
                </c:pt>
                <c:pt idx="95">
                  <c:v>13.976716349053721</c:v>
                </c:pt>
                <c:pt idx="96">
                  <c:v>14.122307144356363</c:v>
                </c:pt>
                <c:pt idx="97">
                  <c:v>14.267897939659008</c:v>
                </c:pt>
                <c:pt idx="98">
                  <c:v>14.41348873496165</c:v>
                </c:pt>
                <c:pt idx="99">
                  <c:v>14.559079530264292</c:v>
                </c:pt>
                <c:pt idx="100">
                  <c:v>29.118159060528583</c:v>
                </c:pt>
                <c:pt idx="101">
                  <c:v>43.677238590792875</c:v>
                </c:pt>
                <c:pt idx="102">
                  <c:v>72.795397651321466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B9-4B77-8E59-939F7B71B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44736"/>
        <c:axId val="193846272"/>
      </c:scatterChart>
      <c:valAx>
        <c:axId val="193844736"/>
        <c:scaling>
          <c:orientation val="minMax"/>
          <c:max val="3.0000000000000009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1/V</a:t>
                </a:r>
                <a:r>
                  <a:rPr lang="en-GB" sz="1600" baseline="0"/>
                  <a:t> [s/m]</a:t>
                </a:r>
                <a:endParaRPr lang="en-GB" sz="1600"/>
              </a:p>
            </c:rich>
          </c:tx>
          <c:layout>
            <c:manualLayout>
              <c:xMode val="edge"/>
              <c:yMode val="edge"/>
              <c:x val="0.49516949764738166"/>
              <c:y val="0.9464490431408711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_-* #,##0.000_-;\-* #,##0.000_-;_-* &quot;-&quot;???_-;_-@_-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846272"/>
        <c:crosses val="autoZero"/>
        <c:crossBetween val="midCat"/>
        <c:minorUnit val="5.0000000000000023E-4"/>
      </c:valAx>
      <c:valAx>
        <c:axId val="193846272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E</a:t>
                </a:r>
                <a:r>
                  <a:rPr lang="en-GB" sz="1600" baseline="0"/>
                  <a:t>/(s*m) [J/mkg]</a:t>
                </a:r>
                <a:endParaRPr lang="en-GB" sz="1600"/>
              </a:p>
            </c:rich>
          </c:tx>
          <c:layout>
            <c:manualLayout>
              <c:xMode val="edge"/>
              <c:yMode val="edge"/>
              <c:x val="7.5076646161874941E-3"/>
              <c:y val="0.369950934417159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844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9329692432244"/>
          <c:y val="3.603297704854147E-2"/>
          <c:w val="0.5968224328737034"/>
          <c:h val="0.8353151806990915"/>
        </c:manualLayout>
      </c:layout>
      <c:scatterChart>
        <c:scatterStyle val="smoothMarker"/>
        <c:varyColors val="0"/>
        <c:ser>
          <c:idx val="13"/>
          <c:order val="15"/>
          <c:tx>
            <c:v>Line VLBC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'a_mCO2 Hyperloop'!$B$2:$B$105</c:f>
              <c:numCache>
                <c:formatCode>General</c:formatCode>
                <c:ptCount val="104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2000</c:v>
                </c:pt>
                <c:pt idx="102">
                  <c:v>3000</c:v>
                </c:pt>
                <c:pt idx="103">
                  <c:v>5000</c:v>
                </c:pt>
              </c:numCache>
            </c:numRef>
          </c:xVal>
          <c:yVal>
            <c:numRef>
              <c:f>'a_mCO2 Hyperloop'!$C$2:$C$105</c:f>
              <c:numCache>
                <c:formatCode>_(* #,##0.00_);_(* \(#,##0.00\);_(* "-"??_);_(@_)</c:formatCode>
                <c:ptCount val="104"/>
                <c:pt idx="0">
                  <c:v>731.98502886002871</c:v>
                </c:pt>
                <c:pt idx="1">
                  <c:v>73.198502886002871</c:v>
                </c:pt>
                <c:pt idx="2">
                  <c:v>36.599251443001435</c:v>
                </c:pt>
                <c:pt idx="3">
                  <c:v>24.399500962000957</c:v>
                </c:pt>
                <c:pt idx="4">
                  <c:v>18.299625721500718</c:v>
                </c:pt>
                <c:pt idx="5">
                  <c:v>14.639700577200575</c:v>
                </c:pt>
                <c:pt idx="6">
                  <c:v>12.199750481000478</c:v>
                </c:pt>
                <c:pt idx="7">
                  <c:v>10.456928983714695</c:v>
                </c:pt>
                <c:pt idx="8">
                  <c:v>9.1498128607503588</c:v>
                </c:pt>
                <c:pt idx="9">
                  <c:v>8.1331669873336523</c:v>
                </c:pt>
                <c:pt idx="10">
                  <c:v>7.3198502886002874</c:v>
                </c:pt>
                <c:pt idx="11">
                  <c:v>6.654409353272988</c:v>
                </c:pt>
                <c:pt idx="12">
                  <c:v>6.0998752405002392</c:v>
                </c:pt>
                <c:pt idx="13">
                  <c:v>5.6306540681540671</c:v>
                </c:pt>
                <c:pt idx="14">
                  <c:v>5.2284644918573475</c:v>
                </c:pt>
                <c:pt idx="15">
                  <c:v>4.879900192400191</c:v>
                </c:pt>
                <c:pt idx="16">
                  <c:v>4.5749064303751794</c:v>
                </c:pt>
                <c:pt idx="17">
                  <c:v>4.3057942874119339</c:v>
                </c:pt>
                <c:pt idx="18">
                  <c:v>4.0665834936668261</c:v>
                </c:pt>
                <c:pt idx="19">
                  <c:v>3.8525527834738353</c:v>
                </c:pt>
                <c:pt idx="20">
                  <c:v>3.6599251443001437</c:v>
                </c:pt>
                <c:pt idx="21">
                  <c:v>3.4856429945715655</c:v>
                </c:pt>
                <c:pt idx="22">
                  <c:v>3.327204676636494</c:v>
                </c:pt>
                <c:pt idx="23">
                  <c:v>3.1825436037392554</c:v>
                </c:pt>
                <c:pt idx="24">
                  <c:v>3.0499376202501196</c:v>
                </c:pt>
                <c:pt idx="25">
                  <c:v>2.9279401154401148</c:v>
                </c:pt>
                <c:pt idx="26">
                  <c:v>2.8153270340770336</c:v>
                </c:pt>
                <c:pt idx="27">
                  <c:v>2.7110556624445508</c:v>
                </c:pt>
                <c:pt idx="28">
                  <c:v>2.6142322459286738</c:v>
                </c:pt>
                <c:pt idx="29">
                  <c:v>2.5240863064138921</c:v>
                </c:pt>
                <c:pt idx="30">
                  <c:v>2.4399500962000955</c:v>
                </c:pt>
                <c:pt idx="31">
                  <c:v>2.3612420285807376</c:v>
                </c:pt>
                <c:pt idx="32">
                  <c:v>2.2874532151875897</c:v>
                </c:pt>
                <c:pt idx="33">
                  <c:v>2.218136451090996</c:v>
                </c:pt>
                <c:pt idx="34">
                  <c:v>2.152897143705967</c:v>
                </c:pt>
                <c:pt idx="35">
                  <c:v>2.091385796742939</c:v>
                </c:pt>
                <c:pt idx="36">
                  <c:v>2.0332917468334131</c:v>
                </c:pt>
                <c:pt idx="37">
                  <c:v>1.9783379158379155</c:v>
                </c:pt>
                <c:pt idx="38">
                  <c:v>1.9262763917369177</c:v>
                </c:pt>
                <c:pt idx="39">
                  <c:v>1.8768846893846889</c:v>
                </c:pt>
                <c:pt idx="40">
                  <c:v>1.8299625721500719</c:v>
                </c:pt>
                <c:pt idx="41">
                  <c:v>1.7853293386829969</c:v>
                </c:pt>
                <c:pt idx="42">
                  <c:v>1.7428214972857827</c:v>
                </c:pt>
                <c:pt idx="43">
                  <c:v>1.7022907647907644</c:v>
                </c:pt>
                <c:pt idx="44">
                  <c:v>1.663602338318247</c:v>
                </c:pt>
                <c:pt idx="45">
                  <c:v>1.6266333974667304</c:v>
                </c:pt>
                <c:pt idx="46">
                  <c:v>1.5912718018696277</c:v>
                </c:pt>
                <c:pt idx="47">
                  <c:v>1.5574149550213376</c:v>
                </c:pt>
                <c:pt idx="48">
                  <c:v>1.5249688101250598</c:v>
                </c:pt>
                <c:pt idx="49">
                  <c:v>1.493846997673528</c:v>
                </c:pt>
                <c:pt idx="50">
                  <c:v>1.4639700577200574</c:v>
                </c:pt>
                <c:pt idx="51">
                  <c:v>1.4352647624706445</c:v>
                </c:pt>
                <c:pt idx="52">
                  <c:v>1.4076635170385168</c:v>
                </c:pt>
                <c:pt idx="53">
                  <c:v>1.3811038280377901</c:v>
                </c:pt>
                <c:pt idx="54">
                  <c:v>1.3555278312222754</c:v>
                </c:pt>
                <c:pt idx="55">
                  <c:v>1.3308818706545977</c:v>
                </c:pt>
                <c:pt idx="56">
                  <c:v>1.3071161229643369</c:v>
                </c:pt>
                <c:pt idx="57">
                  <c:v>1.284184261157945</c:v>
                </c:pt>
                <c:pt idx="58">
                  <c:v>1.262043153206946</c:v>
                </c:pt>
                <c:pt idx="59">
                  <c:v>1.2406525912881843</c:v>
                </c:pt>
                <c:pt idx="60">
                  <c:v>1.2199750481000478</c:v>
                </c:pt>
                <c:pt idx="61">
                  <c:v>1.199975457147588</c:v>
                </c:pt>
                <c:pt idx="62">
                  <c:v>1.1806210142903688</c:v>
                </c:pt>
                <c:pt idx="63">
                  <c:v>1.1618809981905218</c:v>
                </c:pt>
                <c:pt idx="64">
                  <c:v>1.1437266075937949</c:v>
                </c:pt>
                <c:pt idx="65">
                  <c:v>1.1261308136308135</c:v>
                </c:pt>
                <c:pt idx="66">
                  <c:v>1.109068225545498</c:v>
                </c:pt>
                <c:pt idx="67">
                  <c:v>1.0925149684478039</c:v>
                </c:pt>
                <c:pt idx="68">
                  <c:v>1.0764485718529835</c:v>
                </c:pt>
                <c:pt idx="69">
                  <c:v>1.0608478679130851</c:v>
                </c:pt>
                <c:pt idx="70">
                  <c:v>1.0456928983714695</c:v>
                </c:pt>
                <c:pt idx="71">
                  <c:v>1.0309648293803222</c:v>
                </c:pt>
                <c:pt idx="72">
                  <c:v>1.0166458734167065</c:v>
                </c:pt>
                <c:pt idx="73">
                  <c:v>1.0027192176164776</c:v>
                </c:pt>
                <c:pt idx="74">
                  <c:v>0.98916895791895776</c:v>
                </c:pt>
                <c:pt idx="75">
                  <c:v>0.97598003848003823</c:v>
                </c:pt>
                <c:pt idx="76">
                  <c:v>0.96313819586845884</c:v>
                </c:pt>
                <c:pt idx="77">
                  <c:v>0.95062990761042687</c:v>
                </c:pt>
                <c:pt idx="78">
                  <c:v>0.93844234469234444</c:v>
                </c:pt>
                <c:pt idx="79">
                  <c:v>0.92656332767092242</c:v>
                </c:pt>
                <c:pt idx="80">
                  <c:v>0.91498128607503593</c:v>
                </c:pt>
                <c:pt idx="81">
                  <c:v>0.90368522081485025</c:v>
                </c:pt>
                <c:pt idx="82">
                  <c:v>0.89266466934149846</c:v>
                </c:pt>
                <c:pt idx="83">
                  <c:v>0.88190967332533576</c:v>
                </c:pt>
                <c:pt idx="84">
                  <c:v>0.87141074864289136</c:v>
                </c:pt>
                <c:pt idx="85">
                  <c:v>0.86115885748238674</c:v>
                </c:pt>
                <c:pt idx="86">
                  <c:v>0.85114538239538218</c:v>
                </c:pt>
                <c:pt idx="87">
                  <c:v>0.84136210213796403</c:v>
                </c:pt>
                <c:pt idx="88">
                  <c:v>0.8318011691591235</c:v>
                </c:pt>
                <c:pt idx="89">
                  <c:v>0.82245508860677385</c:v>
                </c:pt>
                <c:pt idx="90">
                  <c:v>0.81331669873336521</c:v>
                </c:pt>
                <c:pt idx="91">
                  <c:v>0.80437915259343817</c:v>
                </c:pt>
                <c:pt idx="92">
                  <c:v>0.79563590093481384</c:v>
                </c:pt>
                <c:pt idx="93">
                  <c:v>0.78708067619357924</c:v>
                </c:pt>
                <c:pt idx="94">
                  <c:v>0.77870747751066882</c:v>
                </c:pt>
                <c:pt idx="95">
                  <c:v>0.77051055669476709</c:v>
                </c:pt>
                <c:pt idx="96">
                  <c:v>0.7624844050625299</c:v>
                </c:pt>
                <c:pt idx="97">
                  <c:v>0.75462374109281305</c:v>
                </c:pt>
                <c:pt idx="98">
                  <c:v>0.74692349883676401</c:v>
                </c:pt>
                <c:pt idx="99">
                  <c:v>0.73937881703033204</c:v>
                </c:pt>
                <c:pt idx="100">
                  <c:v>0.7319850288600287</c:v>
                </c:pt>
                <c:pt idx="101">
                  <c:v>0.36599251443001435</c:v>
                </c:pt>
                <c:pt idx="102">
                  <c:v>0.24399500962000956</c:v>
                </c:pt>
                <c:pt idx="103">
                  <c:v>0.14639700577200573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7-44D5-A9E5-47975A388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04672"/>
        <c:axId val="213006592"/>
      </c:scatterChart>
      <c:scatterChart>
        <c:scatterStyle val="lineMarker"/>
        <c:varyColors val="0"/>
        <c:ser>
          <c:idx val="0"/>
          <c:order val="0"/>
          <c:tx>
            <c:v>Subsonic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'Subsonic Aircraft'!$I$5:$I$19</c:f>
              <c:numCache>
                <c:formatCode>0.00</c:formatCode>
                <c:ptCount val="15"/>
                <c:pt idx="0">
                  <c:v>231.48</c:v>
                </c:pt>
                <c:pt idx="1">
                  <c:v>230.45</c:v>
                </c:pt>
                <c:pt idx="2">
                  <c:v>246.91</c:v>
                </c:pt>
                <c:pt idx="3">
                  <c:v>248.97</c:v>
                </c:pt>
                <c:pt idx="4">
                  <c:v>257.2</c:v>
                </c:pt>
                <c:pt idx="5">
                  <c:v>252.58</c:v>
                </c:pt>
                <c:pt idx="6">
                  <c:v>263.89</c:v>
                </c:pt>
                <c:pt idx="7">
                  <c:v>252.57</c:v>
                </c:pt>
                <c:pt idx="8">
                  <c:v>251.03</c:v>
                </c:pt>
                <c:pt idx="9">
                  <c:v>224.79</c:v>
                </c:pt>
                <c:pt idx="10">
                  <c:v>262.42</c:v>
                </c:pt>
                <c:pt idx="11">
                  <c:v>212.96</c:v>
                </c:pt>
                <c:pt idx="12">
                  <c:v>236.11</c:v>
                </c:pt>
                <c:pt idx="13">
                  <c:v>191.78</c:v>
                </c:pt>
                <c:pt idx="14">
                  <c:v>253.6</c:v>
                </c:pt>
              </c:numCache>
            </c:numRef>
          </c:xVal>
          <c:yVal>
            <c:numRef>
              <c:f>'Subsonic Aircraft'!$AE$5:$AE$19</c:f>
              <c:numCache>
                <c:formatCode>0.0000</c:formatCode>
                <c:ptCount val="15"/>
                <c:pt idx="0">
                  <c:v>0.22651051797919516</c:v>
                </c:pt>
                <c:pt idx="1">
                  <c:v>0.19213609142844357</c:v>
                </c:pt>
                <c:pt idx="2">
                  <c:v>0.19828936380710102</c:v>
                </c:pt>
                <c:pt idx="3">
                  <c:v>0.19673397233216228</c:v>
                </c:pt>
                <c:pt idx="4">
                  <c:v>0.19635123207605568</c:v>
                </c:pt>
                <c:pt idx="5">
                  <c:v>0.13135594992401342</c:v>
                </c:pt>
                <c:pt idx="6">
                  <c:v>0.18114070489755421</c:v>
                </c:pt>
                <c:pt idx="7">
                  <c:v>0.22603781532559877</c:v>
                </c:pt>
                <c:pt idx="8">
                  <c:v>0.24104120470267343</c:v>
                </c:pt>
                <c:pt idx="9">
                  <c:v>0.30251973556128831</c:v>
                </c:pt>
                <c:pt idx="10">
                  <c:v>0.19626149100122325</c:v>
                </c:pt>
                <c:pt idx="11">
                  <c:v>0.14646339194371211</c:v>
                </c:pt>
                <c:pt idx="12">
                  <c:v>0.10140860539130582</c:v>
                </c:pt>
                <c:pt idx="13">
                  <c:v>3.2383762967858443E-2</c:v>
                </c:pt>
                <c:pt idx="14">
                  <c:v>6.4465432170436848E-2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50-4567-9567-70F5B5C80C9B}"/>
            </c:ext>
          </c:extLst>
        </c:ser>
        <c:ser>
          <c:idx val="1"/>
          <c:order val="1"/>
          <c:tx>
            <c:v>Supersonic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'Supersonic Aircraft'!$F$5</c:f>
              <c:numCache>
                <c:formatCode>0.000</c:formatCode>
                <c:ptCount val="1"/>
                <c:pt idx="0">
                  <c:v>599.44444444444446</c:v>
                </c:pt>
              </c:numCache>
            </c:numRef>
          </c:xVal>
          <c:yVal>
            <c:numRef>
              <c:f>'Supersonic Aircraft'!$AC$5</c:f>
              <c:numCache>
                <c:formatCode>General</c:formatCode>
                <c:ptCount val="1"/>
                <c:pt idx="0">
                  <c:v>2.8345879950342347E-2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50-4567-9567-70F5B5C80C9B}"/>
            </c:ext>
          </c:extLst>
        </c:ser>
        <c:ser>
          <c:idx val="14"/>
          <c:order val="2"/>
          <c:tx>
            <c:v>Cargo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'Subsonic Aircraft'!$I$20:$I$21</c:f>
              <c:numCache>
                <c:formatCode>0.00</c:formatCode>
                <c:ptCount val="2"/>
                <c:pt idx="0">
                  <c:v>252.58</c:v>
                </c:pt>
                <c:pt idx="1">
                  <c:v>262.42</c:v>
                </c:pt>
              </c:numCache>
            </c:numRef>
          </c:xVal>
          <c:yVal>
            <c:numRef>
              <c:f>'Subsonic Aircraft'!$AE$20:$AE$21</c:f>
              <c:numCache>
                <c:formatCode>0.0000</c:formatCode>
                <c:ptCount val="2"/>
                <c:pt idx="0">
                  <c:v>0.24259180762614846</c:v>
                </c:pt>
                <c:pt idx="1">
                  <c:v>0.32481372125858426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D7-44D5-A9E5-47975A388D17}"/>
            </c:ext>
          </c:extLst>
        </c:ser>
        <c:ser>
          <c:idx val="2"/>
          <c:order val="3"/>
          <c:tx>
            <c:v>Helicopter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Helicopter!$D$5:$D$8</c:f>
              <c:numCache>
                <c:formatCode>General</c:formatCode>
                <c:ptCount val="4"/>
                <c:pt idx="0">
                  <c:v>55.56</c:v>
                </c:pt>
                <c:pt idx="1">
                  <c:v>56.11</c:v>
                </c:pt>
                <c:pt idx="2">
                  <c:v>65.28</c:v>
                </c:pt>
                <c:pt idx="3">
                  <c:v>56.67</c:v>
                </c:pt>
              </c:numCache>
            </c:numRef>
          </c:xVal>
          <c:yVal>
            <c:numRef>
              <c:f>Helicopter!$Y$5:$Y$8</c:f>
              <c:numCache>
                <c:formatCode>_(* #,##0.00_);_(* \(#,##0.00\);_(* "-"??_);_(@_)</c:formatCode>
                <c:ptCount val="4"/>
                <c:pt idx="0">
                  <c:v>6.2678571428571417E-2</c:v>
                </c:pt>
                <c:pt idx="1">
                  <c:v>6.6249999999999989E-2</c:v>
                </c:pt>
                <c:pt idx="2">
                  <c:v>4.0419059813426007E-2</c:v>
                </c:pt>
                <c:pt idx="3">
                  <c:v>4.1651494922522951E-2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50-4567-9567-70F5B5C80C9B}"/>
            </c:ext>
          </c:extLst>
        </c:ser>
        <c:ser>
          <c:idx val="3"/>
          <c:order val="4"/>
          <c:tx>
            <c:v>Airship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Airship!$G$5</c:f>
              <c:numCache>
                <c:formatCode>0.00</c:formatCode>
                <c:ptCount val="1"/>
                <c:pt idx="0">
                  <c:v>34.72</c:v>
                </c:pt>
              </c:numCache>
            </c:numRef>
          </c:xVal>
          <c:yVal>
            <c:numRef>
              <c:f>Airship!$AG$5</c:f>
              <c:numCache>
                <c:formatCode>0.00</c:formatCode>
                <c:ptCount val="1"/>
                <c:pt idx="0">
                  <c:v>0.26529026529026528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50-4567-9567-70F5B5C80C9B}"/>
            </c:ext>
          </c:extLst>
        </c:ser>
        <c:ser>
          <c:idx val="4"/>
          <c:order val="5"/>
          <c:tx>
            <c:v>Bulker, Tanker, Container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'Bulker, Tanker, Container'!$D$5:$D$21</c:f>
              <c:numCache>
                <c:formatCode>0.00</c:formatCode>
                <c:ptCount val="17"/>
                <c:pt idx="0">
                  <c:v>6.7847999999999997</c:v>
                </c:pt>
                <c:pt idx="1">
                  <c:v>7.0983400000000003</c:v>
                </c:pt>
                <c:pt idx="2">
                  <c:v>7.3553400000000009</c:v>
                </c:pt>
                <c:pt idx="3">
                  <c:v>7.5146799999999994</c:v>
                </c:pt>
                <c:pt idx="4">
                  <c:v>7.6072000000000006</c:v>
                </c:pt>
                <c:pt idx="5">
                  <c:v>7.71</c:v>
                </c:pt>
                <c:pt idx="6">
                  <c:v>7.1446000000000005</c:v>
                </c:pt>
                <c:pt idx="7">
                  <c:v>7.47356</c:v>
                </c:pt>
                <c:pt idx="8">
                  <c:v>7.71</c:v>
                </c:pt>
                <c:pt idx="9">
                  <c:v>7.71</c:v>
                </c:pt>
                <c:pt idx="10">
                  <c:v>7.71</c:v>
                </c:pt>
                <c:pt idx="11">
                  <c:v>7.71</c:v>
                </c:pt>
                <c:pt idx="12">
                  <c:v>7.9670000000000005</c:v>
                </c:pt>
                <c:pt idx="13">
                  <c:v>10.280000000000001</c:v>
                </c:pt>
                <c:pt idx="14">
                  <c:v>10.742599999999999</c:v>
                </c:pt>
                <c:pt idx="15">
                  <c:v>11.256599999999999</c:v>
                </c:pt>
                <c:pt idx="16">
                  <c:v>12.079000000000001</c:v>
                </c:pt>
              </c:numCache>
            </c:numRef>
          </c:xVal>
          <c:yVal>
            <c:numRef>
              <c:f>'Bulker, Tanker, Container'!$AB$5:$AB$21</c:f>
              <c:numCache>
                <c:formatCode>0.00</c:formatCode>
                <c:ptCount val="17"/>
                <c:pt idx="0">
                  <c:v>6.447969052224372</c:v>
                </c:pt>
                <c:pt idx="1">
                  <c:v>14.061138861138859</c:v>
                </c:pt>
                <c:pt idx="2">
                  <c:v>22.849350649350651</c:v>
                </c:pt>
                <c:pt idx="3">
                  <c:v>34.620228256591894</c:v>
                </c:pt>
                <c:pt idx="4">
                  <c:v>37.153415690001047</c:v>
                </c:pt>
                <c:pt idx="5">
                  <c:v>62.429919806968982</c:v>
                </c:pt>
                <c:pt idx="6">
                  <c:v>4.7352272727272728</c:v>
                </c:pt>
                <c:pt idx="7">
                  <c:v>11.569291468025645</c:v>
                </c:pt>
                <c:pt idx="8">
                  <c:v>19.219079985435123</c:v>
                </c:pt>
                <c:pt idx="9">
                  <c:v>24.264797149752898</c:v>
                </c:pt>
                <c:pt idx="10">
                  <c:v>31.087551903878435</c:v>
                </c:pt>
                <c:pt idx="11">
                  <c:v>40.086580086580085</c:v>
                </c:pt>
                <c:pt idx="12">
                  <c:v>52.648273385600568</c:v>
                </c:pt>
                <c:pt idx="13">
                  <c:v>8.0381215801350017</c:v>
                </c:pt>
                <c:pt idx="14">
                  <c:v>9.413516754850086</c:v>
                </c:pt>
                <c:pt idx="15">
                  <c:v>10.938788134186362</c:v>
                </c:pt>
                <c:pt idx="16">
                  <c:v>18.264903581267216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50-4567-9567-70F5B5C80C9B}"/>
            </c:ext>
          </c:extLst>
        </c:ser>
        <c:ser>
          <c:idx val="5"/>
          <c:order val="6"/>
          <c:tx>
            <c:v>Cruise Ship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'Cruise Ship'!$C$5:$C$7</c:f>
              <c:numCache>
                <c:formatCode>0.00</c:formatCode>
                <c:ptCount val="3"/>
                <c:pt idx="0">
                  <c:v>13.375</c:v>
                </c:pt>
                <c:pt idx="1">
                  <c:v>10.802777777777777</c:v>
                </c:pt>
                <c:pt idx="2">
                  <c:v>11.316666666666666</c:v>
                </c:pt>
              </c:numCache>
            </c:numRef>
          </c:xVal>
          <c:yVal>
            <c:numRef>
              <c:f>'Cruise Ship'!$AM$5:$AM$7</c:f>
              <c:numCache>
                <c:formatCode>0.00</c:formatCode>
                <c:ptCount val="3"/>
                <c:pt idx="0">
                  <c:v>0.10058</c:v>
                </c:pt>
                <c:pt idx="1">
                  <c:v>0.10149796020166389</c:v>
                </c:pt>
                <c:pt idx="2">
                  <c:v>7.8837448559670772E-2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50-4567-9567-70F5B5C80C9B}"/>
            </c:ext>
          </c:extLst>
        </c:ser>
        <c:ser>
          <c:idx val="6"/>
          <c:order val="7"/>
          <c:tx>
            <c:v>Car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99"/>
              </a:solidFill>
              <a:ln w="9525">
                <a:noFill/>
              </a:ln>
              <a:effectLst/>
            </c:spPr>
          </c:marker>
          <c:xVal>
            <c:numRef>
              <c:f>Car!$B$5:$B$8</c:f>
              <c:numCache>
                <c:formatCode>0.00</c:formatCode>
                <c:ptCount val="4"/>
                <c:pt idx="0">
                  <c:v>27.78</c:v>
                </c:pt>
                <c:pt idx="1">
                  <c:v>27.78</c:v>
                </c:pt>
                <c:pt idx="2">
                  <c:v>27.78</c:v>
                </c:pt>
                <c:pt idx="3">
                  <c:v>27.78</c:v>
                </c:pt>
              </c:numCache>
            </c:numRef>
          </c:xVal>
          <c:yVal>
            <c:numRef>
              <c:f>Car!$AD$5:$AD$8</c:f>
              <c:numCache>
                <c:formatCode>0.00</c:formatCode>
                <c:ptCount val="4"/>
                <c:pt idx="0">
                  <c:v>7.9473580246913561E-2</c:v>
                </c:pt>
                <c:pt idx="1">
                  <c:v>0.29518758377425036</c:v>
                </c:pt>
                <c:pt idx="2">
                  <c:v>1.3153818472855576</c:v>
                </c:pt>
                <c:pt idx="3">
                  <c:v>0.83807029088657903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6E-469B-AD69-44DC59936A29}"/>
            </c:ext>
          </c:extLst>
        </c:ser>
        <c:ser>
          <c:idx val="7"/>
          <c:order val="8"/>
          <c:tx>
            <c:v>Truck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CC"/>
              </a:solidFill>
              <a:ln w="9525">
                <a:noFill/>
              </a:ln>
              <a:effectLst/>
            </c:spPr>
          </c:marker>
          <c:xVal>
            <c:numRef>
              <c:f>(Truck!$B$5,Truck!$B$7)</c:f>
              <c:numCache>
                <c:formatCode>0.00</c:formatCode>
                <c:ptCount val="2"/>
                <c:pt idx="0">
                  <c:v>27.78</c:v>
                </c:pt>
                <c:pt idx="1">
                  <c:v>27.78</c:v>
                </c:pt>
              </c:numCache>
            </c:numRef>
          </c:xVal>
          <c:yVal>
            <c:numRef>
              <c:f>(Truck!$AB$5,Truck!$AB$7)</c:f>
              <c:numCache>
                <c:formatCode>0.00</c:formatCode>
                <c:ptCount val="2"/>
                <c:pt idx="0">
                  <c:v>2.6504108136761197</c:v>
                </c:pt>
                <c:pt idx="1">
                  <c:v>2.2538308252593962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6E-469B-AD69-44DC59936A29}"/>
            </c:ext>
          </c:extLst>
        </c:ser>
        <c:ser>
          <c:idx val="8"/>
          <c:order val="9"/>
          <c:tx>
            <c:v>Bus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3FA60"/>
              </a:solidFill>
              <a:ln w="9525">
                <a:noFill/>
              </a:ln>
              <a:effectLst/>
            </c:spPr>
          </c:marker>
          <c:xVal>
            <c:numRef>
              <c:f>Bus!$B$5</c:f>
              <c:numCache>
                <c:formatCode>0.00</c:formatCode>
                <c:ptCount val="1"/>
                <c:pt idx="0">
                  <c:v>27.78</c:v>
                </c:pt>
              </c:numCache>
            </c:numRef>
          </c:xVal>
          <c:yVal>
            <c:numRef>
              <c:f>Bus!$AB$5</c:f>
              <c:numCache>
                <c:formatCode>0.00</c:formatCode>
                <c:ptCount val="1"/>
                <c:pt idx="0">
                  <c:v>1.07780720025618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6E-469B-AD69-44DC59936A29}"/>
            </c:ext>
          </c:extLst>
        </c:ser>
        <c:ser>
          <c:idx val="9"/>
          <c:order val="10"/>
          <c:tx>
            <c:v>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D4D4D"/>
              </a:solidFill>
              <a:ln w="9525">
                <a:noFill/>
              </a:ln>
              <a:effectLst/>
            </c:spPr>
          </c:marker>
          <c:xVal>
            <c:numRef>
              <c:f>Train!$C$5:$C$6</c:f>
              <c:numCache>
                <c:formatCode>_(* #,##0.00_);_(* \(#,##0.00\);_(* "-"??_);_(@_)</c:formatCode>
                <c:ptCount val="2"/>
                <c:pt idx="0">
                  <c:v>88.888888888888886</c:v>
                </c:pt>
                <c:pt idx="1">
                  <c:v>83.333333333333329</c:v>
                </c:pt>
              </c:numCache>
            </c:numRef>
          </c:xVal>
          <c:yVal>
            <c:numRef>
              <c:f>Train!$V$5:$V$6</c:f>
              <c:numCache>
                <c:formatCode>_(* #,##0.00_);_(* \(#,##0.00\);_(* "-"??_);_(@_)</c:formatCode>
                <c:ptCount val="2"/>
                <c:pt idx="0">
                  <c:v>0.83286092214663632</c:v>
                </c:pt>
                <c:pt idx="1">
                  <c:v>0.83286092214663632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6E-469B-AD69-44DC59936A29}"/>
            </c:ext>
          </c:extLst>
        </c:ser>
        <c:ser>
          <c:idx val="15"/>
          <c:order val="11"/>
          <c:tx>
            <c:v>Human and Animal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C66FF"/>
              </a:solidFill>
              <a:ln w="9525">
                <a:noFill/>
              </a:ln>
              <a:effectLst/>
            </c:spPr>
          </c:marker>
          <c:xVal>
            <c:numRef>
              <c:f>'Human and Animal'!$F$5:$F$10</c:f>
              <c:numCache>
                <c:formatCode>0.00</c:formatCode>
                <c:ptCount val="6"/>
                <c:pt idx="0">
                  <c:v>1.3410818059901652</c:v>
                </c:pt>
                <c:pt idx="1">
                  <c:v>4.0232454179704957</c:v>
                </c:pt>
                <c:pt idx="2">
                  <c:v>10.013410818059901</c:v>
                </c:pt>
                <c:pt idx="3">
                  <c:v>6.9289226642825206</c:v>
                </c:pt>
                <c:pt idx="4">
                  <c:v>11.175681716584711</c:v>
                </c:pt>
                <c:pt idx="5">
                  <c:v>17.031738936075101</c:v>
                </c:pt>
              </c:numCache>
            </c:numRef>
          </c:xVal>
          <c:yVal>
            <c:numRef>
              <c:f>'Human and Animal'!$AB$5:$AB$10</c:f>
              <c:numCache>
                <c:formatCode>0.00</c:formatCode>
                <c:ptCount val="6"/>
                <c:pt idx="0">
                  <c:v>0.39052658100277149</c:v>
                </c:pt>
                <c:pt idx="1">
                  <c:v>0.3401360544217687</c:v>
                </c:pt>
                <c:pt idx="2">
                  <c:v>0.30738221214411687</c:v>
                </c:pt>
                <c:pt idx="3">
                  <c:v>0.90463320463320462</c:v>
                </c:pt>
                <c:pt idx="4">
                  <c:v>0.7879021879021878</c:v>
                </c:pt>
                <c:pt idx="5">
                  <c:v>0.71209781209781209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CA-4540-9C80-942271FEBF4A}"/>
            </c:ext>
          </c:extLst>
        </c:ser>
        <c:ser>
          <c:idx val="10"/>
          <c:order val="12"/>
          <c:tx>
            <c:v>Hyperloop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Hyperloop!$F$5:$F$6</c:f>
              <c:numCache>
                <c:formatCode>0.00</c:formatCode>
                <c:ptCount val="2"/>
                <c:pt idx="0">
                  <c:v>339.75</c:v>
                </c:pt>
                <c:pt idx="1">
                  <c:v>339.75</c:v>
                </c:pt>
              </c:numCache>
            </c:numRef>
          </c:xVal>
          <c:yVal>
            <c:numRef>
              <c:f>Hyperloop!$Y$5:$Y$6</c:f>
              <c:numCache>
                <c:formatCode>0.00</c:formatCode>
                <c:ptCount val="2"/>
                <c:pt idx="0">
                  <c:v>2.1544813211479874</c:v>
                </c:pt>
                <c:pt idx="1">
                  <c:v>2.1544813211479874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6E-469B-AD69-44DC59936A29}"/>
            </c:ext>
          </c:extLst>
        </c:ser>
        <c:ser>
          <c:idx val="11"/>
          <c:order val="13"/>
          <c:tx>
            <c:v>Oil and Gas Pipeline (Electric)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Pipeline'!$AF$5:$AF$7</c:f>
              <c:numCache>
                <c:formatCode>General</c:formatCode>
                <c:ptCount val="3"/>
                <c:pt idx="0">
                  <c:v>11.583697469405859</c:v>
                </c:pt>
                <c:pt idx="1">
                  <c:v>4.9532825632856392</c:v>
                </c:pt>
                <c:pt idx="2">
                  <c:v>2.0193993369805487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6E-469B-AD69-44DC59936A29}"/>
            </c:ext>
          </c:extLst>
        </c:ser>
        <c:ser>
          <c:idx val="12"/>
          <c:order val="14"/>
          <c:tx>
            <c:v>Oil and Gas Pipeline (Diesel)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9525">
                <a:noFill/>
              </a:ln>
              <a:effectLst/>
            </c:spPr>
          </c:marker>
          <c:xVal>
            <c:numRef>
              <c:f>'Oil &amp; Gas Pipeline'!$D$5:$D$7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10</c:v>
                </c:pt>
              </c:numCache>
            </c:numRef>
          </c:xVal>
          <c:yVal>
            <c:numRef>
              <c:f>'Oil &amp; Gas Pipeline'!$AL$5:$AL$7</c:f>
              <c:numCache>
                <c:formatCode>General</c:formatCode>
                <c:ptCount val="3"/>
                <c:pt idx="0">
                  <c:v>2.4124725308184103</c:v>
                </c:pt>
                <c:pt idx="1">
                  <c:v>1.031592732188414</c:v>
                </c:pt>
                <c:pt idx="2">
                  <c:v>0.42056911811495712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56E-469B-AD69-44DC59936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04672"/>
        <c:axId val="213006592"/>
      </c:scatterChart>
      <c:valAx>
        <c:axId val="213004672"/>
        <c:scaling>
          <c:logBase val="10"/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v [m/s]</a:t>
                </a:r>
              </a:p>
            </c:rich>
          </c:tx>
          <c:layout>
            <c:manualLayout>
              <c:xMode val="edge"/>
              <c:yMode val="edge"/>
              <c:x val="0.39866185420207761"/>
              <c:y val="0.93525516897345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006592"/>
        <c:crosses val="autoZero"/>
        <c:crossBetween val="midCat"/>
      </c:valAx>
      <c:valAx>
        <c:axId val="213006592"/>
        <c:scaling>
          <c:logBase val="10"/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0" i="0" u="none" strike="noStrike" baseline="0">
                    <a:effectLst/>
                  </a:rPr>
                  <a:t>s*m/m_CO2 [</a:t>
                </a:r>
                <a:r>
                  <a:rPr lang="id-ID" sz="1600" b="0" i="0" u="none" strike="noStrike" baseline="0">
                    <a:effectLst/>
                  </a:rPr>
                  <a:t>mkg </a:t>
                </a:r>
                <a:r>
                  <a:rPr lang="en-GB" sz="1600" b="0" i="0" u="none" strike="noStrike" baseline="0">
                    <a:effectLst/>
                  </a:rPr>
                  <a:t>/</a:t>
                </a:r>
                <a:r>
                  <a:rPr lang="id-ID" sz="1600" b="0" i="0" u="none" strike="noStrike" baseline="0">
                    <a:effectLst/>
                  </a:rPr>
                  <a:t>10^-7*kg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004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5509932910449462"/>
          <c:y val="3.7175755570300666E-2"/>
          <c:w val="0.23280326846226707"/>
          <c:h val="0.826703315518132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9</xdr:row>
      <xdr:rowOff>0</xdr:rowOff>
    </xdr:from>
    <xdr:to>
      <xdr:col>1</xdr:col>
      <xdr:colOff>1114425</xdr:colOff>
      <xdr:row>15</xdr:row>
      <xdr:rowOff>76200</xdr:rowOff>
    </xdr:to>
    <xdr:pic>
      <xdr:nvPicPr>
        <xdr:cNvPr id="2" name="Picture 3" descr="logoAero_l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714500"/>
          <a:ext cx="146685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1</xdr:col>
      <xdr:colOff>3257550</xdr:colOff>
      <xdr:row>8</xdr:row>
      <xdr:rowOff>95250</xdr:rowOff>
    </xdr:to>
    <xdr:pic>
      <xdr:nvPicPr>
        <xdr:cNvPr id="3" name="Grafik 2" descr="logoHAW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675" y="66675"/>
          <a:ext cx="1476375" cy="1552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591892</xdr:colOff>
      <xdr:row>1</xdr:row>
      <xdr:rowOff>188913</xdr:rowOff>
    </xdr:from>
    <xdr:to>
      <xdr:col>15</xdr:col>
      <xdr:colOff>228599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010E54-BB28-832D-C368-FEBF9EB106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4223</xdr:colOff>
      <xdr:row>4</xdr:row>
      <xdr:rowOff>19521</xdr:rowOff>
    </xdr:from>
    <xdr:to>
      <xdr:col>28</xdr:col>
      <xdr:colOff>574964</xdr:colOff>
      <xdr:row>29</xdr:row>
      <xdr:rowOff>12556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05EA70-99D3-0C1F-9525-1952024AE4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1890</xdr:colOff>
      <xdr:row>2</xdr:row>
      <xdr:rowOff>23689</xdr:rowOff>
    </xdr:from>
    <xdr:to>
      <xdr:col>17</xdr:col>
      <xdr:colOff>26459</xdr:colOff>
      <xdr:row>32</xdr:row>
      <xdr:rowOff>13230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4DB985-FA0D-4F2E-BBA3-18531A70B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3373</xdr:colOff>
      <xdr:row>2</xdr:row>
      <xdr:rowOff>4050</xdr:rowOff>
    </xdr:from>
    <xdr:to>
      <xdr:col>32</xdr:col>
      <xdr:colOff>143898</xdr:colOff>
      <xdr:row>31</xdr:row>
      <xdr:rowOff>185207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0147B3-27F0-67C7-C39B-2D8DFCC5F0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595466</xdr:colOff>
      <xdr:row>2</xdr:row>
      <xdr:rowOff>122782</xdr:rowOff>
    </xdr:from>
    <xdr:to>
      <xdr:col>18</xdr:col>
      <xdr:colOff>535781</xdr:colOff>
      <xdr:row>35</xdr:row>
      <xdr:rowOff>178594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E3A6BD-CA08-9EA7-E0E8-8D657AEF6E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589331</xdr:colOff>
      <xdr:row>40</xdr:row>
      <xdr:rowOff>18143</xdr:rowOff>
    </xdr:from>
    <xdr:to>
      <xdr:col>34</xdr:col>
      <xdr:colOff>119062</xdr:colOff>
      <xdr:row>73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28250C3-DFDE-61E5-4321-ABA77EE5F6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1462</xdr:colOff>
      <xdr:row>40</xdr:row>
      <xdr:rowOff>11907</xdr:rowOff>
    </xdr:from>
    <xdr:to>
      <xdr:col>19</xdr:col>
      <xdr:colOff>0</xdr:colOff>
      <xdr:row>73</xdr:row>
      <xdr:rowOff>11907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63B25A-411A-403B-B36C-6D92C7D66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14464</xdr:colOff>
      <xdr:row>2</xdr:row>
      <xdr:rowOff>149498</xdr:rowOff>
    </xdr:from>
    <xdr:to>
      <xdr:col>33</xdr:col>
      <xdr:colOff>547687</xdr:colOff>
      <xdr:row>35</xdr:row>
      <xdr:rowOff>154781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7E6A577-06BE-4F53-B2C9-4252902F08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603631</xdr:colOff>
      <xdr:row>4</xdr:row>
      <xdr:rowOff>2242</xdr:rowOff>
    </xdr:from>
    <xdr:to>
      <xdr:col>14</xdr:col>
      <xdr:colOff>573536</xdr:colOff>
      <xdr:row>31</xdr:row>
      <xdr:rowOff>62725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927FE2-670D-3FA1-E8FF-67E0CF131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21830</xdr:colOff>
      <xdr:row>4</xdr:row>
      <xdr:rowOff>18483</xdr:rowOff>
    </xdr:from>
    <xdr:to>
      <xdr:col>29</xdr:col>
      <xdr:colOff>437466</xdr:colOff>
      <xdr:row>31</xdr:row>
      <xdr:rowOff>87756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B8EB1F-53F0-4725-8A0D-4CACB4DE09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hyperlink" Target="https://doi.org/10.7910/DVN/KC5Z8U" TargetMode="External"/><Relationship Id="rId1" Type="http://schemas.openxmlformats.org/officeDocument/2006/relationships/hyperlink" Target="https://www.gnu.org/licenses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9:B30"/>
  <sheetViews>
    <sheetView zoomScaleNormal="100" workbookViewId="0">
      <selection activeCell="B30" sqref="B30"/>
    </sheetView>
  </sheetViews>
  <sheetFormatPr baseColWidth="10" defaultColWidth="11.59765625" defaultRowHeight="12.75" x14ac:dyDescent="0.45"/>
  <cols>
    <col min="1" max="1" width="11.59765625" style="119"/>
    <col min="2" max="2" width="150.73046875" style="119" customWidth="1"/>
    <col min="3" max="16384" width="11.59765625" style="119"/>
  </cols>
  <sheetData>
    <row r="19" spans="2:2" ht="45" x14ac:dyDescent="0.45">
      <c r="B19" s="122" t="s">
        <v>322</v>
      </c>
    </row>
    <row r="20" spans="2:2" ht="45" x14ac:dyDescent="0.45">
      <c r="B20" s="122" t="s">
        <v>321</v>
      </c>
    </row>
    <row r="23" spans="2:2" ht="29.65" x14ac:dyDescent="0.45">
      <c r="B23" s="121" t="s">
        <v>320</v>
      </c>
    </row>
    <row r="24" spans="2:2" x14ac:dyDescent="0.45">
      <c r="B24" s="120"/>
    </row>
    <row r="30" spans="2:2" x14ac:dyDescent="0.45">
      <c r="B30" s="120" t="s">
        <v>336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04"/>
  <sheetViews>
    <sheetView topLeftCell="A2" workbookViewId="0">
      <selection activeCell="E25" sqref="E25"/>
    </sheetView>
  </sheetViews>
  <sheetFormatPr baseColWidth="10" defaultColWidth="9.1328125" defaultRowHeight="14.25" x14ac:dyDescent="0.45"/>
  <sheetData>
    <row r="1" spans="1:5" x14ac:dyDescent="0.45">
      <c r="A1" t="s">
        <v>230</v>
      </c>
      <c r="B1" t="s">
        <v>148</v>
      </c>
      <c r="C1" t="s">
        <v>147</v>
      </c>
      <c r="D1" t="s">
        <v>158</v>
      </c>
      <c r="E1" t="s">
        <v>159</v>
      </c>
    </row>
    <row r="2" spans="1:5" x14ac:dyDescent="0.45">
      <c r="A2">
        <v>62.441509932077842</v>
      </c>
      <c r="B2">
        <v>10</v>
      </c>
      <c r="C2" s="1">
        <f>$A$2/B2</f>
        <v>6.2441509932077839</v>
      </c>
      <c r="D2" s="1">
        <f>1/B2</f>
        <v>0.1</v>
      </c>
      <c r="E2" s="2">
        <f>1/C2</f>
        <v>0.16014987483290724</v>
      </c>
    </row>
    <row r="3" spans="1:5" x14ac:dyDescent="0.45">
      <c r="B3">
        <v>20</v>
      </c>
      <c r="C3" s="1">
        <f t="shared" ref="C3:C66" si="0">$A$2/B3</f>
        <v>3.1220754966038919</v>
      </c>
      <c r="D3" s="1">
        <f t="shared" ref="D3:D66" si="1">1/B3</f>
        <v>0.05</v>
      </c>
      <c r="E3" s="2">
        <f t="shared" ref="E3:E66" si="2">1/C3</f>
        <v>0.32029974966581448</v>
      </c>
    </row>
    <row r="4" spans="1:5" x14ac:dyDescent="0.45">
      <c r="B4">
        <v>30</v>
      </c>
      <c r="C4" s="1">
        <f t="shared" si="0"/>
        <v>2.0813836644025949</v>
      </c>
      <c r="D4" s="1">
        <f t="shared" si="1"/>
        <v>3.3333333333333333E-2</v>
      </c>
      <c r="E4" s="2">
        <f t="shared" si="2"/>
        <v>0.48044962449872164</v>
      </c>
    </row>
    <row r="5" spans="1:5" x14ac:dyDescent="0.45">
      <c r="B5">
        <v>40</v>
      </c>
      <c r="C5" s="1">
        <f t="shared" si="0"/>
        <v>1.561037748301946</v>
      </c>
      <c r="D5" s="1">
        <f t="shared" si="1"/>
        <v>2.5000000000000001E-2</v>
      </c>
      <c r="E5" s="2">
        <f t="shared" si="2"/>
        <v>0.64059949933162896</v>
      </c>
    </row>
    <row r="6" spans="1:5" x14ac:dyDescent="0.45">
      <c r="B6">
        <v>50</v>
      </c>
      <c r="C6" s="1">
        <f t="shared" si="0"/>
        <v>1.2488301986415569</v>
      </c>
      <c r="D6" s="1">
        <f t="shared" si="1"/>
        <v>0.02</v>
      </c>
      <c r="E6" s="2">
        <f t="shared" si="2"/>
        <v>0.80074937416453618</v>
      </c>
    </row>
    <row r="7" spans="1:5" x14ac:dyDescent="0.45">
      <c r="B7">
        <v>60</v>
      </c>
      <c r="C7" s="1">
        <f t="shared" si="0"/>
        <v>1.0406918322012975</v>
      </c>
      <c r="D7" s="1">
        <f t="shared" si="1"/>
        <v>1.6666666666666666E-2</v>
      </c>
      <c r="E7" s="2">
        <f t="shared" si="2"/>
        <v>0.96089924899744328</v>
      </c>
    </row>
    <row r="8" spans="1:5" x14ac:dyDescent="0.45">
      <c r="B8">
        <v>70</v>
      </c>
      <c r="C8" s="1">
        <f t="shared" si="0"/>
        <v>0.89202157045825492</v>
      </c>
      <c r="D8" s="1">
        <f t="shared" si="1"/>
        <v>1.4285714285714285E-2</v>
      </c>
      <c r="E8" s="2">
        <f t="shared" si="2"/>
        <v>1.1210491238303506</v>
      </c>
    </row>
    <row r="9" spans="1:5" x14ac:dyDescent="0.45">
      <c r="B9">
        <v>80</v>
      </c>
      <c r="C9" s="1">
        <f t="shared" si="0"/>
        <v>0.78051887415097299</v>
      </c>
      <c r="D9" s="1">
        <f t="shared" si="1"/>
        <v>1.2500000000000001E-2</v>
      </c>
      <c r="E9" s="2">
        <f t="shared" si="2"/>
        <v>1.2811989986632579</v>
      </c>
    </row>
    <row r="10" spans="1:5" x14ac:dyDescent="0.45">
      <c r="B10">
        <v>90</v>
      </c>
      <c r="C10" s="1">
        <f t="shared" si="0"/>
        <v>0.69379455480086494</v>
      </c>
      <c r="D10" s="1">
        <f t="shared" si="1"/>
        <v>1.1111111111111112E-2</v>
      </c>
      <c r="E10" s="2">
        <f t="shared" si="2"/>
        <v>1.441348873496165</v>
      </c>
    </row>
    <row r="11" spans="1:5" x14ac:dyDescent="0.45">
      <c r="B11">
        <v>100</v>
      </c>
      <c r="C11" s="1">
        <f t="shared" si="0"/>
        <v>0.62441509932077843</v>
      </c>
      <c r="D11" s="1">
        <f t="shared" si="1"/>
        <v>0.01</v>
      </c>
      <c r="E11" s="2">
        <f t="shared" si="2"/>
        <v>1.6014987483290724</v>
      </c>
    </row>
    <row r="12" spans="1:5" x14ac:dyDescent="0.45">
      <c r="B12">
        <v>110</v>
      </c>
      <c r="C12" s="1">
        <f t="shared" si="0"/>
        <v>0.56765009029161673</v>
      </c>
      <c r="D12" s="1">
        <f t="shared" si="1"/>
        <v>9.0909090909090905E-3</v>
      </c>
      <c r="E12" s="2">
        <f t="shared" si="2"/>
        <v>1.7616486231619797</v>
      </c>
    </row>
    <row r="13" spans="1:5" x14ac:dyDescent="0.45">
      <c r="B13">
        <v>120</v>
      </c>
      <c r="C13" s="1">
        <f t="shared" si="0"/>
        <v>0.52034591610064873</v>
      </c>
      <c r="D13" s="1">
        <f t="shared" si="1"/>
        <v>8.3333333333333332E-3</v>
      </c>
      <c r="E13" s="2">
        <f t="shared" si="2"/>
        <v>1.9217984979948866</v>
      </c>
    </row>
    <row r="14" spans="1:5" x14ac:dyDescent="0.45">
      <c r="B14">
        <v>130</v>
      </c>
      <c r="C14" s="1">
        <f t="shared" si="0"/>
        <v>0.48031930716982957</v>
      </c>
      <c r="D14" s="1">
        <f t="shared" si="1"/>
        <v>7.6923076923076927E-3</v>
      </c>
      <c r="E14" s="2">
        <f t="shared" si="2"/>
        <v>2.0819483728277941</v>
      </c>
    </row>
    <row r="15" spans="1:5" x14ac:dyDescent="0.45">
      <c r="B15">
        <v>140</v>
      </c>
      <c r="C15" s="1">
        <f t="shared" si="0"/>
        <v>0.44601078522912746</v>
      </c>
      <c r="D15" s="1">
        <f t="shared" si="1"/>
        <v>7.1428571428571426E-3</v>
      </c>
      <c r="E15" s="2">
        <f t="shared" si="2"/>
        <v>2.2420982476607012</v>
      </c>
    </row>
    <row r="16" spans="1:5" x14ac:dyDescent="0.45">
      <c r="B16">
        <v>150</v>
      </c>
      <c r="C16" s="1">
        <f t="shared" si="0"/>
        <v>0.41627673288051897</v>
      </c>
      <c r="D16" s="1">
        <f t="shared" si="1"/>
        <v>6.6666666666666671E-3</v>
      </c>
      <c r="E16" s="2">
        <f t="shared" si="2"/>
        <v>2.4022481224936083</v>
      </c>
    </row>
    <row r="17" spans="2:5" x14ac:dyDescent="0.45">
      <c r="B17">
        <v>160</v>
      </c>
      <c r="C17" s="1">
        <f t="shared" si="0"/>
        <v>0.39025943707548649</v>
      </c>
      <c r="D17" s="1">
        <f t="shared" si="1"/>
        <v>6.2500000000000003E-3</v>
      </c>
      <c r="E17" s="2">
        <f t="shared" si="2"/>
        <v>2.5623979973265159</v>
      </c>
    </row>
    <row r="18" spans="2:5" x14ac:dyDescent="0.45">
      <c r="B18">
        <v>170</v>
      </c>
      <c r="C18" s="1">
        <f t="shared" si="0"/>
        <v>0.36730299960045787</v>
      </c>
      <c r="D18" s="1">
        <f t="shared" si="1"/>
        <v>5.8823529411764705E-3</v>
      </c>
      <c r="E18" s="2">
        <f t="shared" si="2"/>
        <v>2.722547872159423</v>
      </c>
    </row>
    <row r="19" spans="2:5" x14ac:dyDescent="0.45">
      <c r="B19">
        <v>180</v>
      </c>
      <c r="C19" s="1">
        <f t="shared" si="0"/>
        <v>0.34689727740043247</v>
      </c>
      <c r="D19" s="1">
        <f t="shared" si="1"/>
        <v>5.5555555555555558E-3</v>
      </c>
      <c r="E19" s="2">
        <f t="shared" si="2"/>
        <v>2.8826977469923301</v>
      </c>
    </row>
    <row r="20" spans="2:5" x14ac:dyDescent="0.45">
      <c r="B20">
        <v>190</v>
      </c>
      <c r="C20" s="1">
        <f t="shared" si="0"/>
        <v>0.32863952595830442</v>
      </c>
      <c r="D20" s="1">
        <f t="shared" si="1"/>
        <v>5.263157894736842E-3</v>
      </c>
      <c r="E20" s="2">
        <f t="shared" si="2"/>
        <v>3.0428476218252376</v>
      </c>
    </row>
    <row r="21" spans="2:5" x14ac:dyDescent="0.45">
      <c r="B21">
        <v>200</v>
      </c>
      <c r="C21" s="1">
        <f t="shared" si="0"/>
        <v>0.31220754966038922</v>
      </c>
      <c r="D21" s="1">
        <f t="shared" si="1"/>
        <v>5.0000000000000001E-3</v>
      </c>
      <c r="E21" s="2">
        <f t="shared" si="2"/>
        <v>3.2029974966581447</v>
      </c>
    </row>
    <row r="22" spans="2:5" x14ac:dyDescent="0.45">
      <c r="B22">
        <v>210</v>
      </c>
      <c r="C22" s="1">
        <f t="shared" si="0"/>
        <v>0.29734052348608497</v>
      </c>
      <c r="D22" s="1">
        <f t="shared" si="1"/>
        <v>4.7619047619047623E-3</v>
      </c>
      <c r="E22" s="2">
        <f t="shared" si="2"/>
        <v>3.3631473714910518</v>
      </c>
    </row>
    <row r="23" spans="2:5" x14ac:dyDescent="0.45">
      <c r="B23">
        <v>220</v>
      </c>
      <c r="C23" s="1">
        <f t="shared" si="0"/>
        <v>0.28382504514580836</v>
      </c>
      <c r="D23" s="1">
        <f t="shared" si="1"/>
        <v>4.5454545454545452E-3</v>
      </c>
      <c r="E23" s="2">
        <f t="shared" si="2"/>
        <v>3.5232972463239594</v>
      </c>
    </row>
    <row r="24" spans="2:5" x14ac:dyDescent="0.45">
      <c r="B24">
        <v>230</v>
      </c>
      <c r="C24" s="1">
        <f t="shared" si="0"/>
        <v>0.27148482579164279</v>
      </c>
      <c r="D24" s="1">
        <f t="shared" si="1"/>
        <v>4.3478260869565218E-3</v>
      </c>
      <c r="E24" s="2">
        <f t="shared" si="2"/>
        <v>3.6834471211568665</v>
      </c>
    </row>
    <row r="25" spans="2:5" x14ac:dyDescent="0.45">
      <c r="B25">
        <v>240</v>
      </c>
      <c r="C25" s="1">
        <f t="shared" si="0"/>
        <v>0.26017295805032437</v>
      </c>
      <c r="D25" s="1">
        <f t="shared" si="1"/>
        <v>4.1666666666666666E-3</v>
      </c>
      <c r="E25" s="2">
        <f t="shared" si="2"/>
        <v>3.8435969959897731</v>
      </c>
    </row>
    <row r="26" spans="2:5" x14ac:dyDescent="0.45">
      <c r="B26">
        <v>250</v>
      </c>
      <c r="C26" s="1">
        <f t="shared" si="0"/>
        <v>0.24976603972831138</v>
      </c>
      <c r="D26" s="1">
        <f t="shared" si="1"/>
        <v>4.0000000000000001E-3</v>
      </c>
      <c r="E26" s="2">
        <f t="shared" si="2"/>
        <v>4.0037468708226802</v>
      </c>
    </row>
    <row r="27" spans="2:5" x14ac:dyDescent="0.45">
      <c r="B27">
        <v>260</v>
      </c>
      <c r="C27" s="1">
        <f t="shared" si="0"/>
        <v>0.24015965358491478</v>
      </c>
      <c r="D27" s="1">
        <f t="shared" si="1"/>
        <v>3.8461538461538464E-3</v>
      </c>
      <c r="E27" s="2">
        <f t="shared" si="2"/>
        <v>4.1638967456555882</v>
      </c>
    </row>
    <row r="28" spans="2:5" x14ac:dyDescent="0.45">
      <c r="B28">
        <v>270</v>
      </c>
      <c r="C28" s="1">
        <f t="shared" si="0"/>
        <v>0.23126485160028831</v>
      </c>
      <c r="D28" s="1">
        <f t="shared" si="1"/>
        <v>3.7037037037037038E-3</v>
      </c>
      <c r="E28" s="2">
        <f t="shared" si="2"/>
        <v>4.3240466204884953</v>
      </c>
    </row>
    <row r="29" spans="2:5" x14ac:dyDescent="0.45">
      <c r="B29">
        <v>280</v>
      </c>
      <c r="C29" s="1">
        <f t="shared" si="0"/>
        <v>0.22300539261456373</v>
      </c>
      <c r="D29" s="1">
        <f t="shared" si="1"/>
        <v>3.5714285714285713E-3</v>
      </c>
      <c r="E29" s="2">
        <f t="shared" si="2"/>
        <v>4.4841964953214024</v>
      </c>
    </row>
    <row r="30" spans="2:5" x14ac:dyDescent="0.45">
      <c r="B30">
        <v>290</v>
      </c>
      <c r="C30" s="1">
        <f t="shared" si="0"/>
        <v>0.2153155514899236</v>
      </c>
      <c r="D30" s="1">
        <f t="shared" si="1"/>
        <v>3.4482758620689655E-3</v>
      </c>
      <c r="E30" s="2">
        <f t="shared" si="2"/>
        <v>4.6443463701543095</v>
      </c>
    </row>
    <row r="31" spans="2:5" x14ac:dyDescent="0.45">
      <c r="B31">
        <v>300</v>
      </c>
      <c r="C31" s="1">
        <f t="shared" si="0"/>
        <v>0.20813836644025949</v>
      </c>
      <c r="D31" s="1">
        <f t="shared" si="1"/>
        <v>3.3333333333333335E-3</v>
      </c>
      <c r="E31" s="2">
        <f t="shared" si="2"/>
        <v>4.8044962449872166</v>
      </c>
    </row>
    <row r="32" spans="2:5" x14ac:dyDescent="0.45">
      <c r="B32">
        <v>310</v>
      </c>
      <c r="C32" s="1">
        <f t="shared" si="0"/>
        <v>0.20142422558734788</v>
      </c>
      <c r="D32" s="1">
        <f t="shared" si="1"/>
        <v>3.2258064516129032E-3</v>
      </c>
      <c r="E32" s="2">
        <f t="shared" si="2"/>
        <v>4.9646461198201237</v>
      </c>
    </row>
    <row r="33" spans="2:5" x14ac:dyDescent="0.45">
      <c r="B33">
        <v>320</v>
      </c>
      <c r="C33" s="1">
        <f t="shared" si="0"/>
        <v>0.19512971853774325</v>
      </c>
      <c r="D33" s="1">
        <f t="shared" si="1"/>
        <v>3.1250000000000002E-3</v>
      </c>
      <c r="E33" s="2">
        <f t="shared" si="2"/>
        <v>5.1247959946530317</v>
      </c>
    </row>
    <row r="34" spans="2:5" x14ac:dyDescent="0.45">
      <c r="B34">
        <v>330</v>
      </c>
      <c r="C34" s="1">
        <f t="shared" si="0"/>
        <v>0.18921669676387226</v>
      </c>
      <c r="D34" s="1">
        <f t="shared" si="1"/>
        <v>3.0303030303030303E-3</v>
      </c>
      <c r="E34" s="2">
        <f t="shared" si="2"/>
        <v>5.2849458694859379</v>
      </c>
    </row>
    <row r="35" spans="2:5" x14ac:dyDescent="0.45">
      <c r="B35">
        <v>340</v>
      </c>
      <c r="C35" s="1">
        <f t="shared" si="0"/>
        <v>0.18365149980022893</v>
      </c>
      <c r="D35" s="1">
        <f t="shared" si="1"/>
        <v>2.9411764705882353E-3</v>
      </c>
      <c r="E35" s="2">
        <f t="shared" si="2"/>
        <v>5.4450957443188459</v>
      </c>
    </row>
    <row r="36" spans="2:5" x14ac:dyDescent="0.45">
      <c r="B36">
        <v>350</v>
      </c>
      <c r="C36" s="1">
        <f t="shared" si="0"/>
        <v>0.17840431409165097</v>
      </c>
      <c r="D36" s="1">
        <f t="shared" si="1"/>
        <v>2.8571428571428571E-3</v>
      </c>
      <c r="E36" s="2">
        <f t="shared" si="2"/>
        <v>5.605245619151753</v>
      </c>
    </row>
    <row r="37" spans="2:5" x14ac:dyDescent="0.45">
      <c r="B37">
        <v>360</v>
      </c>
      <c r="C37" s="1">
        <f t="shared" si="0"/>
        <v>0.17344863870021623</v>
      </c>
      <c r="D37" s="1">
        <f t="shared" si="1"/>
        <v>2.7777777777777779E-3</v>
      </c>
      <c r="E37" s="2">
        <f t="shared" si="2"/>
        <v>5.7653954939846601</v>
      </c>
    </row>
    <row r="38" spans="2:5" x14ac:dyDescent="0.45">
      <c r="B38">
        <v>370</v>
      </c>
      <c r="C38" s="1">
        <f t="shared" si="0"/>
        <v>0.16876083765426445</v>
      </c>
      <c r="D38" s="1">
        <f t="shared" si="1"/>
        <v>2.7027027027027029E-3</v>
      </c>
      <c r="E38" s="2">
        <f t="shared" si="2"/>
        <v>5.9255453688175672</v>
      </c>
    </row>
    <row r="39" spans="2:5" x14ac:dyDescent="0.45">
      <c r="B39">
        <v>380</v>
      </c>
      <c r="C39" s="1">
        <f t="shared" si="0"/>
        <v>0.16431976297915221</v>
      </c>
      <c r="D39" s="1">
        <f t="shared" si="1"/>
        <v>2.631578947368421E-3</v>
      </c>
      <c r="E39" s="2">
        <f t="shared" si="2"/>
        <v>6.0856952436504752</v>
      </c>
    </row>
    <row r="40" spans="2:5" x14ac:dyDescent="0.45">
      <c r="B40">
        <v>390</v>
      </c>
      <c r="C40" s="1">
        <f t="shared" si="0"/>
        <v>0.16010643572327651</v>
      </c>
      <c r="D40" s="1">
        <f t="shared" si="1"/>
        <v>2.5641025641025641E-3</v>
      </c>
      <c r="E40" s="2">
        <f t="shared" si="2"/>
        <v>6.2458451184833823</v>
      </c>
    </row>
    <row r="41" spans="2:5" x14ac:dyDescent="0.45">
      <c r="B41">
        <v>400</v>
      </c>
      <c r="C41" s="1">
        <f t="shared" si="0"/>
        <v>0.15610377483019461</v>
      </c>
      <c r="D41" s="1">
        <f t="shared" si="1"/>
        <v>2.5000000000000001E-3</v>
      </c>
      <c r="E41" s="2">
        <f t="shared" si="2"/>
        <v>6.4059949933162894</v>
      </c>
    </row>
    <row r="42" spans="2:5" x14ac:dyDescent="0.45">
      <c r="B42">
        <v>410</v>
      </c>
      <c r="C42" s="1">
        <f t="shared" si="0"/>
        <v>0.15229636568799473</v>
      </c>
      <c r="D42" s="1">
        <f t="shared" si="1"/>
        <v>2.4390243902439024E-3</v>
      </c>
      <c r="E42" s="2">
        <f t="shared" si="2"/>
        <v>6.5661448681491965</v>
      </c>
    </row>
    <row r="43" spans="2:5" x14ac:dyDescent="0.45">
      <c r="B43">
        <v>420</v>
      </c>
      <c r="C43" s="1">
        <f t="shared" si="0"/>
        <v>0.14867026174304249</v>
      </c>
      <c r="D43" s="1">
        <f t="shared" si="1"/>
        <v>2.3809523809523812E-3</v>
      </c>
      <c r="E43" s="2">
        <f t="shared" si="2"/>
        <v>6.7262947429821036</v>
      </c>
    </row>
    <row r="44" spans="2:5" x14ac:dyDescent="0.45">
      <c r="B44">
        <v>430</v>
      </c>
      <c r="C44" s="1">
        <f t="shared" si="0"/>
        <v>0.14521281379552986</v>
      </c>
      <c r="D44" s="1">
        <f t="shared" si="1"/>
        <v>2.3255813953488372E-3</v>
      </c>
      <c r="E44" s="2">
        <f t="shared" si="2"/>
        <v>6.8864446178150107</v>
      </c>
    </row>
    <row r="45" spans="2:5" x14ac:dyDescent="0.45">
      <c r="B45">
        <v>440</v>
      </c>
      <c r="C45" s="1">
        <f t="shared" si="0"/>
        <v>0.14191252257290418</v>
      </c>
      <c r="D45" s="1">
        <f t="shared" si="1"/>
        <v>2.2727272727272726E-3</v>
      </c>
      <c r="E45" s="2">
        <f t="shared" si="2"/>
        <v>7.0465944926479187</v>
      </c>
    </row>
    <row r="46" spans="2:5" x14ac:dyDescent="0.45">
      <c r="B46">
        <v>450</v>
      </c>
      <c r="C46" s="1">
        <f t="shared" si="0"/>
        <v>0.13875891096017298</v>
      </c>
      <c r="D46" s="1">
        <f t="shared" si="1"/>
        <v>2.2222222222222222E-3</v>
      </c>
      <c r="E46" s="2">
        <f t="shared" si="2"/>
        <v>7.2067443674808249</v>
      </c>
    </row>
    <row r="47" spans="2:5" x14ac:dyDescent="0.45">
      <c r="B47">
        <v>460</v>
      </c>
      <c r="C47" s="1">
        <f t="shared" si="0"/>
        <v>0.1357424128958214</v>
      </c>
      <c r="D47" s="1">
        <f t="shared" si="1"/>
        <v>2.1739130434782609E-3</v>
      </c>
      <c r="E47" s="2">
        <f t="shared" si="2"/>
        <v>7.3668942423137329</v>
      </c>
    </row>
    <row r="48" spans="2:5" x14ac:dyDescent="0.45">
      <c r="B48">
        <v>470</v>
      </c>
      <c r="C48" s="1">
        <f t="shared" si="0"/>
        <v>0.13285427645122946</v>
      </c>
      <c r="D48" s="1">
        <f t="shared" si="1"/>
        <v>2.1276595744680851E-3</v>
      </c>
      <c r="E48" s="2">
        <f t="shared" si="2"/>
        <v>7.5270441171466391</v>
      </c>
    </row>
    <row r="49" spans="2:5" x14ac:dyDescent="0.45">
      <c r="B49">
        <v>480</v>
      </c>
      <c r="C49" s="1">
        <f t="shared" si="0"/>
        <v>0.13008647902516218</v>
      </c>
      <c r="D49" s="1">
        <f t="shared" si="1"/>
        <v>2.0833333333333333E-3</v>
      </c>
      <c r="E49" s="2">
        <f t="shared" si="2"/>
        <v>7.6871939919795462</v>
      </c>
    </row>
    <row r="50" spans="2:5" x14ac:dyDescent="0.45">
      <c r="B50">
        <v>490</v>
      </c>
      <c r="C50" s="1">
        <f t="shared" si="0"/>
        <v>0.12743165292260783</v>
      </c>
      <c r="D50" s="1">
        <f t="shared" si="1"/>
        <v>2.0408163265306124E-3</v>
      </c>
      <c r="E50" s="2">
        <f t="shared" si="2"/>
        <v>7.8473438668124551</v>
      </c>
    </row>
    <row r="51" spans="2:5" x14ac:dyDescent="0.45">
      <c r="B51">
        <v>500</v>
      </c>
      <c r="C51" s="1">
        <f t="shared" si="0"/>
        <v>0.12488301986415569</v>
      </c>
      <c r="D51" s="1">
        <f t="shared" si="1"/>
        <v>2E-3</v>
      </c>
      <c r="E51" s="2">
        <f t="shared" si="2"/>
        <v>8.0074937416453604</v>
      </c>
    </row>
    <row r="52" spans="2:5" x14ac:dyDescent="0.45">
      <c r="B52">
        <v>510</v>
      </c>
      <c r="C52" s="1">
        <f t="shared" si="0"/>
        <v>0.12243433320015264</v>
      </c>
      <c r="D52" s="1">
        <f t="shared" si="1"/>
        <v>1.9607843137254902E-3</v>
      </c>
      <c r="E52" s="2">
        <f t="shared" si="2"/>
        <v>8.1676436164782675</v>
      </c>
    </row>
    <row r="53" spans="2:5" x14ac:dyDescent="0.45">
      <c r="B53">
        <v>520</v>
      </c>
      <c r="C53" s="1">
        <f t="shared" si="0"/>
        <v>0.12007982679245739</v>
      </c>
      <c r="D53" s="1">
        <f t="shared" si="1"/>
        <v>1.9230769230769232E-3</v>
      </c>
      <c r="E53" s="2">
        <f t="shared" si="2"/>
        <v>8.3277934913111764</v>
      </c>
    </row>
    <row r="54" spans="2:5" x14ac:dyDescent="0.45">
      <c r="B54">
        <v>530</v>
      </c>
      <c r="C54" s="1">
        <f t="shared" si="0"/>
        <v>0.11781416968316574</v>
      </c>
      <c r="D54" s="1">
        <f t="shared" si="1"/>
        <v>1.8867924528301887E-3</v>
      </c>
      <c r="E54" s="2">
        <f t="shared" si="2"/>
        <v>8.4879433661440835</v>
      </c>
    </row>
    <row r="55" spans="2:5" x14ac:dyDescent="0.45">
      <c r="B55">
        <v>540</v>
      </c>
      <c r="C55" s="1">
        <f t="shared" si="0"/>
        <v>0.11563242580014416</v>
      </c>
      <c r="D55" s="1">
        <f t="shared" si="1"/>
        <v>1.8518518518518519E-3</v>
      </c>
      <c r="E55" s="2">
        <f t="shared" si="2"/>
        <v>8.6480932409769906</v>
      </c>
    </row>
    <row r="56" spans="2:5" x14ac:dyDescent="0.45">
      <c r="B56">
        <v>550</v>
      </c>
      <c r="C56" s="1">
        <f t="shared" si="0"/>
        <v>0.11353001805832336</v>
      </c>
      <c r="D56" s="1">
        <f t="shared" si="1"/>
        <v>1.8181818181818182E-3</v>
      </c>
      <c r="E56" s="2">
        <f t="shared" si="2"/>
        <v>8.8082431158098977</v>
      </c>
    </row>
    <row r="57" spans="2:5" x14ac:dyDescent="0.45">
      <c r="B57">
        <v>560</v>
      </c>
      <c r="C57" s="1">
        <f t="shared" si="0"/>
        <v>0.11150269630728186</v>
      </c>
      <c r="D57" s="1">
        <f t="shared" si="1"/>
        <v>1.7857142857142857E-3</v>
      </c>
      <c r="E57" s="2">
        <f t="shared" si="2"/>
        <v>8.9683929906428048</v>
      </c>
    </row>
    <row r="58" spans="2:5" x14ac:dyDescent="0.45">
      <c r="B58">
        <v>570</v>
      </c>
      <c r="C58" s="1">
        <f t="shared" si="0"/>
        <v>0.10954650865276815</v>
      </c>
      <c r="D58" s="1">
        <f t="shared" si="1"/>
        <v>1.7543859649122807E-3</v>
      </c>
      <c r="E58" s="2">
        <f t="shared" si="2"/>
        <v>9.1285428654757119</v>
      </c>
    </row>
    <row r="59" spans="2:5" x14ac:dyDescent="0.45">
      <c r="B59">
        <v>580</v>
      </c>
      <c r="C59" s="1">
        <f t="shared" si="0"/>
        <v>0.1076577757449618</v>
      </c>
      <c r="D59" s="1">
        <f t="shared" si="1"/>
        <v>1.7241379310344827E-3</v>
      </c>
      <c r="E59" s="2">
        <f t="shared" si="2"/>
        <v>9.288692740308619</v>
      </c>
    </row>
    <row r="60" spans="2:5" x14ac:dyDescent="0.45">
      <c r="B60">
        <v>590</v>
      </c>
      <c r="C60" s="1">
        <f t="shared" si="0"/>
        <v>0.10583306768148787</v>
      </c>
      <c r="D60" s="1">
        <f t="shared" si="1"/>
        <v>1.6949152542372881E-3</v>
      </c>
      <c r="E60" s="2">
        <f t="shared" si="2"/>
        <v>9.4488426151415261</v>
      </c>
    </row>
    <row r="61" spans="2:5" x14ac:dyDescent="0.45">
      <c r="B61">
        <v>600</v>
      </c>
      <c r="C61" s="1">
        <f t="shared" si="0"/>
        <v>0.10406918322012974</v>
      </c>
      <c r="D61" s="1">
        <f t="shared" si="1"/>
        <v>1.6666666666666668E-3</v>
      </c>
      <c r="E61" s="2">
        <f t="shared" si="2"/>
        <v>9.6089924899744332</v>
      </c>
    </row>
    <row r="62" spans="2:5" x14ac:dyDescent="0.45">
      <c r="B62">
        <v>610</v>
      </c>
      <c r="C62" s="1">
        <f t="shared" si="0"/>
        <v>0.10236313103619318</v>
      </c>
      <c r="D62" s="1">
        <f t="shared" si="1"/>
        <v>1.639344262295082E-3</v>
      </c>
      <c r="E62" s="2">
        <f t="shared" si="2"/>
        <v>9.7691423648073403</v>
      </c>
    </row>
    <row r="63" spans="2:5" x14ac:dyDescent="0.45">
      <c r="B63">
        <v>620</v>
      </c>
      <c r="C63" s="1">
        <f t="shared" si="0"/>
        <v>0.10071211279367394</v>
      </c>
      <c r="D63" s="1">
        <f t="shared" si="1"/>
        <v>1.6129032258064516E-3</v>
      </c>
      <c r="E63" s="2">
        <f t="shared" si="2"/>
        <v>9.9292922396402474</v>
      </c>
    </row>
    <row r="64" spans="2:5" x14ac:dyDescent="0.45">
      <c r="B64">
        <v>630</v>
      </c>
      <c r="C64" s="1">
        <f t="shared" si="0"/>
        <v>9.9113507828694991E-2</v>
      </c>
      <c r="D64" s="1">
        <f t="shared" si="1"/>
        <v>1.5873015873015873E-3</v>
      </c>
      <c r="E64" s="2">
        <f t="shared" si="2"/>
        <v>10.089442114473155</v>
      </c>
    </row>
    <row r="65" spans="2:5" x14ac:dyDescent="0.45">
      <c r="B65">
        <v>640</v>
      </c>
      <c r="C65" s="1">
        <f t="shared" si="0"/>
        <v>9.7564859268871623E-2</v>
      </c>
      <c r="D65" s="1">
        <f t="shared" si="1"/>
        <v>1.5625000000000001E-3</v>
      </c>
      <c r="E65" s="2">
        <f t="shared" si="2"/>
        <v>10.249591989306063</v>
      </c>
    </row>
    <row r="66" spans="2:5" x14ac:dyDescent="0.45">
      <c r="B66">
        <v>650</v>
      </c>
      <c r="C66" s="1">
        <f t="shared" si="0"/>
        <v>9.6063861433965905E-2</v>
      </c>
      <c r="D66" s="1">
        <f t="shared" si="1"/>
        <v>1.5384615384615385E-3</v>
      </c>
      <c r="E66" s="2">
        <f t="shared" si="2"/>
        <v>10.409741864138971</v>
      </c>
    </row>
    <row r="67" spans="2:5" x14ac:dyDescent="0.45">
      <c r="B67">
        <v>660</v>
      </c>
      <c r="C67" s="1">
        <f t="shared" ref="C67:C104" si="3">$A$2/B67</f>
        <v>9.460834838193613E-2</v>
      </c>
      <c r="D67" s="1">
        <f t="shared" ref="D67:D104" si="4">1/B67</f>
        <v>1.5151515151515152E-3</v>
      </c>
      <c r="E67" s="2">
        <f t="shared" ref="E67:E104" si="5">1/C67</f>
        <v>10.569891738971876</v>
      </c>
    </row>
    <row r="68" spans="2:5" x14ac:dyDescent="0.45">
      <c r="B68">
        <v>670</v>
      </c>
      <c r="C68" s="1">
        <f t="shared" si="3"/>
        <v>9.3196283480713196E-2</v>
      </c>
      <c r="D68" s="1">
        <f t="shared" si="4"/>
        <v>1.4925373134328358E-3</v>
      </c>
      <c r="E68" s="2">
        <f t="shared" si="5"/>
        <v>10.730041613804785</v>
      </c>
    </row>
    <row r="69" spans="2:5" x14ac:dyDescent="0.45">
      <c r="B69">
        <v>680</v>
      </c>
      <c r="C69" s="1">
        <f t="shared" si="3"/>
        <v>9.1825749900114467E-2</v>
      </c>
      <c r="D69" s="1">
        <f t="shared" si="4"/>
        <v>1.4705882352941176E-3</v>
      </c>
      <c r="E69" s="2">
        <f t="shared" si="5"/>
        <v>10.890191488637692</v>
      </c>
    </row>
    <row r="70" spans="2:5" x14ac:dyDescent="0.45">
      <c r="B70">
        <v>690</v>
      </c>
      <c r="C70" s="1">
        <f t="shared" si="3"/>
        <v>9.0494941930547593E-2</v>
      </c>
      <c r="D70" s="1">
        <f t="shared" si="4"/>
        <v>1.4492753623188406E-3</v>
      </c>
      <c r="E70" s="2">
        <f t="shared" si="5"/>
        <v>11.050341363470599</v>
      </c>
    </row>
    <row r="71" spans="2:5" x14ac:dyDescent="0.45">
      <c r="B71">
        <v>700</v>
      </c>
      <c r="C71" s="1">
        <f t="shared" si="3"/>
        <v>8.9202157045825486E-2</v>
      </c>
      <c r="D71" s="1">
        <f t="shared" si="4"/>
        <v>1.4285714285714286E-3</v>
      </c>
      <c r="E71" s="2">
        <f t="shared" si="5"/>
        <v>11.210491238303506</v>
      </c>
    </row>
    <row r="72" spans="2:5" x14ac:dyDescent="0.45">
      <c r="B72">
        <v>710</v>
      </c>
      <c r="C72" s="1">
        <f t="shared" si="3"/>
        <v>8.7945788636729361E-2</v>
      </c>
      <c r="D72" s="1">
        <f t="shared" si="4"/>
        <v>1.4084507042253522E-3</v>
      </c>
      <c r="E72" s="2">
        <f t="shared" si="5"/>
        <v>11.370641113136413</v>
      </c>
    </row>
    <row r="73" spans="2:5" x14ac:dyDescent="0.45">
      <c r="B73">
        <v>720</v>
      </c>
      <c r="C73" s="1">
        <f t="shared" si="3"/>
        <v>8.6724319350108117E-2</v>
      </c>
      <c r="D73" s="1">
        <f t="shared" si="4"/>
        <v>1.3888888888888889E-3</v>
      </c>
      <c r="E73" s="2">
        <f t="shared" si="5"/>
        <v>11.53079098796932</v>
      </c>
    </row>
    <row r="74" spans="2:5" x14ac:dyDescent="0.45">
      <c r="B74">
        <v>730</v>
      </c>
      <c r="C74" s="1">
        <f t="shared" si="3"/>
        <v>8.5536314975449099E-2</v>
      </c>
      <c r="D74" s="1">
        <f t="shared" si="4"/>
        <v>1.3698630136986301E-3</v>
      </c>
      <c r="E74" s="2">
        <f t="shared" si="5"/>
        <v>11.690940862802227</v>
      </c>
    </row>
    <row r="75" spans="2:5" x14ac:dyDescent="0.45">
      <c r="B75">
        <v>740</v>
      </c>
      <c r="C75" s="1">
        <f t="shared" si="3"/>
        <v>8.4380418827132223E-2</v>
      </c>
      <c r="D75" s="1">
        <f t="shared" si="4"/>
        <v>1.3513513513513514E-3</v>
      </c>
      <c r="E75" s="2">
        <f t="shared" si="5"/>
        <v>11.851090737635134</v>
      </c>
    </row>
    <row r="76" spans="2:5" x14ac:dyDescent="0.45">
      <c r="B76">
        <v>750</v>
      </c>
      <c r="C76" s="1">
        <f t="shared" si="3"/>
        <v>8.3255346576103784E-2</v>
      </c>
      <c r="D76" s="1">
        <f t="shared" si="4"/>
        <v>1.3333333333333333E-3</v>
      </c>
      <c r="E76" s="2">
        <f t="shared" si="5"/>
        <v>12.011240612468043</v>
      </c>
    </row>
    <row r="77" spans="2:5" x14ac:dyDescent="0.45">
      <c r="B77">
        <v>760</v>
      </c>
      <c r="C77" s="1">
        <f t="shared" si="3"/>
        <v>8.2159881489576106E-2</v>
      </c>
      <c r="D77" s="1">
        <f t="shared" si="4"/>
        <v>1.3157894736842105E-3</v>
      </c>
      <c r="E77" s="2">
        <f t="shared" si="5"/>
        <v>12.17139048730095</v>
      </c>
    </row>
    <row r="78" spans="2:5" x14ac:dyDescent="0.45">
      <c r="B78">
        <v>770</v>
      </c>
      <c r="C78" s="1">
        <f t="shared" si="3"/>
        <v>8.1092870041659534E-2</v>
      </c>
      <c r="D78" s="1">
        <f t="shared" si="4"/>
        <v>1.2987012987012987E-3</v>
      </c>
      <c r="E78" s="2">
        <f t="shared" si="5"/>
        <v>12.331540362133858</v>
      </c>
    </row>
    <row r="79" spans="2:5" x14ac:dyDescent="0.45">
      <c r="B79">
        <v>780</v>
      </c>
      <c r="C79" s="1">
        <f t="shared" si="3"/>
        <v>8.0053217861638257E-2</v>
      </c>
      <c r="D79" s="1">
        <f t="shared" si="4"/>
        <v>1.2820512820512821E-3</v>
      </c>
      <c r="E79" s="2">
        <f t="shared" si="5"/>
        <v>12.491690236966765</v>
      </c>
    </row>
    <row r="80" spans="2:5" x14ac:dyDescent="0.45">
      <c r="B80">
        <v>790</v>
      </c>
      <c r="C80" s="1">
        <f t="shared" si="3"/>
        <v>7.9039885989971956E-2</v>
      </c>
      <c r="D80" s="1">
        <f t="shared" si="4"/>
        <v>1.2658227848101266E-3</v>
      </c>
      <c r="E80" s="2">
        <f t="shared" si="5"/>
        <v>12.65184011179967</v>
      </c>
    </row>
    <row r="81" spans="2:5" x14ac:dyDescent="0.45">
      <c r="B81">
        <v>800</v>
      </c>
      <c r="C81" s="1">
        <f t="shared" si="3"/>
        <v>7.8051887415097304E-2</v>
      </c>
      <c r="D81" s="1">
        <f t="shared" si="4"/>
        <v>1.25E-3</v>
      </c>
      <c r="E81" s="2">
        <f t="shared" si="5"/>
        <v>12.811989986632579</v>
      </c>
    </row>
    <row r="82" spans="2:5" x14ac:dyDescent="0.45">
      <c r="B82">
        <v>810</v>
      </c>
      <c r="C82" s="1">
        <f t="shared" si="3"/>
        <v>7.7088283866762766E-2</v>
      </c>
      <c r="D82" s="1">
        <f t="shared" si="4"/>
        <v>1.2345679012345679E-3</v>
      </c>
      <c r="E82" s="2">
        <f t="shared" si="5"/>
        <v>12.972139861465486</v>
      </c>
    </row>
    <row r="83" spans="2:5" x14ac:dyDescent="0.45">
      <c r="B83">
        <v>820</v>
      </c>
      <c r="C83" s="1">
        <f t="shared" si="3"/>
        <v>7.6148182843997367E-2</v>
      </c>
      <c r="D83" s="1">
        <f t="shared" si="4"/>
        <v>1.2195121951219512E-3</v>
      </c>
      <c r="E83" s="2">
        <f t="shared" si="5"/>
        <v>13.132289736298393</v>
      </c>
    </row>
    <row r="84" spans="2:5" x14ac:dyDescent="0.45">
      <c r="B84">
        <v>830</v>
      </c>
      <c r="C84" s="1">
        <f t="shared" si="3"/>
        <v>7.5230734857925113E-2</v>
      </c>
      <c r="D84" s="1">
        <f t="shared" si="4"/>
        <v>1.2048192771084338E-3</v>
      </c>
      <c r="E84" s="2">
        <f t="shared" si="5"/>
        <v>13.2924396111313</v>
      </c>
    </row>
    <row r="85" spans="2:5" x14ac:dyDescent="0.45">
      <c r="B85">
        <v>840</v>
      </c>
      <c r="C85" s="1">
        <f t="shared" si="3"/>
        <v>7.4335130871521243E-2</v>
      </c>
      <c r="D85" s="1">
        <f t="shared" si="4"/>
        <v>1.1904761904761906E-3</v>
      </c>
      <c r="E85" s="2">
        <f t="shared" si="5"/>
        <v>13.452589485964207</v>
      </c>
    </row>
    <row r="86" spans="2:5" x14ac:dyDescent="0.45">
      <c r="B86">
        <v>850</v>
      </c>
      <c r="C86" s="1">
        <f t="shared" si="3"/>
        <v>7.3460599920091574E-2</v>
      </c>
      <c r="D86" s="1">
        <f t="shared" si="4"/>
        <v>1.176470588235294E-3</v>
      </c>
      <c r="E86" s="2">
        <f t="shared" si="5"/>
        <v>13.612739360797116</v>
      </c>
    </row>
    <row r="87" spans="2:5" x14ac:dyDescent="0.45">
      <c r="B87">
        <v>860</v>
      </c>
      <c r="C87" s="1">
        <f t="shared" si="3"/>
        <v>7.260640689776493E-2</v>
      </c>
      <c r="D87" s="1">
        <f t="shared" si="4"/>
        <v>1.1627906976744186E-3</v>
      </c>
      <c r="E87" s="2">
        <f t="shared" si="5"/>
        <v>13.772889235630021</v>
      </c>
    </row>
    <row r="88" spans="2:5" x14ac:dyDescent="0.45">
      <c r="B88">
        <v>870</v>
      </c>
      <c r="C88" s="1">
        <f t="shared" si="3"/>
        <v>7.1771850496641199E-2</v>
      </c>
      <c r="D88" s="1">
        <f t="shared" si="4"/>
        <v>1.1494252873563218E-3</v>
      </c>
      <c r="E88" s="2">
        <f t="shared" si="5"/>
        <v>13.933039110462929</v>
      </c>
    </row>
    <row r="89" spans="2:5" x14ac:dyDescent="0.45">
      <c r="B89">
        <v>880</v>
      </c>
      <c r="C89" s="1">
        <f t="shared" si="3"/>
        <v>7.0956261286452091E-2</v>
      </c>
      <c r="D89" s="1">
        <f t="shared" si="4"/>
        <v>1.1363636363636363E-3</v>
      </c>
      <c r="E89" s="2">
        <f t="shared" si="5"/>
        <v>14.093188985295837</v>
      </c>
    </row>
    <row r="90" spans="2:5" x14ac:dyDescent="0.45">
      <c r="B90">
        <v>890</v>
      </c>
      <c r="C90" s="1">
        <f t="shared" si="3"/>
        <v>7.0158999923682963E-2</v>
      </c>
      <c r="D90" s="1">
        <f t="shared" si="4"/>
        <v>1.1235955056179776E-3</v>
      </c>
      <c r="E90" s="2">
        <f t="shared" si="5"/>
        <v>14.253338860128745</v>
      </c>
    </row>
    <row r="91" spans="2:5" x14ac:dyDescent="0.45">
      <c r="B91">
        <v>900</v>
      </c>
      <c r="C91" s="1">
        <f t="shared" si="3"/>
        <v>6.9379455480086491E-2</v>
      </c>
      <c r="D91" s="1">
        <f t="shared" si="4"/>
        <v>1.1111111111111111E-3</v>
      </c>
      <c r="E91" s="2">
        <f t="shared" si="5"/>
        <v>14.41348873496165</v>
      </c>
    </row>
    <row r="92" spans="2:5" x14ac:dyDescent="0.45">
      <c r="B92">
        <v>910</v>
      </c>
      <c r="C92" s="1">
        <f t="shared" si="3"/>
        <v>6.8617043881404216E-2</v>
      </c>
      <c r="D92" s="1">
        <f t="shared" si="4"/>
        <v>1.0989010989010989E-3</v>
      </c>
      <c r="E92" s="2">
        <f t="shared" si="5"/>
        <v>14.573638609794559</v>
      </c>
    </row>
    <row r="93" spans="2:5" x14ac:dyDescent="0.45">
      <c r="B93">
        <v>920</v>
      </c>
      <c r="C93" s="1">
        <f t="shared" si="3"/>
        <v>6.7871206447910698E-2</v>
      </c>
      <c r="D93" s="1">
        <f t="shared" si="4"/>
        <v>1.0869565217391304E-3</v>
      </c>
      <c r="E93" s="2">
        <f t="shared" si="5"/>
        <v>14.733788484627466</v>
      </c>
    </row>
    <row r="94" spans="2:5" x14ac:dyDescent="0.45">
      <c r="B94">
        <v>930</v>
      </c>
      <c r="C94" s="1">
        <f t="shared" si="3"/>
        <v>6.7141408529115959E-2</v>
      </c>
      <c r="D94" s="1">
        <f t="shared" si="4"/>
        <v>1.0752688172043011E-3</v>
      </c>
      <c r="E94" s="2">
        <f t="shared" si="5"/>
        <v>14.893938359460373</v>
      </c>
    </row>
    <row r="95" spans="2:5" x14ac:dyDescent="0.45">
      <c r="B95">
        <v>940</v>
      </c>
      <c r="C95" s="1">
        <f t="shared" si="3"/>
        <v>6.6427138225614732E-2</v>
      </c>
      <c r="D95" s="1">
        <f t="shared" si="4"/>
        <v>1.0638297872340426E-3</v>
      </c>
      <c r="E95" s="2">
        <f t="shared" si="5"/>
        <v>15.054088234293278</v>
      </c>
    </row>
    <row r="96" spans="2:5" x14ac:dyDescent="0.45">
      <c r="B96">
        <v>950</v>
      </c>
      <c r="C96" s="1">
        <f t="shared" si="3"/>
        <v>6.5727905191660885E-2</v>
      </c>
      <c r="D96" s="1">
        <f t="shared" si="4"/>
        <v>1.0526315789473684E-3</v>
      </c>
      <c r="E96" s="2">
        <f t="shared" si="5"/>
        <v>15.214238109126187</v>
      </c>
    </row>
    <row r="97" spans="2:5" x14ac:dyDescent="0.45">
      <c r="B97">
        <v>960</v>
      </c>
      <c r="C97" s="1">
        <f t="shared" si="3"/>
        <v>6.5043239512581091E-2</v>
      </c>
      <c r="D97" s="1">
        <f t="shared" si="4"/>
        <v>1.0416666666666667E-3</v>
      </c>
      <c r="E97" s="2">
        <f t="shared" si="5"/>
        <v>15.374387983959092</v>
      </c>
    </row>
    <row r="98" spans="2:5" x14ac:dyDescent="0.45">
      <c r="B98">
        <v>970</v>
      </c>
      <c r="C98" s="1">
        <f t="shared" si="3"/>
        <v>6.4372690651626638E-2</v>
      </c>
      <c r="D98" s="1">
        <f t="shared" si="4"/>
        <v>1.0309278350515464E-3</v>
      </c>
      <c r="E98" s="2">
        <f t="shared" si="5"/>
        <v>15.534537858792001</v>
      </c>
    </row>
    <row r="99" spans="2:5" x14ac:dyDescent="0.45">
      <c r="B99">
        <v>980</v>
      </c>
      <c r="C99" s="1">
        <f t="shared" si="3"/>
        <v>6.3715826461303915E-2</v>
      </c>
      <c r="D99" s="1">
        <f t="shared" si="4"/>
        <v>1.0204081632653062E-3</v>
      </c>
      <c r="E99" s="2">
        <f t="shared" si="5"/>
        <v>15.69468773362491</v>
      </c>
    </row>
    <row r="100" spans="2:5" x14ac:dyDescent="0.45">
      <c r="B100">
        <v>990</v>
      </c>
      <c r="C100" s="1">
        <f t="shared" si="3"/>
        <v>6.3072232254624078E-2</v>
      </c>
      <c r="D100" s="1">
        <f t="shared" si="4"/>
        <v>1.0101010101010101E-3</v>
      </c>
      <c r="E100" s="2">
        <f t="shared" si="5"/>
        <v>15.854837608457817</v>
      </c>
    </row>
    <row r="101" spans="2:5" x14ac:dyDescent="0.45">
      <c r="B101">
        <v>1000</v>
      </c>
      <c r="C101" s="1">
        <f t="shared" si="3"/>
        <v>6.2441509932077845E-2</v>
      </c>
      <c r="D101" s="1">
        <f t="shared" si="4"/>
        <v>1E-3</v>
      </c>
      <c r="E101" s="2">
        <f t="shared" si="5"/>
        <v>16.014987483290721</v>
      </c>
    </row>
    <row r="102" spans="2:5" x14ac:dyDescent="0.45">
      <c r="B102">
        <v>2000</v>
      </c>
      <c r="C102" s="1">
        <f t="shared" si="3"/>
        <v>3.1220754966038922E-2</v>
      </c>
      <c r="D102" s="1">
        <f t="shared" si="4"/>
        <v>5.0000000000000001E-4</v>
      </c>
      <c r="E102" s="2">
        <f t="shared" si="5"/>
        <v>32.029974966581442</v>
      </c>
    </row>
    <row r="103" spans="2:5" x14ac:dyDescent="0.45">
      <c r="B103">
        <v>3000</v>
      </c>
      <c r="C103" s="1">
        <f t="shared" si="3"/>
        <v>2.0813836644025946E-2</v>
      </c>
      <c r="D103" s="1">
        <f t="shared" si="4"/>
        <v>3.3333333333333332E-4</v>
      </c>
      <c r="E103" s="2">
        <f t="shared" si="5"/>
        <v>48.044962449872173</v>
      </c>
    </row>
    <row r="104" spans="2:5" x14ac:dyDescent="0.45">
      <c r="B104">
        <v>5000</v>
      </c>
      <c r="C104" s="1">
        <f t="shared" si="3"/>
        <v>1.2488301986415569E-2</v>
      </c>
      <c r="D104" s="1">
        <f t="shared" si="4"/>
        <v>2.0000000000000001E-4</v>
      </c>
      <c r="E104" s="2">
        <f t="shared" si="5"/>
        <v>80.074937416453608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01"/>
  <sheetViews>
    <sheetView workbookViewId="0">
      <selection activeCell="E2" sqref="E2"/>
    </sheetView>
  </sheetViews>
  <sheetFormatPr baseColWidth="10" defaultColWidth="9.1328125" defaultRowHeight="14.25" x14ac:dyDescent="0.45"/>
  <cols>
    <col min="1" max="3" width="13" customWidth="1"/>
    <col min="5" max="5" width="14.73046875" customWidth="1"/>
    <col min="6" max="7" width="13" customWidth="1"/>
  </cols>
  <sheetData>
    <row r="1" spans="1:7" x14ac:dyDescent="0.45">
      <c r="A1" t="s">
        <v>155</v>
      </c>
      <c r="B1" t="s">
        <v>148</v>
      </c>
      <c r="C1" t="s">
        <v>147</v>
      </c>
      <c r="E1" t="s">
        <v>172</v>
      </c>
      <c r="F1" t="s">
        <v>148</v>
      </c>
      <c r="G1" t="s">
        <v>147</v>
      </c>
    </row>
    <row r="2" spans="1:7" x14ac:dyDescent="0.45">
      <c r="A2" s="1">
        <v>335.21739130434781</v>
      </c>
      <c r="B2">
        <v>1</v>
      </c>
      <c r="C2" s="2">
        <f>$A$2/B2</f>
        <v>335.21739130434781</v>
      </c>
      <c r="E2" s="1">
        <v>304.74308300395251</v>
      </c>
      <c r="F2">
        <v>1</v>
      </c>
      <c r="G2" s="2">
        <f>$E$2/F2</f>
        <v>304.74308300395251</v>
      </c>
    </row>
    <row r="3" spans="1:7" x14ac:dyDescent="0.45">
      <c r="B3">
        <v>10</v>
      </c>
      <c r="C3" s="2">
        <f>$A$2/B3</f>
        <v>33.521739130434781</v>
      </c>
      <c r="F3">
        <v>10</v>
      </c>
      <c r="G3" s="2">
        <f t="shared" ref="G3:G66" si="0">$E$2/F3</f>
        <v>30.474308300395251</v>
      </c>
    </row>
    <row r="4" spans="1:7" x14ac:dyDescent="0.45">
      <c r="B4">
        <v>20</v>
      </c>
      <c r="C4" s="2">
        <f t="shared" ref="C4:C67" si="1">$A$2/B4</f>
        <v>16.760869565217391</v>
      </c>
      <c r="F4">
        <v>20</v>
      </c>
      <c r="G4" s="2">
        <f t="shared" si="0"/>
        <v>15.237154150197625</v>
      </c>
    </row>
    <row r="5" spans="1:7" x14ac:dyDescent="0.45">
      <c r="B5">
        <v>30</v>
      </c>
      <c r="C5" s="2">
        <f t="shared" si="1"/>
        <v>11.17391304347826</v>
      </c>
      <c r="F5">
        <v>30</v>
      </c>
      <c r="G5" s="2">
        <f t="shared" si="0"/>
        <v>10.158102766798416</v>
      </c>
    </row>
    <row r="6" spans="1:7" x14ac:dyDescent="0.45">
      <c r="B6">
        <v>40</v>
      </c>
      <c r="C6" s="2">
        <f t="shared" si="1"/>
        <v>8.3804347826086953</v>
      </c>
      <c r="F6">
        <v>40</v>
      </c>
      <c r="G6" s="2">
        <f t="shared" si="0"/>
        <v>7.6185770750988127</v>
      </c>
    </row>
    <row r="7" spans="1:7" x14ac:dyDescent="0.45">
      <c r="B7">
        <v>50</v>
      </c>
      <c r="C7" s="2">
        <f t="shared" si="1"/>
        <v>6.7043478260869565</v>
      </c>
      <c r="F7">
        <v>50</v>
      </c>
      <c r="G7" s="2">
        <f t="shared" si="0"/>
        <v>6.0948616600790499</v>
      </c>
    </row>
    <row r="8" spans="1:7" x14ac:dyDescent="0.45">
      <c r="B8">
        <v>60</v>
      </c>
      <c r="C8" s="2">
        <f t="shared" si="1"/>
        <v>5.5869565217391299</v>
      </c>
      <c r="F8">
        <v>60</v>
      </c>
      <c r="G8" s="2">
        <f t="shared" si="0"/>
        <v>5.0790513833992081</v>
      </c>
    </row>
    <row r="9" spans="1:7" x14ac:dyDescent="0.45">
      <c r="B9">
        <v>70</v>
      </c>
      <c r="C9" s="2">
        <f t="shared" si="1"/>
        <v>4.7888198757763973</v>
      </c>
      <c r="F9">
        <v>70</v>
      </c>
      <c r="G9" s="2">
        <f t="shared" si="0"/>
        <v>4.3534726143421789</v>
      </c>
    </row>
    <row r="10" spans="1:7" x14ac:dyDescent="0.45">
      <c r="B10">
        <v>80</v>
      </c>
      <c r="C10" s="2">
        <f t="shared" si="1"/>
        <v>4.1902173913043477</v>
      </c>
      <c r="F10">
        <v>80</v>
      </c>
      <c r="G10" s="2">
        <f t="shared" si="0"/>
        <v>3.8092885375494063</v>
      </c>
    </row>
    <row r="11" spans="1:7" x14ac:dyDescent="0.45">
      <c r="B11">
        <v>90</v>
      </c>
      <c r="C11" s="2">
        <f t="shared" si="1"/>
        <v>3.72463768115942</v>
      </c>
      <c r="F11">
        <v>90</v>
      </c>
      <c r="G11" s="2">
        <f t="shared" si="0"/>
        <v>3.3860342555994722</v>
      </c>
    </row>
    <row r="12" spans="1:7" x14ac:dyDescent="0.45">
      <c r="B12">
        <v>100</v>
      </c>
      <c r="C12" s="2">
        <f t="shared" si="1"/>
        <v>3.3521739130434782</v>
      </c>
      <c r="F12">
        <v>100</v>
      </c>
      <c r="G12" s="2">
        <f t="shared" si="0"/>
        <v>3.047430830039525</v>
      </c>
    </row>
    <row r="13" spans="1:7" x14ac:dyDescent="0.45">
      <c r="B13">
        <v>110</v>
      </c>
      <c r="C13" s="2">
        <f t="shared" si="1"/>
        <v>3.0474308300395254</v>
      </c>
      <c r="F13">
        <v>110</v>
      </c>
      <c r="G13" s="2">
        <f t="shared" si="0"/>
        <v>2.7703916636722954</v>
      </c>
    </row>
    <row r="14" spans="1:7" x14ac:dyDescent="0.45">
      <c r="B14">
        <v>120</v>
      </c>
      <c r="C14" s="2">
        <f t="shared" si="1"/>
        <v>2.793478260869565</v>
      </c>
      <c r="F14">
        <v>120</v>
      </c>
      <c r="G14" s="2">
        <f t="shared" si="0"/>
        <v>2.5395256916996041</v>
      </c>
    </row>
    <row r="15" spans="1:7" x14ac:dyDescent="0.45">
      <c r="B15">
        <v>130</v>
      </c>
      <c r="C15" s="2">
        <f t="shared" si="1"/>
        <v>2.5785953177257523</v>
      </c>
      <c r="F15">
        <v>130</v>
      </c>
      <c r="G15" s="2">
        <f t="shared" si="0"/>
        <v>2.3441775615688654</v>
      </c>
    </row>
    <row r="16" spans="1:7" x14ac:dyDescent="0.45">
      <c r="B16">
        <v>140</v>
      </c>
      <c r="C16" s="2">
        <f t="shared" si="1"/>
        <v>2.3944099378881987</v>
      </c>
      <c r="F16">
        <v>140</v>
      </c>
      <c r="G16" s="2">
        <f t="shared" si="0"/>
        <v>2.1767363071710895</v>
      </c>
    </row>
    <row r="17" spans="2:7" x14ac:dyDescent="0.45">
      <c r="B17">
        <v>150</v>
      </c>
      <c r="C17" s="2">
        <f t="shared" si="1"/>
        <v>2.2347826086956522</v>
      </c>
      <c r="F17">
        <v>150</v>
      </c>
      <c r="G17" s="2">
        <f t="shared" si="0"/>
        <v>2.0316205533596832</v>
      </c>
    </row>
    <row r="18" spans="2:7" x14ac:dyDescent="0.45">
      <c r="B18">
        <v>160</v>
      </c>
      <c r="C18" s="2">
        <f t="shared" si="1"/>
        <v>2.0951086956521738</v>
      </c>
      <c r="F18">
        <v>160</v>
      </c>
      <c r="G18" s="2">
        <f t="shared" si="0"/>
        <v>1.9046442687747032</v>
      </c>
    </row>
    <row r="19" spans="2:7" x14ac:dyDescent="0.45">
      <c r="B19">
        <v>170</v>
      </c>
      <c r="C19" s="2">
        <f t="shared" si="1"/>
        <v>1.9718670076726341</v>
      </c>
      <c r="F19">
        <v>170</v>
      </c>
      <c r="G19" s="2">
        <f t="shared" si="0"/>
        <v>1.7926063706114854</v>
      </c>
    </row>
    <row r="20" spans="2:7" x14ac:dyDescent="0.45">
      <c r="B20">
        <v>180</v>
      </c>
      <c r="C20" s="2">
        <f t="shared" si="1"/>
        <v>1.86231884057971</v>
      </c>
      <c r="F20">
        <v>180</v>
      </c>
      <c r="G20" s="2">
        <f t="shared" si="0"/>
        <v>1.6930171277997361</v>
      </c>
    </row>
    <row r="21" spans="2:7" x14ac:dyDescent="0.45">
      <c r="B21">
        <v>190</v>
      </c>
      <c r="C21" s="2">
        <f t="shared" si="1"/>
        <v>1.7643020594965675</v>
      </c>
      <c r="F21">
        <v>190</v>
      </c>
      <c r="G21" s="2">
        <f t="shared" si="0"/>
        <v>1.6039109631786974</v>
      </c>
    </row>
    <row r="22" spans="2:7" x14ac:dyDescent="0.45">
      <c r="B22">
        <v>200</v>
      </c>
      <c r="C22" s="2">
        <f t="shared" si="1"/>
        <v>1.6760869565217391</v>
      </c>
      <c r="F22">
        <v>200</v>
      </c>
      <c r="G22" s="2">
        <f t="shared" si="0"/>
        <v>1.5237154150197625</v>
      </c>
    </row>
    <row r="23" spans="2:7" x14ac:dyDescent="0.45">
      <c r="B23">
        <v>210</v>
      </c>
      <c r="C23" s="2">
        <f t="shared" si="1"/>
        <v>1.5962732919254659</v>
      </c>
      <c r="F23">
        <v>210</v>
      </c>
      <c r="G23" s="2">
        <f t="shared" si="0"/>
        <v>1.4511575381140596</v>
      </c>
    </row>
    <row r="24" spans="2:7" x14ac:dyDescent="0.45">
      <c r="B24">
        <v>220</v>
      </c>
      <c r="C24" s="2">
        <f t="shared" si="1"/>
        <v>1.5237154150197627</v>
      </c>
      <c r="F24">
        <v>220</v>
      </c>
      <c r="G24" s="2">
        <f t="shared" si="0"/>
        <v>1.3851958318361477</v>
      </c>
    </row>
    <row r="25" spans="2:7" x14ac:dyDescent="0.45">
      <c r="B25">
        <v>230</v>
      </c>
      <c r="C25" s="2">
        <f t="shared" si="1"/>
        <v>1.4574669187145557</v>
      </c>
      <c r="F25">
        <v>230</v>
      </c>
      <c r="G25" s="2">
        <f t="shared" si="0"/>
        <v>1.3249699261041414</v>
      </c>
    </row>
    <row r="26" spans="2:7" x14ac:dyDescent="0.45">
      <c r="B26">
        <v>240</v>
      </c>
      <c r="C26" s="2">
        <f t="shared" si="1"/>
        <v>1.3967391304347825</v>
      </c>
      <c r="F26">
        <v>240</v>
      </c>
      <c r="G26" s="2">
        <f t="shared" si="0"/>
        <v>1.269762845849802</v>
      </c>
    </row>
    <row r="27" spans="2:7" x14ac:dyDescent="0.45">
      <c r="B27">
        <v>250</v>
      </c>
      <c r="C27" s="2">
        <f t="shared" si="1"/>
        <v>1.3408695652173912</v>
      </c>
      <c r="F27">
        <v>250</v>
      </c>
      <c r="G27" s="2">
        <f t="shared" si="0"/>
        <v>1.2189723320158101</v>
      </c>
    </row>
    <row r="28" spans="2:7" x14ac:dyDescent="0.45">
      <c r="B28">
        <v>260</v>
      </c>
      <c r="C28" s="2">
        <f t="shared" si="1"/>
        <v>1.2892976588628762</v>
      </c>
      <c r="F28">
        <v>260</v>
      </c>
      <c r="G28" s="2">
        <f t="shared" si="0"/>
        <v>1.1720887807844327</v>
      </c>
    </row>
    <row r="29" spans="2:7" x14ac:dyDescent="0.45">
      <c r="B29">
        <v>270</v>
      </c>
      <c r="C29" s="2">
        <f t="shared" si="1"/>
        <v>1.2415458937198067</v>
      </c>
      <c r="F29">
        <v>270</v>
      </c>
      <c r="G29" s="2">
        <f t="shared" si="0"/>
        <v>1.1286780851998242</v>
      </c>
    </row>
    <row r="30" spans="2:7" x14ac:dyDescent="0.45">
      <c r="B30">
        <v>280</v>
      </c>
      <c r="C30" s="2">
        <f t="shared" si="1"/>
        <v>1.1972049689440993</v>
      </c>
      <c r="F30">
        <v>280</v>
      </c>
      <c r="G30" s="2">
        <f t="shared" si="0"/>
        <v>1.0883681535855447</v>
      </c>
    </row>
    <row r="31" spans="2:7" x14ac:dyDescent="0.45">
      <c r="B31">
        <v>290</v>
      </c>
      <c r="C31" s="2">
        <f t="shared" si="1"/>
        <v>1.1559220389805096</v>
      </c>
      <c r="F31">
        <v>290</v>
      </c>
      <c r="G31" s="2">
        <f t="shared" si="0"/>
        <v>1.0508382172550086</v>
      </c>
    </row>
    <row r="32" spans="2:7" x14ac:dyDescent="0.45">
      <c r="B32">
        <v>300</v>
      </c>
      <c r="C32" s="2">
        <f t="shared" si="1"/>
        <v>1.1173913043478261</v>
      </c>
      <c r="F32">
        <v>300</v>
      </c>
      <c r="G32" s="2">
        <f t="shared" si="0"/>
        <v>1.0158102766798416</v>
      </c>
    </row>
    <row r="33" spans="2:7" x14ac:dyDescent="0.45">
      <c r="B33">
        <v>310</v>
      </c>
      <c r="C33" s="2">
        <f t="shared" si="1"/>
        <v>1.0813464235624124</v>
      </c>
      <c r="F33">
        <v>310</v>
      </c>
      <c r="G33" s="2">
        <f t="shared" si="0"/>
        <v>0.98304220323855651</v>
      </c>
    </row>
    <row r="34" spans="2:7" x14ac:dyDescent="0.45">
      <c r="B34">
        <v>320</v>
      </c>
      <c r="C34" s="2">
        <f t="shared" si="1"/>
        <v>1.0475543478260869</v>
      </c>
      <c r="F34">
        <v>320</v>
      </c>
      <c r="G34" s="2">
        <f t="shared" si="0"/>
        <v>0.95232213438735158</v>
      </c>
    </row>
    <row r="35" spans="2:7" x14ac:dyDescent="0.45">
      <c r="B35">
        <v>330</v>
      </c>
      <c r="C35" s="2">
        <f t="shared" si="1"/>
        <v>1.0158102766798418</v>
      </c>
      <c r="F35">
        <v>330</v>
      </c>
      <c r="G35" s="2">
        <f t="shared" si="0"/>
        <v>0.92346388789076517</v>
      </c>
    </row>
    <row r="36" spans="2:7" x14ac:dyDescent="0.45">
      <c r="B36">
        <v>340</v>
      </c>
      <c r="C36" s="2">
        <f t="shared" si="1"/>
        <v>0.98593350383631706</v>
      </c>
      <c r="F36">
        <v>340</v>
      </c>
      <c r="G36" s="2">
        <f t="shared" si="0"/>
        <v>0.89630318530574271</v>
      </c>
    </row>
    <row r="37" spans="2:7" x14ac:dyDescent="0.45">
      <c r="B37">
        <v>350</v>
      </c>
      <c r="C37" s="2">
        <f t="shared" si="1"/>
        <v>0.95776397515527945</v>
      </c>
      <c r="F37">
        <v>350</v>
      </c>
      <c r="G37" s="2">
        <f t="shared" si="0"/>
        <v>0.87069452286843574</v>
      </c>
    </row>
    <row r="38" spans="2:7" x14ac:dyDescent="0.45">
      <c r="B38">
        <v>360</v>
      </c>
      <c r="C38" s="2">
        <f t="shared" si="1"/>
        <v>0.93115942028985499</v>
      </c>
      <c r="F38">
        <v>360</v>
      </c>
      <c r="G38" s="2">
        <f t="shared" si="0"/>
        <v>0.84650856389986806</v>
      </c>
    </row>
    <row r="39" spans="2:7" x14ac:dyDescent="0.45">
      <c r="B39">
        <v>370</v>
      </c>
      <c r="C39" s="2">
        <f t="shared" si="1"/>
        <v>0.90599294947121034</v>
      </c>
      <c r="F39">
        <v>370</v>
      </c>
      <c r="G39" s="2">
        <f t="shared" si="0"/>
        <v>0.82362995406473649</v>
      </c>
    </row>
    <row r="40" spans="2:7" x14ac:dyDescent="0.45">
      <c r="B40">
        <v>380</v>
      </c>
      <c r="C40" s="2">
        <f t="shared" si="1"/>
        <v>0.88215102974828374</v>
      </c>
      <c r="F40">
        <v>380</v>
      </c>
      <c r="G40" s="2">
        <f t="shared" si="0"/>
        <v>0.80195548158934871</v>
      </c>
    </row>
    <row r="41" spans="2:7" x14ac:dyDescent="0.45">
      <c r="B41">
        <v>390</v>
      </c>
      <c r="C41" s="2">
        <f t="shared" si="1"/>
        <v>0.85953177257525082</v>
      </c>
      <c r="F41">
        <v>390</v>
      </c>
      <c r="G41" s="2">
        <f t="shared" si="0"/>
        <v>0.78139252052295516</v>
      </c>
    </row>
    <row r="42" spans="2:7" x14ac:dyDescent="0.45">
      <c r="B42">
        <v>400</v>
      </c>
      <c r="C42" s="2">
        <f t="shared" si="1"/>
        <v>0.83804347826086956</v>
      </c>
      <c r="F42">
        <v>400</v>
      </c>
      <c r="G42" s="2">
        <f t="shared" si="0"/>
        <v>0.76185770750988124</v>
      </c>
    </row>
    <row r="43" spans="2:7" x14ac:dyDescent="0.45">
      <c r="B43">
        <v>410</v>
      </c>
      <c r="C43" s="2">
        <f t="shared" si="1"/>
        <v>0.81760339342523858</v>
      </c>
      <c r="F43">
        <v>410</v>
      </c>
      <c r="G43" s="2">
        <f t="shared" si="0"/>
        <v>0.74327581220476224</v>
      </c>
    </row>
    <row r="44" spans="2:7" x14ac:dyDescent="0.45">
      <c r="B44">
        <v>420</v>
      </c>
      <c r="C44" s="2">
        <f t="shared" si="1"/>
        <v>0.79813664596273293</v>
      </c>
      <c r="F44">
        <v>420</v>
      </c>
      <c r="G44" s="2">
        <f t="shared" si="0"/>
        <v>0.72557876905702978</v>
      </c>
    </row>
    <row r="45" spans="2:7" x14ac:dyDescent="0.45">
      <c r="B45">
        <v>430</v>
      </c>
      <c r="C45" s="2">
        <f t="shared" si="1"/>
        <v>0.77957532861476231</v>
      </c>
      <c r="F45">
        <v>430</v>
      </c>
      <c r="G45" s="2">
        <f t="shared" si="0"/>
        <v>0.70870484419523838</v>
      </c>
    </row>
    <row r="46" spans="2:7" x14ac:dyDescent="0.45">
      <c r="B46">
        <v>440</v>
      </c>
      <c r="C46" s="2">
        <f t="shared" si="1"/>
        <v>0.76185770750988135</v>
      </c>
      <c r="F46">
        <v>440</v>
      </c>
      <c r="G46" s="2">
        <f t="shared" si="0"/>
        <v>0.69259791591807385</v>
      </c>
    </row>
    <row r="47" spans="2:7" x14ac:dyDescent="0.45">
      <c r="B47">
        <v>450</v>
      </c>
      <c r="C47" s="2">
        <f t="shared" si="1"/>
        <v>0.74492753623188401</v>
      </c>
      <c r="F47">
        <v>450</v>
      </c>
      <c r="G47" s="2">
        <f t="shared" si="0"/>
        <v>0.67720685111989443</v>
      </c>
    </row>
    <row r="48" spans="2:7" x14ac:dyDescent="0.45">
      <c r="B48">
        <v>460</v>
      </c>
      <c r="C48" s="2">
        <f t="shared" si="1"/>
        <v>0.72873345935727785</v>
      </c>
      <c r="F48">
        <v>460</v>
      </c>
      <c r="G48" s="2">
        <f t="shared" si="0"/>
        <v>0.66248496305207072</v>
      </c>
    </row>
    <row r="49" spans="2:7" x14ac:dyDescent="0.45">
      <c r="B49">
        <v>470</v>
      </c>
      <c r="C49" s="2">
        <f t="shared" si="1"/>
        <v>0.7132284921369102</v>
      </c>
      <c r="F49">
        <v>470</v>
      </c>
      <c r="G49" s="2">
        <f t="shared" si="0"/>
        <v>0.64838953830628188</v>
      </c>
    </row>
    <row r="50" spans="2:7" x14ac:dyDescent="0.45">
      <c r="B50">
        <v>480</v>
      </c>
      <c r="C50" s="2">
        <f t="shared" si="1"/>
        <v>0.69836956521739124</v>
      </c>
      <c r="F50">
        <v>480</v>
      </c>
      <c r="G50" s="2">
        <f t="shared" si="0"/>
        <v>0.63488142292490102</v>
      </c>
    </row>
    <row r="51" spans="2:7" x14ac:dyDescent="0.45">
      <c r="B51">
        <v>490</v>
      </c>
      <c r="C51" s="2">
        <f t="shared" si="1"/>
        <v>0.68411712511091394</v>
      </c>
      <c r="F51">
        <v>490</v>
      </c>
      <c r="G51" s="2">
        <f t="shared" si="0"/>
        <v>0.62192465919173978</v>
      </c>
    </row>
    <row r="52" spans="2:7" x14ac:dyDescent="0.45">
      <c r="B52">
        <v>500</v>
      </c>
      <c r="C52" s="2">
        <f t="shared" si="1"/>
        <v>0.6704347826086956</v>
      </c>
      <c r="F52">
        <v>500</v>
      </c>
      <c r="G52" s="2">
        <f t="shared" si="0"/>
        <v>0.60948616600790506</v>
      </c>
    </row>
    <row r="53" spans="2:7" x14ac:dyDescent="0.45">
      <c r="B53">
        <v>510</v>
      </c>
      <c r="C53" s="2">
        <f t="shared" si="1"/>
        <v>0.65728900255754474</v>
      </c>
      <c r="F53">
        <v>510</v>
      </c>
      <c r="G53" s="2">
        <f t="shared" si="0"/>
        <v>0.59753545687049514</v>
      </c>
    </row>
    <row r="54" spans="2:7" x14ac:dyDescent="0.45">
      <c r="B54">
        <v>520</v>
      </c>
      <c r="C54" s="2">
        <f t="shared" si="1"/>
        <v>0.64464882943143809</v>
      </c>
      <c r="F54">
        <v>520</v>
      </c>
      <c r="G54" s="2">
        <f t="shared" si="0"/>
        <v>0.58604439039221634</v>
      </c>
    </row>
    <row r="55" spans="2:7" x14ac:dyDescent="0.45">
      <c r="B55">
        <v>530</v>
      </c>
      <c r="C55" s="2">
        <f t="shared" si="1"/>
        <v>0.63248564397046758</v>
      </c>
      <c r="F55">
        <v>530</v>
      </c>
      <c r="G55" s="2">
        <f t="shared" si="0"/>
        <v>0.57498694906406134</v>
      </c>
    </row>
    <row r="56" spans="2:7" x14ac:dyDescent="0.45">
      <c r="B56">
        <v>540</v>
      </c>
      <c r="C56" s="2">
        <f t="shared" si="1"/>
        <v>0.62077294685990336</v>
      </c>
      <c r="F56">
        <v>540</v>
      </c>
      <c r="G56" s="2">
        <f t="shared" si="0"/>
        <v>0.56433904259991208</v>
      </c>
    </row>
    <row r="57" spans="2:7" x14ac:dyDescent="0.45">
      <c r="B57">
        <v>550</v>
      </c>
      <c r="C57" s="2">
        <f t="shared" si="1"/>
        <v>0.60948616600790506</v>
      </c>
      <c r="F57">
        <v>550</v>
      </c>
      <c r="G57" s="2">
        <f t="shared" si="0"/>
        <v>0.55407833273445906</v>
      </c>
    </row>
    <row r="58" spans="2:7" x14ac:dyDescent="0.45">
      <c r="B58">
        <v>560</v>
      </c>
      <c r="C58" s="2">
        <f t="shared" si="1"/>
        <v>0.59860248447204967</v>
      </c>
      <c r="F58">
        <v>560</v>
      </c>
      <c r="G58" s="2">
        <f t="shared" si="0"/>
        <v>0.54418407679277236</v>
      </c>
    </row>
    <row r="59" spans="2:7" x14ac:dyDescent="0.45">
      <c r="B59">
        <v>570</v>
      </c>
      <c r="C59" s="2">
        <f t="shared" si="1"/>
        <v>0.58810068649885583</v>
      </c>
      <c r="F59">
        <v>570</v>
      </c>
      <c r="G59" s="2">
        <f t="shared" si="0"/>
        <v>0.53463698772623247</v>
      </c>
    </row>
    <row r="60" spans="2:7" x14ac:dyDescent="0.45">
      <c r="B60">
        <v>580</v>
      </c>
      <c r="C60" s="2">
        <f t="shared" si="1"/>
        <v>0.5779610194902548</v>
      </c>
      <c r="F60">
        <v>580</v>
      </c>
      <c r="G60" s="2">
        <f t="shared" si="0"/>
        <v>0.52541910862750429</v>
      </c>
    </row>
    <row r="61" spans="2:7" x14ac:dyDescent="0.45">
      <c r="B61">
        <v>590</v>
      </c>
      <c r="C61" s="2">
        <f t="shared" si="1"/>
        <v>0.56816507000736916</v>
      </c>
      <c r="F61">
        <v>590</v>
      </c>
      <c r="G61" s="2">
        <f t="shared" si="0"/>
        <v>0.51651370000669916</v>
      </c>
    </row>
    <row r="62" spans="2:7" x14ac:dyDescent="0.45">
      <c r="B62">
        <v>600</v>
      </c>
      <c r="C62" s="2">
        <f t="shared" si="1"/>
        <v>0.55869565217391304</v>
      </c>
      <c r="F62">
        <v>600</v>
      </c>
      <c r="G62" s="2">
        <f t="shared" si="0"/>
        <v>0.50790513833992079</v>
      </c>
    </row>
    <row r="63" spans="2:7" x14ac:dyDescent="0.45">
      <c r="B63">
        <v>610</v>
      </c>
      <c r="C63" s="2">
        <f t="shared" si="1"/>
        <v>0.54953670705630786</v>
      </c>
      <c r="F63">
        <v>610</v>
      </c>
      <c r="G63" s="2">
        <f t="shared" si="0"/>
        <v>0.49957882459664343</v>
      </c>
    </row>
    <row r="64" spans="2:7" x14ac:dyDescent="0.45">
      <c r="B64">
        <v>620</v>
      </c>
      <c r="C64" s="2">
        <f t="shared" si="1"/>
        <v>0.5406732117812062</v>
      </c>
      <c r="F64">
        <v>620</v>
      </c>
      <c r="G64" s="2">
        <f t="shared" si="0"/>
        <v>0.49152110161927826</v>
      </c>
    </row>
    <row r="65" spans="2:7" x14ac:dyDescent="0.45">
      <c r="B65">
        <v>630</v>
      </c>
      <c r="C65" s="2">
        <f t="shared" si="1"/>
        <v>0.53209109730848858</v>
      </c>
      <c r="F65">
        <v>630</v>
      </c>
      <c r="G65" s="2">
        <f t="shared" si="0"/>
        <v>0.48371917937135317</v>
      </c>
    </row>
    <row r="66" spans="2:7" x14ac:dyDescent="0.45">
      <c r="B66">
        <v>640</v>
      </c>
      <c r="C66" s="2">
        <f t="shared" si="1"/>
        <v>0.52377717391304346</v>
      </c>
      <c r="F66">
        <v>640</v>
      </c>
      <c r="G66" s="2">
        <f t="shared" si="0"/>
        <v>0.47616106719367579</v>
      </c>
    </row>
    <row r="67" spans="2:7" x14ac:dyDescent="0.45">
      <c r="B67">
        <v>650</v>
      </c>
      <c r="C67" s="2">
        <f t="shared" si="1"/>
        <v>0.51571906354515051</v>
      </c>
      <c r="F67">
        <v>650</v>
      </c>
      <c r="G67" s="2">
        <f t="shared" ref="G67:G101" si="2">$E$2/F67</f>
        <v>0.46883551231377307</v>
      </c>
    </row>
    <row r="68" spans="2:7" x14ac:dyDescent="0.45">
      <c r="B68">
        <v>660</v>
      </c>
      <c r="C68" s="2">
        <f t="shared" ref="C68:C101" si="3">$A$2/B68</f>
        <v>0.5079051383399209</v>
      </c>
      <c r="F68">
        <v>660</v>
      </c>
      <c r="G68" s="2">
        <f t="shared" si="2"/>
        <v>0.46173194394538258</v>
      </c>
    </row>
    <row r="69" spans="2:7" x14ac:dyDescent="0.45">
      <c r="B69">
        <v>670</v>
      </c>
      <c r="C69" s="2">
        <f t="shared" si="3"/>
        <v>0.50032446463335489</v>
      </c>
      <c r="F69">
        <v>670</v>
      </c>
      <c r="G69" s="2">
        <f t="shared" si="2"/>
        <v>0.45484042239395894</v>
      </c>
    </row>
    <row r="70" spans="2:7" x14ac:dyDescent="0.45">
      <c r="B70">
        <v>680</v>
      </c>
      <c r="C70" s="2">
        <f t="shared" si="3"/>
        <v>0.49296675191815853</v>
      </c>
      <c r="F70">
        <v>680</v>
      </c>
      <c r="G70" s="2">
        <f t="shared" si="2"/>
        <v>0.44815159265287136</v>
      </c>
    </row>
    <row r="71" spans="2:7" x14ac:dyDescent="0.45">
      <c r="B71">
        <v>690</v>
      </c>
      <c r="C71" s="2">
        <f t="shared" si="3"/>
        <v>0.48582230623818523</v>
      </c>
      <c r="F71">
        <v>690</v>
      </c>
      <c r="G71" s="2">
        <f t="shared" si="2"/>
        <v>0.44165664203471378</v>
      </c>
    </row>
    <row r="72" spans="2:7" x14ac:dyDescent="0.45">
      <c r="B72">
        <v>700</v>
      </c>
      <c r="C72" s="2">
        <f t="shared" si="3"/>
        <v>0.47888198757763972</v>
      </c>
      <c r="F72">
        <v>700</v>
      </c>
      <c r="G72" s="2">
        <f t="shared" si="2"/>
        <v>0.43534726143421787</v>
      </c>
    </row>
    <row r="73" spans="2:7" x14ac:dyDescent="0.45">
      <c r="B73">
        <v>710</v>
      </c>
      <c r="C73" s="2">
        <f t="shared" si="3"/>
        <v>0.47213717085119411</v>
      </c>
      <c r="F73">
        <v>710</v>
      </c>
      <c r="G73" s="2">
        <f t="shared" si="2"/>
        <v>0.42921560986472185</v>
      </c>
    </row>
    <row r="74" spans="2:7" x14ac:dyDescent="0.45">
      <c r="B74">
        <v>720</v>
      </c>
      <c r="C74" s="2">
        <f t="shared" si="3"/>
        <v>0.46557971014492749</v>
      </c>
      <c r="F74">
        <v>720</v>
      </c>
      <c r="G74" s="2">
        <f t="shared" si="2"/>
        <v>0.42325428194993403</v>
      </c>
    </row>
    <row r="75" spans="2:7" x14ac:dyDescent="0.45">
      <c r="B75">
        <v>730</v>
      </c>
      <c r="C75" s="2">
        <f t="shared" si="3"/>
        <v>0.45920190589636689</v>
      </c>
      <c r="F75">
        <v>730</v>
      </c>
      <c r="G75" s="2">
        <f t="shared" si="2"/>
        <v>0.41745627808760616</v>
      </c>
    </row>
    <row r="76" spans="2:7" x14ac:dyDescent="0.45">
      <c r="B76">
        <v>740</v>
      </c>
      <c r="C76" s="2">
        <f t="shared" si="3"/>
        <v>0.45299647473560517</v>
      </c>
      <c r="F76">
        <v>740</v>
      </c>
      <c r="G76" s="2">
        <f t="shared" si="2"/>
        <v>0.41181497703236825</v>
      </c>
    </row>
    <row r="77" spans="2:7" x14ac:dyDescent="0.45">
      <c r="B77">
        <v>750</v>
      </c>
      <c r="C77" s="2">
        <f t="shared" si="3"/>
        <v>0.44695652173913042</v>
      </c>
      <c r="F77">
        <v>750</v>
      </c>
      <c r="G77" s="2">
        <f t="shared" si="2"/>
        <v>0.40632411067193669</v>
      </c>
    </row>
    <row r="78" spans="2:7" x14ac:dyDescent="0.45">
      <c r="B78">
        <v>760</v>
      </c>
      <c r="C78" s="2">
        <f t="shared" si="3"/>
        <v>0.44107551487414187</v>
      </c>
      <c r="F78">
        <v>760</v>
      </c>
      <c r="G78" s="2">
        <f t="shared" si="2"/>
        <v>0.40097774079467435</v>
      </c>
    </row>
    <row r="79" spans="2:7" x14ac:dyDescent="0.45">
      <c r="B79">
        <v>770</v>
      </c>
      <c r="C79" s="2">
        <f t="shared" si="3"/>
        <v>0.43534726143421792</v>
      </c>
      <c r="F79">
        <v>770</v>
      </c>
      <c r="G79" s="2">
        <f t="shared" si="2"/>
        <v>0.39577023766747077</v>
      </c>
    </row>
    <row r="80" spans="2:7" x14ac:dyDescent="0.45">
      <c r="B80">
        <v>780</v>
      </c>
      <c r="C80" s="2">
        <f t="shared" si="3"/>
        <v>0.42976588628762541</v>
      </c>
      <c r="F80">
        <v>780</v>
      </c>
      <c r="G80" s="2">
        <f t="shared" si="2"/>
        <v>0.39069626026147758</v>
      </c>
    </row>
    <row r="81" spans="2:7" x14ac:dyDescent="0.45">
      <c r="B81">
        <v>790</v>
      </c>
      <c r="C81" s="2">
        <f t="shared" si="3"/>
        <v>0.42432581177765544</v>
      </c>
      <c r="F81">
        <v>790</v>
      </c>
      <c r="G81" s="2">
        <f t="shared" si="2"/>
        <v>0.38575073797968673</v>
      </c>
    </row>
    <row r="82" spans="2:7" x14ac:dyDescent="0.45">
      <c r="B82">
        <v>800</v>
      </c>
      <c r="C82" s="2">
        <f t="shared" si="3"/>
        <v>0.41902173913043478</v>
      </c>
      <c r="F82">
        <v>800</v>
      </c>
      <c r="G82" s="2">
        <f t="shared" si="2"/>
        <v>0.38092885375494062</v>
      </c>
    </row>
    <row r="83" spans="2:7" x14ac:dyDescent="0.45">
      <c r="B83">
        <v>810</v>
      </c>
      <c r="C83" s="2">
        <f t="shared" si="3"/>
        <v>0.41384863123993559</v>
      </c>
      <c r="F83">
        <v>810</v>
      </c>
      <c r="G83" s="2">
        <f t="shared" si="2"/>
        <v>0.37622602839994135</v>
      </c>
    </row>
    <row r="84" spans="2:7" x14ac:dyDescent="0.45">
      <c r="B84">
        <v>820</v>
      </c>
      <c r="C84" s="2">
        <f t="shared" si="3"/>
        <v>0.40880169671261929</v>
      </c>
      <c r="F84">
        <v>820</v>
      </c>
      <c r="G84" s="2">
        <f t="shared" si="2"/>
        <v>0.37163790610238112</v>
      </c>
    </row>
    <row r="85" spans="2:7" x14ac:dyDescent="0.45">
      <c r="B85">
        <v>830</v>
      </c>
      <c r="C85" s="2">
        <f t="shared" si="3"/>
        <v>0.4038763750654793</v>
      </c>
      <c r="F85">
        <v>830</v>
      </c>
      <c r="G85" s="2">
        <f t="shared" si="2"/>
        <v>0.36716034096861749</v>
      </c>
    </row>
    <row r="86" spans="2:7" x14ac:dyDescent="0.45">
      <c r="B86">
        <v>840</v>
      </c>
      <c r="C86" s="2">
        <f t="shared" si="3"/>
        <v>0.39906832298136646</v>
      </c>
      <c r="F86">
        <v>840</v>
      </c>
      <c r="G86" s="2">
        <f t="shared" si="2"/>
        <v>0.36278938452851489</v>
      </c>
    </row>
    <row r="87" spans="2:7" x14ac:dyDescent="0.45">
      <c r="B87">
        <v>850</v>
      </c>
      <c r="C87" s="2">
        <f t="shared" si="3"/>
        <v>0.39437340153452682</v>
      </c>
      <c r="F87">
        <v>850</v>
      </c>
      <c r="G87" s="2">
        <f t="shared" si="2"/>
        <v>0.35852127412229706</v>
      </c>
    </row>
    <row r="88" spans="2:7" x14ac:dyDescent="0.45">
      <c r="B88">
        <v>860</v>
      </c>
      <c r="C88" s="2">
        <f t="shared" si="3"/>
        <v>0.38978766430738115</v>
      </c>
      <c r="F88">
        <v>860</v>
      </c>
      <c r="G88" s="2">
        <f t="shared" si="2"/>
        <v>0.35435242209761919</v>
      </c>
    </row>
    <row r="89" spans="2:7" x14ac:dyDescent="0.45">
      <c r="B89">
        <v>870</v>
      </c>
      <c r="C89" s="2">
        <f t="shared" si="3"/>
        <v>0.38530734632683655</v>
      </c>
      <c r="F89">
        <v>870</v>
      </c>
      <c r="G89" s="2">
        <f t="shared" si="2"/>
        <v>0.35027940575166955</v>
      </c>
    </row>
    <row r="90" spans="2:7" x14ac:dyDescent="0.45">
      <c r="B90">
        <v>880</v>
      </c>
      <c r="C90" s="2">
        <f t="shared" si="3"/>
        <v>0.38092885375494068</v>
      </c>
      <c r="F90">
        <v>880</v>
      </c>
      <c r="G90" s="2">
        <f t="shared" si="2"/>
        <v>0.34629895795903692</v>
      </c>
    </row>
    <row r="91" spans="2:7" x14ac:dyDescent="0.45">
      <c r="B91">
        <v>890</v>
      </c>
      <c r="C91" s="2">
        <f t="shared" si="3"/>
        <v>0.37664875427454808</v>
      </c>
      <c r="F91">
        <v>890</v>
      </c>
      <c r="G91" s="2">
        <f t="shared" si="2"/>
        <v>0.34240795843140731</v>
      </c>
    </row>
    <row r="92" spans="2:7" x14ac:dyDescent="0.45">
      <c r="B92">
        <v>900</v>
      </c>
      <c r="C92" s="2">
        <f t="shared" si="3"/>
        <v>0.37246376811594201</v>
      </c>
      <c r="F92">
        <v>900</v>
      </c>
      <c r="G92" s="2">
        <f t="shared" si="2"/>
        <v>0.33860342555994721</v>
      </c>
    </row>
    <row r="93" spans="2:7" x14ac:dyDescent="0.45">
      <c r="B93">
        <v>910</v>
      </c>
      <c r="C93" s="2">
        <f t="shared" si="3"/>
        <v>0.36837075967510746</v>
      </c>
      <c r="F93">
        <v>910</v>
      </c>
      <c r="G93" s="2">
        <f t="shared" si="2"/>
        <v>0.3348825087955522</v>
      </c>
    </row>
    <row r="94" spans="2:7" x14ac:dyDescent="0.45">
      <c r="B94">
        <v>920</v>
      </c>
      <c r="C94" s="2">
        <f t="shared" si="3"/>
        <v>0.36436672967863892</v>
      </c>
      <c r="F94">
        <v>920</v>
      </c>
      <c r="G94" s="2">
        <f t="shared" si="2"/>
        <v>0.33124248152603536</v>
      </c>
    </row>
    <row r="95" spans="2:7" x14ac:dyDescent="0.45">
      <c r="B95">
        <v>930</v>
      </c>
      <c r="C95" s="2">
        <f t="shared" si="3"/>
        <v>0.36044880785413741</v>
      </c>
      <c r="F95">
        <v>930</v>
      </c>
      <c r="G95" s="2">
        <f t="shared" si="2"/>
        <v>0.32768073441285217</v>
      </c>
    </row>
    <row r="96" spans="2:7" x14ac:dyDescent="0.45">
      <c r="B96">
        <v>940</v>
      </c>
      <c r="C96" s="2">
        <f t="shared" si="3"/>
        <v>0.3566142460684551</v>
      </c>
      <c r="F96">
        <v>940</v>
      </c>
      <c r="G96" s="2">
        <f t="shared" si="2"/>
        <v>0.32419476915314094</v>
      </c>
    </row>
    <row r="97" spans="2:7" x14ac:dyDescent="0.45">
      <c r="B97">
        <v>950</v>
      </c>
      <c r="C97" s="2">
        <f t="shared" si="3"/>
        <v>0.3528604118993135</v>
      </c>
      <c r="F97">
        <v>950</v>
      </c>
      <c r="G97" s="2">
        <f t="shared" si="2"/>
        <v>0.32078219263573948</v>
      </c>
    </row>
    <row r="98" spans="2:7" x14ac:dyDescent="0.45">
      <c r="B98">
        <v>960</v>
      </c>
      <c r="C98" s="2">
        <f t="shared" si="3"/>
        <v>0.34918478260869562</v>
      </c>
      <c r="F98">
        <v>960</v>
      </c>
      <c r="G98" s="2">
        <f t="shared" si="2"/>
        <v>0.31744071146245051</v>
      </c>
    </row>
    <row r="99" spans="2:7" x14ac:dyDescent="0.45">
      <c r="B99">
        <v>970</v>
      </c>
      <c r="C99" s="2">
        <f t="shared" si="3"/>
        <v>0.34558493948901836</v>
      </c>
      <c r="F99">
        <v>970</v>
      </c>
      <c r="G99" s="2">
        <f t="shared" si="2"/>
        <v>0.31416812680819844</v>
      </c>
    </row>
    <row r="100" spans="2:7" x14ac:dyDescent="0.45">
      <c r="B100">
        <v>980</v>
      </c>
      <c r="C100" s="2">
        <f t="shared" si="3"/>
        <v>0.34205856255545697</v>
      </c>
      <c r="F100">
        <v>980</v>
      </c>
      <c r="G100" s="2">
        <f t="shared" si="2"/>
        <v>0.31096232959586989</v>
      </c>
    </row>
    <row r="101" spans="2:7" x14ac:dyDescent="0.45">
      <c r="B101">
        <v>990</v>
      </c>
      <c r="C101" s="2">
        <f t="shared" si="3"/>
        <v>0.33860342555994727</v>
      </c>
      <c r="F101">
        <v>990</v>
      </c>
      <c r="G101" s="2">
        <f t="shared" si="2"/>
        <v>0.30782129596358837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T3"/>
  <sheetViews>
    <sheetView zoomScaleNormal="100" workbookViewId="0"/>
  </sheetViews>
  <sheetFormatPr baseColWidth="10" defaultColWidth="9.1328125" defaultRowHeight="14.25" x14ac:dyDescent="0.45"/>
  <sheetData>
    <row r="1" spans="2:20" ht="25.5" x14ac:dyDescent="0.75">
      <c r="B1" s="59" t="s">
        <v>300</v>
      </c>
    </row>
    <row r="2" spans="2:20" ht="15" customHeight="1" x14ac:dyDescent="0.65">
      <c r="B2" s="58"/>
      <c r="T2" s="117"/>
    </row>
    <row r="3" spans="2:20" ht="21" x14ac:dyDescent="0.65">
      <c r="B3" s="58"/>
      <c r="F3" s="118" t="s">
        <v>318</v>
      </c>
      <c r="T3" s="117" t="s">
        <v>319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5"/>
  <sheetViews>
    <sheetView workbookViewId="0">
      <selection activeCell="D1" sqref="D1"/>
    </sheetView>
  </sheetViews>
  <sheetFormatPr baseColWidth="10" defaultColWidth="9.1328125" defaultRowHeight="14.25" x14ac:dyDescent="0.45"/>
  <cols>
    <col min="1" max="1" width="21.265625" customWidth="1"/>
    <col min="4" max="4" width="21.73046875" customWidth="1"/>
  </cols>
  <sheetData>
    <row r="1" spans="1:6" x14ac:dyDescent="0.45">
      <c r="A1" t="s">
        <v>243</v>
      </c>
      <c r="B1" t="s">
        <v>148</v>
      </c>
      <c r="C1" t="s">
        <v>147</v>
      </c>
      <c r="D1" t="s">
        <v>244</v>
      </c>
      <c r="E1" t="s">
        <v>148</v>
      </c>
      <c r="F1" t="s">
        <v>147</v>
      </c>
    </row>
    <row r="2" spans="1:6" x14ac:dyDescent="0.45">
      <c r="A2" s="1">
        <v>731.98502886002871</v>
      </c>
      <c r="B2">
        <v>1</v>
      </c>
      <c r="C2" s="2">
        <f>$A$2/B2</f>
        <v>731.98502886002871</v>
      </c>
      <c r="D2" s="1">
        <v>731.98502886002871</v>
      </c>
      <c r="E2" s="1">
        <v>1</v>
      </c>
      <c r="F2" s="2">
        <f>$D$2/E2</f>
        <v>731.98502886002871</v>
      </c>
    </row>
    <row r="3" spans="1:6" x14ac:dyDescent="0.45">
      <c r="B3">
        <v>10</v>
      </c>
      <c r="C3" s="2">
        <f>$A$2/B3</f>
        <v>73.198502886002871</v>
      </c>
      <c r="E3">
        <v>10</v>
      </c>
      <c r="F3" s="2">
        <f>$D$2/E3</f>
        <v>73.198502886002871</v>
      </c>
    </row>
    <row r="4" spans="1:6" x14ac:dyDescent="0.45">
      <c r="B4">
        <v>20</v>
      </c>
      <c r="C4" s="2">
        <f t="shared" ref="C4:C67" si="0">$A$2/B4</f>
        <v>36.599251443001435</v>
      </c>
      <c r="E4">
        <v>20</v>
      </c>
      <c r="F4" s="2">
        <f t="shared" ref="F4:F67" si="1">$D$2/E4</f>
        <v>36.599251443001435</v>
      </c>
    </row>
    <row r="5" spans="1:6" x14ac:dyDescent="0.45">
      <c r="B5">
        <v>30</v>
      </c>
      <c r="C5" s="2">
        <f t="shared" si="0"/>
        <v>24.399500962000957</v>
      </c>
      <c r="E5">
        <v>30</v>
      </c>
      <c r="F5" s="2">
        <f t="shared" si="1"/>
        <v>24.399500962000957</v>
      </c>
    </row>
    <row r="6" spans="1:6" x14ac:dyDescent="0.45">
      <c r="B6">
        <v>40</v>
      </c>
      <c r="C6" s="2">
        <f t="shared" si="0"/>
        <v>18.299625721500718</v>
      </c>
      <c r="E6">
        <v>40</v>
      </c>
      <c r="F6" s="2">
        <f t="shared" si="1"/>
        <v>18.299625721500718</v>
      </c>
    </row>
    <row r="7" spans="1:6" x14ac:dyDescent="0.45">
      <c r="B7">
        <v>50</v>
      </c>
      <c r="C7" s="2">
        <f t="shared" si="0"/>
        <v>14.639700577200575</v>
      </c>
      <c r="E7">
        <v>50</v>
      </c>
      <c r="F7" s="2">
        <f t="shared" si="1"/>
        <v>14.639700577200575</v>
      </c>
    </row>
    <row r="8" spans="1:6" x14ac:dyDescent="0.45">
      <c r="B8">
        <v>60</v>
      </c>
      <c r="C8" s="2">
        <f t="shared" si="0"/>
        <v>12.199750481000478</v>
      </c>
      <c r="E8">
        <v>60</v>
      </c>
      <c r="F8" s="2">
        <f t="shared" si="1"/>
        <v>12.199750481000478</v>
      </c>
    </row>
    <row r="9" spans="1:6" x14ac:dyDescent="0.45">
      <c r="B9">
        <v>70</v>
      </c>
      <c r="C9" s="2">
        <f t="shared" si="0"/>
        <v>10.456928983714695</v>
      </c>
      <c r="E9">
        <v>70</v>
      </c>
      <c r="F9" s="2">
        <f t="shared" si="1"/>
        <v>10.456928983714695</v>
      </c>
    </row>
    <row r="10" spans="1:6" x14ac:dyDescent="0.45">
      <c r="B10">
        <v>80</v>
      </c>
      <c r="C10" s="2">
        <f t="shared" si="0"/>
        <v>9.1498128607503588</v>
      </c>
      <c r="E10">
        <v>80</v>
      </c>
      <c r="F10" s="2">
        <f t="shared" si="1"/>
        <v>9.1498128607503588</v>
      </c>
    </row>
    <row r="11" spans="1:6" x14ac:dyDescent="0.45">
      <c r="B11">
        <v>90</v>
      </c>
      <c r="C11" s="2">
        <f t="shared" si="0"/>
        <v>8.1331669873336523</v>
      </c>
      <c r="E11">
        <v>90</v>
      </c>
      <c r="F11" s="2">
        <f t="shared" si="1"/>
        <v>8.1331669873336523</v>
      </c>
    </row>
    <row r="12" spans="1:6" x14ac:dyDescent="0.45">
      <c r="B12">
        <v>100</v>
      </c>
      <c r="C12" s="2">
        <f t="shared" si="0"/>
        <v>7.3198502886002874</v>
      </c>
      <c r="E12">
        <v>100</v>
      </c>
      <c r="F12" s="2">
        <f t="shared" si="1"/>
        <v>7.3198502886002874</v>
      </c>
    </row>
    <row r="13" spans="1:6" x14ac:dyDescent="0.45">
      <c r="B13">
        <v>110</v>
      </c>
      <c r="C13" s="2">
        <f t="shared" si="0"/>
        <v>6.654409353272988</v>
      </c>
      <c r="E13">
        <v>110</v>
      </c>
      <c r="F13" s="2">
        <f t="shared" si="1"/>
        <v>6.654409353272988</v>
      </c>
    </row>
    <row r="14" spans="1:6" x14ac:dyDescent="0.45">
      <c r="B14">
        <v>120</v>
      </c>
      <c r="C14" s="2">
        <f t="shared" si="0"/>
        <v>6.0998752405002392</v>
      </c>
      <c r="E14">
        <v>120</v>
      </c>
      <c r="F14" s="2">
        <f t="shared" si="1"/>
        <v>6.0998752405002392</v>
      </c>
    </row>
    <row r="15" spans="1:6" x14ac:dyDescent="0.45">
      <c r="B15">
        <v>130</v>
      </c>
      <c r="C15" s="2">
        <f t="shared" si="0"/>
        <v>5.6306540681540671</v>
      </c>
      <c r="E15">
        <v>130</v>
      </c>
      <c r="F15" s="2">
        <f t="shared" si="1"/>
        <v>5.6306540681540671</v>
      </c>
    </row>
    <row r="16" spans="1:6" x14ac:dyDescent="0.45">
      <c r="B16">
        <v>140</v>
      </c>
      <c r="C16" s="2">
        <f t="shared" si="0"/>
        <v>5.2284644918573475</v>
      </c>
      <c r="E16">
        <v>140</v>
      </c>
      <c r="F16" s="2">
        <f t="shared" si="1"/>
        <v>5.2284644918573475</v>
      </c>
    </row>
    <row r="17" spans="2:6" x14ac:dyDescent="0.45">
      <c r="B17">
        <v>150</v>
      </c>
      <c r="C17" s="2">
        <f t="shared" si="0"/>
        <v>4.879900192400191</v>
      </c>
      <c r="E17">
        <v>150</v>
      </c>
      <c r="F17" s="2">
        <f t="shared" si="1"/>
        <v>4.879900192400191</v>
      </c>
    </row>
    <row r="18" spans="2:6" x14ac:dyDescent="0.45">
      <c r="B18">
        <v>160</v>
      </c>
      <c r="C18" s="2">
        <f t="shared" si="0"/>
        <v>4.5749064303751794</v>
      </c>
      <c r="E18">
        <v>160</v>
      </c>
      <c r="F18" s="2">
        <f t="shared" si="1"/>
        <v>4.5749064303751794</v>
      </c>
    </row>
    <row r="19" spans="2:6" x14ac:dyDescent="0.45">
      <c r="B19">
        <v>170</v>
      </c>
      <c r="C19" s="2">
        <f t="shared" si="0"/>
        <v>4.3057942874119339</v>
      </c>
      <c r="E19">
        <v>170</v>
      </c>
      <c r="F19" s="2">
        <f t="shared" si="1"/>
        <v>4.3057942874119339</v>
      </c>
    </row>
    <row r="20" spans="2:6" x14ac:dyDescent="0.45">
      <c r="B20">
        <v>180</v>
      </c>
      <c r="C20" s="2">
        <f t="shared" si="0"/>
        <v>4.0665834936668261</v>
      </c>
      <c r="E20">
        <v>180</v>
      </c>
      <c r="F20" s="2">
        <f t="shared" si="1"/>
        <v>4.0665834936668261</v>
      </c>
    </row>
    <row r="21" spans="2:6" x14ac:dyDescent="0.45">
      <c r="B21">
        <v>190</v>
      </c>
      <c r="C21" s="2">
        <f t="shared" si="0"/>
        <v>3.8525527834738353</v>
      </c>
      <c r="E21">
        <v>190</v>
      </c>
      <c r="F21" s="2">
        <f t="shared" si="1"/>
        <v>3.8525527834738353</v>
      </c>
    </row>
    <row r="22" spans="2:6" x14ac:dyDescent="0.45">
      <c r="B22">
        <v>200</v>
      </c>
      <c r="C22" s="2">
        <f t="shared" si="0"/>
        <v>3.6599251443001437</v>
      </c>
      <c r="E22">
        <v>200</v>
      </c>
      <c r="F22" s="2">
        <f t="shared" si="1"/>
        <v>3.6599251443001437</v>
      </c>
    </row>
    <row r="23" spans="2:6" x14ac:dyDescent="0.45">
      <c r="B23">
        <v>210</v>
      </c>
      <c r="C23" s="2">
        <f t="shared" si="0"/>
        <v>3.4856429945715655</v>
      </c>
      <c r="E23">
        <v>210</v>
      </c>
      <c r="F23" s="2">
        <f t="shared" si="1"/>
        <v>3.4856429945715655</v>
      </c>
    </row>
    <row r="24" spans="2:6" x14ac:dyDescent="0.45">
      <c r="B24">
        <v>220</v>
      </c>
      <c r="C24" s="2">
        <f t="shared" si="0"/>
        <v>3.327204676636494</v>
      </c>
      <c r="E24">
        <v>220</v>
      </c>
      <c r="F24" s="2">
        <f t="shared" si="1"/>
        <v>3.327204676636494</v>
      </c>
    </row>
    <row r="25" spans="2:6" x14ac:dyDescent="0.45">
      <c r="B25">
        <v>230</v>
      </c>
      <c r="C25" s="2">
        <f t="shared" si="0"/>
        <v>3.1825436037392554</v>
      </c>
      <c r="E25">
        <v>230</v>
      </c>
      <c r="F25" s="2">
        <f t="shared" si="1"/>
        <v>3.1825436037392554</v>
      </c>
    </row>
    <row r="26" spans="2:6" x14ac:dyDescent="0.45">
      <c r="B26">
        <v>240</v>
      </c>
      <c r="C26" s="2">
        <f t="shared" si="0"/>
        <v>3.0499376202501196</v>
      </c>
      <c r="E26">
        <v>240</v>
      </c>
      <c r="F26" s="2">
        <f t="shared" si="1"/>
        <v>3.0499376202501196</v>
      </c>
    </row>
    <row r="27" spans="2:6" x14ac:dyDescent="0.45">
      <c r="B27">
        <v>250</v>
      </c>
      <c r="C27" s="2">
        <f t="shared" si="0"/>
        <v>2.9279401154401148</v>
      </c>
      <c r="E27">
        <v>250</v>
      </c>
      <c r="F27" s="2">
        <f t="shared" si="1"/>
        <v>2.9279401154401148</v>
      </c>
    </row>
    <row r="28" spans="2:6" x14ac:dyDescent="0.45">
      <c r="B28">
        <v>260</v>
      </c>
      <c r="C28" s="2">
        <f t="shared" si="0"/>
        <v>2.8153270340770336</v>
      </c>
      <c r="E28">
        <v>260</v>
      </c>
      <c r="F28" s="2">
        <f t="shared" si="1"/>
        <v>2.8153270340770336</v>
      </c>
    </row>
    <row r="29" spans="2:6" x14ac:dyDescent="0.45">
      <c r="B29">
        <v>270</v>
      </c>
      <c r="C29" s="2">
        <f t="shared" si="0"/>
        <v>2.7110556624445508</v>
      </c>
      <c r="E29">
        <v>270</v>
      </c>
      <c r="F29" s="2">
        <f t="shared" si="1"/>
        <v>2.7110556624445508</v>
      </c>
    </row>
    <row r="30" spans="2:6" x14ac:dyDescent="0.45">
      <c r="B30">
        <v>280</v>
      </c>
      <c r="C30" s="2">
        <f t="shared" si="0"/>
        <v>2.6142322459286738</v>
      </c>
      <c r="E30">
        <v>280</v>
      </c>
      <c r="F30" s="2">
        <f t="shared" si="1"/>
        <v>2.6142322459286738</v>
      </c>
    </row>
    <row r="31" spans="2:6" x14ac:dyDescent="0.45">
      <c r="B31">
        <v>290</v>
      </c>
      <c r="C31" s="2">
        <f t="shared" si="0"/>
        <v>2.5240863064138921</v>
      </c>
      <c r="E31">
        <v>290</v>
      </c>
      <c r="F31" s="2">
        <f t="shared" si="1"/>
        <v>2.5240863064138921</v>
      </c>
    </row>
    <row r="32" spans="2:6" x14ac:dyDescent="0.45">
      <c r="B32">
        <v>300</v>
      </c>
      <c r="C32" s="2">
        <f t="shared" si="0"/>
        <v>2.4399500962000955</v>
      </c>
      <c r="E32">
        <v>300</v>
      </c>
      <c r="F32" s="2">
        <f t="shared" si="1"/>
        <v>2.4399500962000955</v>
      </c>
    </row>
    <row r="33" spans="2:6" x14ac:dyDescent="0.45">
      <c r="B33">
        <v>310</v>
      </c>
      <c r="C33" s="2">
        <f t="shared" si="0"/>
        <v>2.3612420285807376</v>
      </c>
      <c r="E33">
        <v>310</v>
      </c>
      <c r="F33" s="2">
        <f t="shared" si="1"/>
        <v>2.3612420285807376</v>
      </c>
    </row>
    <row r="34" spans="2:6" x14ac:dyDescent="0.45">
      <c r="B34">
        <v>320</v>
      </c>
      <c r="C34" s="2">
        <f t="shared" si="0"/>
        <v>2.2874532151875897</v>
      </c>
      <c r="E34">
        <v>320</v>
      </c>
      <c r="F34" s="2">
        <f t="shared" si="1"/>
        <v>2.2874532151875897</v>
      </c>
    </row>
    <row r="35" spans="2:6" x14ac:dyDescent="0.45">
      <c r="B35">
        <v>330</v>
      </c>
      <c r="C35" s="2">
        <f t="shared" si="0"/>
        <v>2.218136451090996</v>
      </c>
      <c r="E35">
        <v>330</v>
      </c>
      <c r="F35" s="2">
        <f t="shared" si="1"/>
        <v>2.218136451090996</v>
      </c>
    </row>
    <row r="36" spans="2:6" x14ac:dyDescent="0.45">
      <c r="B36">
        <v>340</v>
      </c>
      <c r="C36" s="2">
        <f t="shared" si="0"/>
        <v>2.152897143705967</v>
      </c>
      <c r="E36">
        <v>340</v>
      </c>
      <c r="F36" s="2">
        <f t="shared" si="1"/>
        <v>2.152897143705967</v>
      </c>
    </row>
    <row r="37" spans="2:6" x14ac:dyDescent="0.45">
      <c r="B37">
        <v>350</v>
      </c>
      <c r="C37" s="2">
        <f t="shared" si="0"/>
        <v>2.091385796742939</v>
      </c>
      <c r="E37">
        <v>350</v>
      </c>
      <c r="F37" s="2">
        <f t="shared" si="1"/>
        <v>2.091385796742939</v>
      </c>
    </row>
    <row r="38" spans="2:6" x14ac:dyDescent="0.45">
      <c r="B38">
        <v>360</v>
      </c>
      <c r="C38" s="2">
        <f t="shared" si="0"/>
        <v>2.0332917468334131</v>
      </c>
      <c r="E38">
        <v>360</v>
      </c>
      <c r="F38" s="2">
        <f t="shared" si="1"/>
        <v>2.0332917468334131</v>
      </c>
    </row>
    <row r="39" spans="2:6" x14ac:dyDescent="0.45">
      <c r="B39">
        <v>370</v>
      </c>
      <c r="C39" s="2">
        <f t="shared" si="0"/>
        <v>1.9783379158379155</v>
      </c>
      <c r="E39">
        <v>370</v>
      </c>
      <c r="F39" s="2">
        <f t="shared" si="1"/>
        <v>1.9783379158379155</v>
      </c>
    </row>
    <row r="40" spans="2:6" x14ac:dyDescent="0.45">
      <c r="B40">
        <v>380</v>
      </c>
      <c r="C40" s="2">
        <f t="shared" si="0"/>
        <v>1.9262763917369177</v>
      </c>
      <c r="E40">
        <v>380</v>
      </c>
      <c r="F40" s="2">
        <f t="shared" si="1"/>
        <v>1.9262763917369177</v>
      </c>
    </row>
    <row r="41" spans="2:6" x14ac:dyDescent="0.45">
      <c r="B41">
        <v>390</v>
      </c>
      <c r="C41" s="2">
        <f t="shared" si="0"/>
        <v>1.8768846893846889</v>
      </c>
      <c r="E41">
        <v>390</v>
      </c>
      <c r="F41" s="2">
        <f t="shared" si="1"/>
        <v>1.8768846893846889</v>
      </c>
    </row>
    <row r="42" spans="2:6" x14ac:dyDescent="0.45">
      <c r="B42">
        <v>400</v>
      </c>
      <c r="C42" s="2">
        <f t="shared" si="0"/>
        <v>1.8299625721500719</v>
      </c>
      <c r="E42">
        <v>400</v>
      </c>
      <c r="F42" s="2">
        <f t="shared" si="1"/>
        <v>1.8299625721500719</v>
      </c>
    </row>
    <row r="43" spans="2:6" x14ac:dyDescent="0.45">
      <c r="B43">
        <v>410</v>
      </c>
      <c r="C43" s="2">
        <f t="shared" si="0"/>
        <v>1.7853293386829969</v>
      </c>
      <c r="E43">
        <v>410</v>
      </c>
      <c r="F43" s="2">
        <f t="shared" si="1"/>
        <v>1.7853293386829969</v>
      </c>
    </row>
    <row r="44" spans="2:6" x14ac:dyDescent="0.45">
      <c r="B44">
        <v>420</v>
      </c>
      <c r="C44" s="2">
        <f t="shared" si="0"/>
        <v>1.7428214972857827</v>
      </c>
      <c r="E44">
        <v>420</v>
      </c>
      <c r="F44" s="2">
        <f t="shared" si="1"/>
        <v>1.7428214972857827</v>
      </c>
    </row>
    <row r="45" spans="2:6" x14ac:dyDescent="0.45">
      <c r="B45">
        <v>430</v>
      </c>
      <c r="C45" s="2">
        <f t="shared" si="0"/>
        <v>1.7022907647907644</v>
      </c>
      <c r="E45">
        <v>430</v>
      </c>
      <c r="F45" s="2">
        <f t="shared" si="1"/>
        <v>1.7022907647907644</v>
      </c>
    </row>
    <row r="46" spans="2:6" x14ac:dyDescent="0.45">
      <c r="B46">
        <v>440</v>
      </c>
      <c r="C46" s="2">
        <f t="shared" si="0"/>
        <v>1.663602338318247</v>
      </c>
      <c r="E46">
        <v>440</v>
      </c>
      <c r="F46" s="2">
        <f t="shared" si="1"/>
        <v>1.663602338318247</v>
      </c>
    </row>
    <row r="47" spans="2:6" x14ac:dyDescent="0.45">
      <c r="B47">
        <v>450</v>
      </c>
      <c r="C47" s="2">
        <f t="shared" si="0"/>
        <v>1.6266333974667304</v>
      </c>
      <c r="E47">
        <v>450</v>
      </c>
      <c r="F47" s="2">
        <f t="shared" si="1"/>
        <v>1.6266333974667304</v>
      </c>
    </row>
    <row r="48" spans="2:6" x14ac:dyDescent="0.45">
      <c r="B48">
        <v>460</v>
      </c>
      <c r="C48" s="2">
        <f t="shared" si="0"/>
        <v>1.5912718018696277</v>
      </c>
      <c r="E48">
        <v>460</v>
      </c>
      <c r="F48" s="2">
        <f t="shared" si="1"/>
        <v>1.5912718018696277</v>
      </c>
    </row>
    <row r="49" spans="2:6" x14ac:dyDescent="0.45">
      <c r="B49">
        <v>470</v>
      </c>
      <c r="C49" s="2">
        <f t="shared" si="0"/>
        <v>1.5574149550213376</v>
      </c>
      <c r="E49">
        <v>470</v>
      </c>
      <c r="F49" s="2">
        <f t="shared" si="1"/>
        <v>1.5574149550213376</v>
      </c>
    </row>
    <row r="50" spans="2:6" x14ac:dyDescent="0.45">
      <c r="B50">
        <v>480</v>
      </c>
      <c r="C50" s="2">
        <f t="shared" si="0"/>
        <v>1.5249688101250598</v>
      </c>
      <c r="E50">
        <v>480</v>
      </c>
      <c r="F50" s="2">
        <f t="shared" si="1"/>
        <v>1.5249688101250598</v>
      </c>
    </row>
    <row r="51" spans="2:6" x14ac:dyDescent="0.45">
      <c r="B51">
        <v>490</v>
      </c>
      <c r="C51" s="2">
        <f t="shared" si="0"/>
        <v>1.493846997673528</v>
      </c>
      <c r="E51">
        <v>490</v>
      </c>
      <c r="F51" s="2">
        <f t="shared" si="1"/>
        <v>1.493846997673528</v>
      </c>
    </row>
    <row r="52" spans="2:6" x14ac:dyDescent="0.45">
      <c r="B52">
        <v>500</v>
      </c>
      <c r="C52" s="2">
        <f t="shared" si="0"/>
        <v>1.4639700577200574</v>
      </c>
      <c r="E52">
        <v>500</v>
      </c>
      <c r="F52" s="2">
        <f t="shared" si="1"/>
        <v>1.4639700577200574</v>
      </c>
    </row>
    <row r="53" spans="2:6" x14ac:dyDescent="0.45">
      <c r="B53">
        <v>510</v>
      </c>
      <c r="C53" s="2">
        <f t="shared" si="0"/>
        <v>1.4352647624706445</v>
      </c>
      <c r="E53">
        <v>510</v>
      </c>
      <c r="F53" s="2">
        <f t="shared" si="1"/>
        <v>1.4352647624706445</v>
      </c>
    </row>
    <row r="54" spans="2:6" x14ac:dyDescent="0.45">
      <c r="B54">
        <v>520</v>
      </c>
      <c r="C54" s="2">
        <f t="shared" si="0"/>
        <v>1.4076635170385168</v>
      </c>
      <c r="E54">
        <v>520</v>
      </c>
      <c r="F54" s="2">
        <f t="shared" si="1"/>
        <v>1.4076635170385168</v>
      </c>
    </row>
    <row r="55" spans="2:6" x14ac:dyDescent="0.45">
      <c r="B55">
        <v>530</v>
      </c>
      <c r="C55" s="2">
        <f t="shared" si="0"/>
        <v>1.3811038280377901</v>
      </c>
      <c r="E55">
        <v>530</v>
      </c>
      <c r="F55" s="2">
        <f t="shared" si="1"/>
        <v>1.3811038280377901</v>
      </c>
    </row>
    <row r="56" spans="2:6" x14ac:dyDescent="0.45">
      <c r="B56">
        <v>540</v>
      </c>
      <c r="C56" s="2">
        <f t="shared" si="0"/>
        <v>1.3555278312222754</v>
      </c>
      <c r="E56">
        <v>540</v>
      </c>
      <c r="F56" s="2">
        <f t="shared" si="1"/>
        <v>1.3555278312222754</v>
      </c>
    </row>
    <row r="57" spans="2:6" x14ac:dyDescent="0.45">
      <c r="B57">
        <v>550</v>
      </c>
      <c r="C57" s="2">
        <f t="shared" si="0"/>
        <v>1.3308818706545977</v>
      </c>
      <c r="E57">
        <v>550</v>
      </c>
      <c r="F57" s="2">
        <f t="shared" si="1"/>
        <v>1.3308818706545977</v>
      </c>
    </row>
    <row r="58" spans="2:6" x14ac:dyDescent="0.45">
      <c r="B58">
        <v>560</v>
      </c>
      <c r="C58" s="2">
        <f t="shared" si="0"/>
        <v>1.3071161229643369</v>
      </c>
      <c r="E58">
        <v>560</v>
      </c>
      <c r="F58" s="2">
        <f t="shared" si="1"/>
        <v>1.3071161229643369</v>
      </c>
    </row>
    <row r="59" spans="2:6" x14ac:dyDescent="0.45">
      <c r="B59">
        <v>570</v>
      </c>
      <c r="C59" s="2">
        <f t="shared" si="0"/>
        <v>1.284184261157945</v>
      </c>
      <c r="E59">
        <v>570</v>
      </c>
      <c r="F59" s="2">
        <f t="shared" si="1"/>
        <v>1.284184261157945</v>
      </c>
    </row>
    <row r="60" spans="2:6" x14ac:dyDescent="0.45">
      <c r="B60">
        <v>580</v>
      </c>
      <c r="C60" s="2">
        <f t="shared" si="0"/>
        <v>1.262043153206946</v>
      </c>
      <c r="E60">
        <v>580</v>
      </c>
      <c r="F60" s="2">
        <f t="shared" si="1"/>
        <v>1.262043153206946</v>
      </c>
    </row>
    <row r="61" spans="2:6" x14ac:dyDescent="0.45">
      <c r="B61">
        <v>590</v>
      </c>
      <c r="C61" s="2">
        <f t="shared" si="0"/>
        <v>1.2406525912881843</v>
      </c>
      <c r="E61">
        <v>590</v>
      </c>
      <c r="F61" s="2">
        <f t="shared" si="1"/>
        <v>1.2406525912881843</v>
      </c>
    </row>
    <row r="62" spans="2:6" x14ac:dyDescent="0.45">
      <c r="B62">
        <v>600</v>
      </c>
      <c r="C62" s="2">
        <f t="shared" si="0"/>
        <v>1.2199750481000478</v>
      </c>
      <c r="E62">
        <v>600</v>
      </c>
      <c r="F62" s="2">
        <f t="shared" si="1"/>
        <v>1.2199750481000478</v>
      </c>
    </row>
    <row r="63" spans="2:6" x14ac:dyDescent="0.45">
      <c r="B63">
        <v>610</v>
      </c>
      <c r="C63" s="2">
        <f t="shared" si="0"/>
        <v>1.199975457147588</v>
      </c>
      <c r="E63">
        <v>610</v>
      </c>
      <c r="F63" s="2">
        <f t="shared" si="1"/>
        <v>1.199975457147588</v>
      </c>
    </row>
    <row r="64" spans="2:6" x14ac:dyDescent="0.45">
      <c r="B64">
        <v>620</v>
      </c>
      <c r="C64" s="2">
        <f t="shared" si="0"/>
        <v>1.1806210142903688</v>
      </c>
      <c r="E64">
        <v>620</v>
      </c>
      <c r="F64" s="2">
        <f t="shared" si="1"/>
        <v>1.1806210142903688</v>
      </c>
    </row>
    <row r="65" spans="2:6" x14ac:dyDescent="0.45">
      <c r="B65">
        <v>630</v>
      </c>
      <c r="C65" s="2">
        <f t="shared" si="0"/>
        <v>1.1618809981905218</v>
      </c>
      <c r="E65">
        <v>630</v>
      </c>
      <c r="F65" s="2">
        <f t="shared" si="1"/>
        <v>1.1618809981905218</v>
      </c>
    </row>
    <row r="66" spans="2:6" x14ac:dyDescent="0.45">
      <c r="B66">
        <v>640</v>
      </c>
      <c r="C66" s="2">
        <f t="shared" si="0"/>
        <v>1.1437266075937949</v>
      </c>
      <c r="E66">
        <v>640</v>
      </c>
      <c r="F66" s="2">
        <f t="shared" si="1"/>
        <v>1.1437266075937949</v>
      </c>
    </row>
    <row r="67" spans="2:6" x14ac:dyDescent="0.45">
      <c r="B67">
        <v>650</v>
      </c>
      <c r="C67" s="2">
        <f t="shared" si="0"/>
        <v>1.1261308136308135</v>
      </c>
      <c r="E67">
        <v>650</v>
      </c>
      <c r="F67" s="2">
        <f t="shared" si="1"/>
        <v>1.1261308136308135</v>
      </c>
    </row>
    <row r="68" spans="2:6" x14ac:dyDescent="0.45">
      <c r="B68">
        <v>660</v>
      </c>
      <c r="C68" s="2">
        <f t="shared" ref="C68:C105" si="2">$A$2/B68</f>
        <v>1.109068225545498</v>
      </c>
      <c r="E68">
        <v>660</v>
      </c>
      <c r="F68" s="2">
        <f t="shared" ref="F68:F105" si="3">$D$2/E68</f>
        <v>1.109068225545498</v>
      </c>
    </row>
    <row r="69" spans="2:6" x14ac:dyDescent="0.45">
      <c r="B69">
        <v>670</v>
      </c>
      <c r="C69" s="2">
        <f t="shared" si="2"/>
        <v>1.0925149684478039</v>
      </c>
      <c r="E69">
        <v>670</v>
      </c>
      <c r="F69" s="2">
        <f t="shared" si="3"/>
        <v>1.0925149684478039</v>
      </c>
    </row>
    <row r="70" spans="2:6" x14ac:dyDescent="0.45">
      <c r="B70">
        <v>680</v>
      </c>
      <c r="C70" s="2">
        <f t="shared" si="2"/>
        <v>1.0764485718529835</v>
      </c>
      <c r="E70">
        <v>680</v>
      </c>
      <c r="F70" s="2">
        <f t="shared" si="3"/>
        <v>1.0764485718529835</v>
      </c>
    </row>
    <row r="71" spans="2:6" x14ac:dyDescent="0.45">
      <c r="B71">
        <v>690</v>
      </c>
      <c r="C71" s="2">
        <f t="shared" si="2"/>
        <v>1.0608478679130851</v>
      </c>
      <c r="E71">
        <v>690</v>
      </c>
      <c r="F71" s="2">
        <f t="shared" si="3"/>
        <v>1.0608478679130851</v>
      </c>
    </row>
    <row r="72" spans="2:6" x14ac:dyDescent="0.45">
      <c r="B72">
        <v>700</v>
      </c>
      <c r="C72" s="2">
        <f t="shared" si="2"/>
        <v>1.0456928983714695</v>
      </c>
      <c r="E72">
        <v>700</v>
      </c>
      <c r="F72" s="2">
        <f t="shared" si="3"/>
        <v>1.0456928983714695</v>
      </c>
    </row>
    <row r="73" spans="2:6" x14ac:dyDescent="0.45">
      <c r="B73">
        <v>710</v>
      </c>
      <c r="C73" s="2">
        <f t="shared" si="2"/>
        <v>1.0309648293803222</v>
      </c>
      <c r="E73">
        <v>710</v>
      </c>
      <c r="F73" s="2">
        <f t="shared" si="3"/>
        <v>1.0309648293803222</v>
      </c>
    </row>
    <row r="74" spans="2:6" x14ac:dyDescent="0.45">
      <c r="B74">
        <v>720</v>
      </c>
      <c r="C74" s="2">
        <f t="shared" si="2"/>
        <v>1.0166458734167065</v>
      </c>
      <c r="E74">
        <v>720</v>
      </c>
      <c r="F74" s="2">
        <f t="shared" si="3"/>
        <v>1.0166458734167065</v>
      </c>
    </row>
    <row r="75" spans="2:6" x14ac:dyDescent="0.45">
      <c r="B75">
        <v>730</v>
      </c>
      <c r="C75" s="2">
        <f t="shared" si="2"/>
        <v>1.0027192176164776</v>
      </c>
      <c r="E75">
        <v>730</v>
      </c>
      <c r="F75" s="2">
        <f t="shared" si="3"/>
        <v>1.0027192176164776</v>
      </c>
    </row>
    <row r="76" spans="2:6" x14ac:dyDescent="0.45">
      <c r="B76">
        <v>740</v>
      </c>
      <c r="C76" s="2">
        <f t="shared" si="2"/>
        <v>0.98916895791895776</v>
      </c>
      <c r="E76">
        <v>740</v>
      </c>
      <c r="F76" s="2">
        <f t="shared" si="3"/>
        <v>0.98916895791895776</v>
      </c>
    </row>
    <row r="77" spans="2:6" x14ac:dyDescent="0.45">
      <c r="B77">
        <v>750</v>
      </c>
      <c r="C77" s="2">
        <f t="shared" si="2"/>
        <v>0.97598003848003823</v>
      </c>
      <c r="E77">
        <v>750</v>
      </c>
      <c r="F77" s="2">
        <f t="shared" si="3"/>
        <v>0.97598003848003823</v>
      </c>
    </row>
    <row r="78" spans="2:6" x14ac:dyDescent="0.45">
      <c r="B78">
        <v>760</v>
      </c>
      <c r="C78" s="2">
        <f t="shared" si="2"/>
        <v>0.96313819586845884</v>
      </c>
      <c r="E78">
        <v>760</v>
      </c>
      <c r="F78" s="2">
        <f t="shared" si="3"/>
        <v>0.96313819586845884</v>
      </c>
    </row>
    <row r="79" spans="2:6" x14ac:dyDescent="0.45">
      <c r="B79">
        <v>770</v>
      </c>
      <c r="C79" s="2">
        <f t="shared" si="2"/>
        <v>0.95062990761042687</v>
      </c>
      <c r="E79">
        <v>770</v>
      </c>
      <c r="F79" s="2">
        <f t="shared" si="3"/>
        <v>0.95062990761042687</v>
      </c>
    </row>
    <row r="80" spans="2:6" x14ac:dyDescent="0.45">
      <c r="B80">
        <v>780</v>
      </c>
      <c r="C80" s="2">
        <f t="shared" si="2"/>
        <v>0.93844234469234444</v>
      </c>
      <c r="E80">
        <v>780</v>
      </c>
      <c r="F80" s="2">
        <f t="shared" si="3"/>
        <v>0.93844234469234444</v>
      </c>
    </row>
    <row r="81" spans="2:6" x14ac:dyDescent="0.45">
      <c r="B81">
        <v>790</v>
      </c>
      <c r="C81" s="2">
        <f t="shared" si="2"/>
        <v>0.92656332767092242</v>
      </c>
      <c r="E81">
        <v>790</v>
      </c>
      <c r="F81" s="2">
        <f t="shared" si="3"/>
        <v>0.92656332767092242</v>
      </c>
    </row>
    <row r="82" spans="2:6" x14ac:dyDescent="0.45">
      <c r="B82">
        <v>800</v>
      </c>
      <c r="C82" s="2">
        <f t="shared" si="2"/>
        <v>0.91498128607503593</v>
      </c>
      <c r="E82">
        <v>800</v>
      </c>
      <c r="F82" s="2">
        <f t="shared" si="3"/>
        <v>0.91498128607503593</v>
      </c>
    </row>
    <row r="83" spans="2:6" x14ac:dyDescent="0.45">
      <c r="B83">
        <v>810</v>
      </c>
      <c r="C83" s="2">
        <f t="shared" si="2"/>
        <v>0.90368522081485025</v>
      </c>
      <c r="E83">
        <v>810</v>
      </c>
      <c r="F83" s="2">
        <f t="shared" si="3"/>
        <v>0.90368522081485025</v>
      </c>
    </row>
    <row r="84" spans="2:6" x14ac:dyDescent="0.45">
      <c r="B84">
        <v>820</v>
      </c>
      <c r="C84" s="2">
        <f t="shared" si="2"/>
        <v>0.89266466934149846</v>
      </c>
      <c r="E84">
        <v>820</v>
      </c>
      <c r="F84" s="2">
        <f t="shared" si="3"/>
        <v>0.89266466934149846</v>
      </c>
    </row>
    <row r="85" spans="2:6" x14ac:dyDescent="0.45">
      <c r="B85">
        <v>830</v>
      </c>
      <c r="C85" s="2">
        <f t="shared" si="2"/>
        <v>0.88190967332533576</v>
      </c>
      <c r="E85">
        <v>830</v>
      </c>
      <c r="F85" s="2">
        <f t="shared" si="3"/>
        <v>0.88190967332533576</v>
      </c>
    </row>
    <row r="86" spans="2:6" x14ac:dyDescent="0.45">
      <c r="B86">
        <v>840</v>
      </c>
      <c r="C86" s="2">
        <f t="shared" si="2"/>
        <v>0.87141074864289136</v>
      </c>
      <c r="E86">
        <v>840</v>
      </c>
      <c r="F86" s="2">
        <f t="shared" si="3"/>
        <v>0.87141074864289136</v>
      </c>
    </row>
    <row r="87" spans="2:6" x14ac:dyDescent="0.45">
      <c r="B87">
        <v>850</v>
      </c>
      <c r="C87" s="2">
        <f t="shared" si="2"/>
        <v>0.86115885748238674</v>
      </c>
      <c r="E87">
        <v>850</v>
      </c>
      <c r="F87" s="2">
        <f t="shared" si="3"/>
        <v>0.86115885748238674</v>
      </c>
    </row>
    <row r="88" spans="2:6" x14ac:dyDescent="0.45">
      <c r="B88">
        <v>860</v>
      </c>
      <c r="C88" s="2">
        <f t="shared" si="2"/>
        <v>0.85114538239538218</v>
      </c>
      <c r="E88">
        <v>860</v>
      </c>
      <c r="F88" s="2">
        <f t="shared" si="3"/>
        <v>0.85114538239538218</v>
      </c>
    </row>
    <row r="89" spans="2:6" x14ac:dyDescent="0.45">
      <c r="B89">
        <v>870</v>
      </c>
      <c r="C89" s="2">
        <f t="shared" si="2"/>
        <v>0.84136210213796403</v>
      </c>
      <c r="E89">
        <v>870</v>
      </c>
      <c r="F89" s="2">
        <f t="shared" si="3"/>
        <v>0.84136210213796403</v>
      </c>
    </row>
    <row r="90" spans="2:6" x14ac:dyDescent="0.45">
      <c r="B90">
        <v>880</v>
      </c>
      <c r="C90" s="2">
        <f t="shared" si="2"/>
        <v>0.8318011691591235</v>
      </c>
      <c r="E90">
        <v>880</v>
      </c>
      <c r="F90" s="2">
        <f t="shared" si="3"/>
        <v>0.8318011691591235</v>
      </c>
    </row>
    <row r="91" spans="2:6" x14ac:dyDescent="0.45">
      <c r="B91">
        <v>890</v>
      </c>
      <c r="C91" s="2">
        <f t="shared" si="2"/>
        <v>0.82245508860677385</v>
      </c>
      <c r="E91">
        <v>890</v>
      </c>
      <c r="F91" s="2">
        <f t="shared" si="3"/>
        <v>0.82245508860677385</v>
      </c>
    </row>
    <row r="92" spans="2:6" x14ac:dyDescent="0.45">
      <c r="B92">
        <v>900</v>
      </c>
      <c r="C92" s="2">
        <f t="shared" si="2"/>
        <v>0.81331669873336521</v>
      </c>
      <c r="E92">
        <v>900</v>
      </c>
      <c r="F92" s="2">
        <f t="shared" si="3"/>
        <v>0.81331669873336521</v>
      </c>
    </row>
    <row r="93" spans="2:6" x14ac:dyDescent="0.45">
      <c r="B93">
        <v>910</v>
      </c>
      <c r="C93" s="2">
        <f t="shared" si="2"/>
        <v>0.80437915259343817</v>
      </c>
      <c r="E93">
        <v>910</v>
      </c>
      <c r="F93" s="2">
        <f t="shared" si="3"/>
        <v>0.80437915259343817</v>
      </c>
    </row>
    <row r="94" spans="2:6" x14ac:dyDescent="0.45">
      <c r="B94">
        <v>920</v>
      </c>
      <c r="C94" s="2">
        <f t="shared" si="2"/>
        <v>0.79563590093481384</v>
      </c>
      <c r="E94">
        <v>920</v>
      </c>
      <c r="F94" s="2">
        <f t="shared" si="3"/>
        <v>0.79563590093481384</v>
      </c>
    </row>
    <row r="95" spans="2:6" x14ac:dyDescent="0.45">
      <c r="B95">
        <v>930</v>
      </c>
      <c r="C95" s="2">
        <f t="shared" si="2"/>
        <v>0.78708067619357924</v>
      </c>
      <c r="E95">
        <v>930</v>
      </c>
      <c r="F95" s="2">
        <f t="shared" si="3"/>
        <v>0.78708067619357924</v>
      </c>
    </row>
    <row r="96" spans="2:6" x14ac:dyDescent="0.45">
      <c r="B96">
        <v>940</v>
      </c>
      <c r="C96" s="2">
        <f t="shared" si="2"/>
        <v>0.77870747751066882</v>
      </c>
      <c r="E96">
        <v>940</v>
      </c>
      <c r="F96" s="2">
        <f t="shared" si="3"/>
        <v>0.77870747751066882</v>
      </c>
    </row>
    <row r="97" spans="2:6" x14ac:dyDescent="0.45">
      <c r="B97">
        <v>950</v>
      </c>
      <c r="C97" s="2">
        <f t="shared" si="2"/>
        <v>0.77051055669476709</v>
      </c>
      <c r="E97">
        <v>950</v>
      </c>
      <c r="F97" s="2">
        <f t="shared" si="3"/>
        <v>0.77051055669476709</v>
      </c>
    </row>
    <row r="98" spans="2:6" x14ac:dyDescent="0.45">
      <c r="B98">
        <v>960</v>
      </c>
      <c r="C98" s="2">
        <f t="shared" si="2"/>
        <v>0.7624844050625299</v>
      </c>
      <c r="E98">
        <v>960</v>
      </c>
      <c r="F98" s="2">
        <f t="shared" si="3"/>
        <v>0.7624844050625299</v>
      </c>
    </row>
    <row r="99" spans="2:6" x14ac:dyDescent="0.45">
      <c r="B99">
        <v>970</v>
      </c>
      <c r="C99" s="2">
        <f t="shared" si="2"/>
        <v>0.75462374109281305</v>
      </c>
      <c r="E99">
        <v>970</v>
      </c>
      <c r="F99" s="2">
        <f t="shared" si="3"/>
        <v>0.75462374109281305</v>
      </c>
    </row>
    <row r="100" spans="2:6" x14ac:dyDescent="0.45">
      <c r="B100">
        <v>980</v>
      </c>
      <c r="C100" s="2">
        <f t="shared" si="2"/>
        <v>0.74692349883676401</v>
      </c>
      <c r="E100">
        <v>980</v>
      </c>
      <c r="F100" s="2">
        <f t="shared" si="3"/>
        <v>0.74692349883676401</v>
      </c>
    </row>
    <row r="101" spans="2:6" x14ac:dyDescent="0.45">
      <c r="B101">
        <v>990</v>
      </c>
      <c r="C101" s="2">
        <f t="shared" si="2"/>
        <v>0.73937881703033204</v>
      </c>
      <c r="E101">
        <v>990</v>
      </c>
      <c r="F101" s="2">
        <f t="shared" si="3"/>
        <v>0.73937881703033204</v>
      </c>
    </row>
    <row r="102" spans="2:6" x14ac:dyDescent="0.45">
      <c r="B102">
        <v>1000</v>
      </c>
      <c r="C102" s="2">
        <f t="shared" si="2"/>
        <v>0.7319850288600287</v>
      </c>
      <c r="E102">
        <v>1000</v>
      </c>
      <c r="F102" s="2">
        <f t="shared" si="3"/>
        <v>0.7319850288600287</v>
      </c>
    </row>
    <row r="103" spans="2:6" x14ac:dyDescent="0.45">
      <c r="B103">
        <v>2000</v>
      </c>
      <c r="C103" s="2">
        <f t="shared" si="2"/>
        <v>0.36599251443001435</v>
      </c>
      <c r="E103">
        <v>2000</v>
      </c>
      <c r="F103" s="2">
        <f t="shared" si="3"/>
        <v>0.36599251443001435</v>
      </c>
    </row>
    <row r="104" spans="2:6" x14ac:dyDescent="0.45">
      <c r="B104">
        <v>3000</v>
      </c>
      <c r="C104" s="2">
        <f t="shared" si="2"/>
        <v>0.24399500962000956</v>
      </c>
      <c r="E104">
        <v>3000</v>
      </c>
      <c r="F104" s="2">
        <f t="shared" si="3"/>
        <v>0.24399500962000956</v>
      </c>
    </row>
    <row r="105" spans="2:6" x14ac:dyDescent="0.45">
      <c r="B105">
        <v>5000</v>
      </c>
      <c r="C105" s="2">
        <f t="shared" si="2"/>
        <v>0.14639700577200573</v>
      </c>
      <c r="E105">
        <v>5000</v>
      </c>
      <c r="F105" s="2">
        <f t="shared" si="3"/>
        <v>0.14639700577200573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78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31.86328125" customWidth="1"/>
    <col min="2" max="2" width="9.59765625" style="21" bestFit="1" customWidth="1"/>
  </cols>
  <sheetData>
    <row r="1" spans="1:2" ht="25.5" x14ac:dyDescent="0.75">
      <c r="A1" s="59" t="s">
        <v>133</v>
      </c>
    </row>
    <row r="3" spans="1:2" x14ac:dyDescent="0.45">
      <c r="A3" s="61" t="s">
        <v>0</v>
      </c>
      <c r="B3" s="64" t="s">
        <v>238</v>
      </c>
    </row>
    <row r="4" spans="1:2" x14ac:dyDescent="0.45">
      <c r="A4" t="s">
        <v>131</v>
      </c>
      <c r="B4" s="21">
        <v>111098.25</v>
      </c>
    </row>
    <row r="5" spans="1:2" x14ac:dyDescent="0.45">
      <c r="A5" t="s">
        <v>130</v>
      </c>
      <c r="B5" s="21">
        <v>78994.197812215134</v>
      </c>
    </row>
    <row r="6" spans="1:2" x14ac:dyDescent="0.45">
      <c r="A6" t="s">
        <v>141</v>
      </c>
      <c r="B6" s="21">
        <v>15314.031063728324</v>
      </c>
    </row>
    <row r="7" spans="1:2" x14ac:dyDescent="0.45">
      <c r="A7" t="s">
        <v>139</v>
      </c>
      <c r="B7" s="21">
        <v>12439.433698297069</v>
      </c>
    </row>
    <row r="8" spans="1:2" x14ac:dyDescent="0.45">
      <c r="A8" t="s">
        <v>142</v>
      </c>
      <c r="B8" s="21">
        <v>12239.931031265061</v>
      </c>
    </row>
    <row r="9" spans="1:2" x14ac:dyDescent="0.45">
      <c r="A9" t="s">
        <v>138</v>
      </c>
      <c r="B9" s="21">
        <v>9981.0224361486489</v>
      </c>
    </row>
    <row r="10" spans="1:2" x14ac:dyDescent="0.45">
      <c r="A10" t="s">
        <v>140</v>
      </c>
      <c r="B10" s="21">
        <v>9789.2332555909106</v>
      </c>
    </row>
    <row r="11" spans="1:2" x14ac:dyDescent="0.45">
      <c r="A11" t="s">
        <v>65</v>
      </c>
      <c r="B11" s="21">
        <v>8873.9774048061445</v>
      </c>
    </row>
    <row r="12" spans="1:2" x14ac:dyDescent="0.45">
      <c r="A12" t="s">
        <v>146</v>
      </c>
      <c r="B12" s="21">
        <v>7288.3523278051616</v>
      </c>
    </row>
    <row r="13" spans="1:2" x14ac:dyDescent="0.45">
      <c r="A13" t="s">
        <v>112</v>
      </c>
      <c r="B13" s="21">
        <v>6478.2125714285721</v>
      </c>
    </row>
    <row r="14" spans="1:2" x14ac:dyDescent="0.45">
      <c r="A14" t="s">
        <v>70</v>
      </c>
      <c r="B14" s="21">
        <v>6339.6527919392529</v>
      </c>
    </row>
    <row r="15" spans="1:2" x14ac:dyDescent="0.45">
      <c r="A15" t="s">
        <v>77</v>
      </c>
      <c r="B15" s="21">
        <v>6220.4118059456232</v>
      </c>
    </row>
    <row r="16" spans="1:2" x14ac:dyDescent="0.45">
      <c r="A16" t="s">
        <v>113</v>
      </c>
      <c r="B16" s="21">
        <v>6131.25</v>
      </c>
    </row>
    <row r="17" spans="1:2" x14ac:dyDescent="0.45">
      <c r="A17" t="s">
        <v>14</v>
      </c>
      <c r="B17" s="21">
        <v>6062.8176689675984</v>
      </c>
    </row>
    <row r="18" spans="1:2" x14ac:dyDescent="0.45">
      <c r="A18" t="s">
        <v>69</v>
      </c>
      <c r="B18" s="21">
        <v>5946.4163698708753</v>
      </c>
    </row>
    <row r="19" spans="1:2" x14ac:dyDescent="0.45">
      <c r="A19" s="16" t="s">
        <v>167</v>
      </c>
      <c r="B19" s="21">
        <v>5940.0111111111119</v>
      </c>
    </row>
    <row r="20" spans="1:2" x14ac:dyDescent="0.45">
      <c r="A20" t="s">
        <v>5</v>
      </c>
      <c r="B20" s="21">
        <v>5753.0630459272079</v>
      </c>
    </row>
    <row r="21" spans="1:2" x14ac:dyDescent="0.45">
      <c r="A21" t="s">
        <v>64</v>
      </c>
      <c r="B21" s="21">
        <v>5686.9840938721409</v>
      </c>
    </row>
    <row r="22" spans="1:2" x14ac:dyDescent="0.45">
      <c r="A22" t="s">
        <v>76</v>
      </c>
      <c r="B22" s="21">
        <v>5604.499359249181</v>
      </c>
    </row>
    <row r="23" spans="1:2" x14ac:dyDescent="0.45">
      <c r="A23" t="s">
        <v>11</v>
      </c>
      <c r="B23" s="21">
        <v>5398.7226303293155</v>
      </c>
    </row>
    <row r="24" spans="1:2" x14ac:dyDescent="0.45">
      <c r="A24" t="s">
        <v>230</v>
      </c>
      <c r="B24" s="21">
        <v>5398.7226303293155</v>
      </c>
    </row>
    <row r="25" spans="1:2" x14ac:dyDescent="0.45">
      <c r="A25" t="s">
        <v>9</v>
      </c>
      <c r="B25" s="21">
        <v>5247.1700595193597</v>
      </c>
    </row>
    <row r="26" spans="1:2" x14ac:dyDescent="0.45">
      <c r="A26" t="s">
        <v>8</v>
      </c>
      <c r="B26" s="21">
        <v>5073.2609493074351</v>
      </c>
    </row>
    <row r="27" spans="1:2" x14ac:dyDescent="0.45">
      <c r="A27" t="s">
        <v>63</v>
      </c>
      <c r="B27" s="21">
        <v>5067.4630639948718</v>
      </c>
    </row>
    <row r="28" spans="1:2" x14ac:dyDescent="0.45">
      <c r="A28" t="s">
        <v>7</v>
      </c>
      <c r="B28" s="21">
        <v>5042.7089653453986</v>
      </c>
    </row>
    <row r="29" spans="1:2" x14ac:dyDescent="0.45">
      <c r="A29" t="s">
        <v>145</v>
      </c>
      <c r="B29" s="21">
        <v>5012.9893108143315</v>
      </c>
    </row>
    <row r="30" spans="1:2" x14ac:dyDescent="0.45">
      <c r="A30" t="s">
        <v>75</v>
      </c>
      <c r="B30" s="21">
        <v>4941.0512196576738</v>
      </c>
    </row>
    <row r="31" spans="1:2" x14ac:dyDescent="0.45">
      <c r="A31" t="s">
        <v>4</v>
      </c>
      <c r="B31" s="21">
        <v>4892.7184588545751</v>
      </c>
    </row>
    <row r="32" spans="1:2" x14ac:dyDescent="0.45">
      <c r="A32" t="s">
        <v>68</v>
      </c>
      <c r="B32" s="21">
        <v>4773.0681484914576</v>
      </c>
    </row>
    <row r="33" spans="1:2" x14ac:dyDescent="0.45">
      <c r="A33" t="s">
        <v>6</v>
      </c>
      <c r="B33" s="21">
        <v>4719.8280672886413</v>
      </c>
    </row>
    <row r="34" spans="1:2" x14ac:dyDescent="0.45">
      <c r="A34" t="s">
        <v>229</v>
      </c>
      <c r="B34" s="21">
        <v>4719.8280672886413</v>
      </c>
    </row>
    <row r="35" spans="1:2" x14ac:dyDescent="0.45">
      <c r="A35" t="s">
        <v>3</v>
      </c>
      <c r="B35" s="21">
        <v>4557.2827574142711</v>
      </c>
    </row>
    <row r="36" spans="1:2" x14ac:dyDescent="0.45">
      <c r="A36" t="s">
        <v>2</v>
      </c>
      <c r="B36" s="21">
        <v>4538.0970514427845</v>
      </c>
    </row>
    <row r="37" spans="1:2" x14ac:dyDescent="0.45">
      <c r="A37" t="s">
        <v>1</v>
      </c>
      <c r="B37" s="21">
        <v>4338.4879378449723</v>
      </c>
    </row>
    <row r="38" spans="1:2" x14ac:dyDescent="0.45">
      <c r="A38" t="s">
        <v>144</v>
      </c>
      <c r="B38" s="21">
        <v>4295.8590398513516</v>
      </c>
    </row>
    <row r="39" spans="1:2" x14ac:dyDescent="0.45">
      <c r="A39" t="s">
        <v>15</v>
      </c>
      <c r="B39" s="21">
        <v>4283.4474542527141</v>
      </c>
    </row>
    <row r="40" spans="1:2" x14ac:dyDescent="0.45">
      <c r="A40" t="s">
        <v>13</v>
      </c>
      <c r="B40" s="21">
        <v>4202.9027381114211</v>
      </c>
    </row>
    <row r="41" spans="1:2" x14ac:dyDescent="0.45">
      <c r="A41" t="s">
        <v>10</v>
      </c>
      <c r="B41" s="21">
        <v>4124.2741527906364</v>
      </c>
    </row>
    <row r="42" spans="1:2" x14ac:dyDescent="0.45">
      <c r="A42" t="s">
        <v>143</v>
      </c>
      <c r="B42" s="21">
        <v>3863.9313941952514</v>
      </c>
    </row>
    <row r="43" spans="1:2" x14ac:dyDescent="0.45">
      <c r="A43" t="s">
        <v>12</v>
      </c>
      <c r="B43" s="21">
        <v>3744.6807864539892</v>
      </c>
    </row>
    <row r="44" spans="1:2" x14ac:dyDescent="0.45">
      <c r="A44" t="s">
        <v>62</v>
      </c>
      <c r="B44" s="21">
        <v>3313.2728171612903</v>
      </c>
    </row>
    <row r="45" spans="1:2" x14ac:dyDescent="0.45">
      <c r="A45" t="s">
        <v>67</v>
      </c>
      <c r="B45" s="21">
        <v>2950.7884257631581</v>
      </c>
    </row>
    <row r="46" spans="1:2" x14ac:dyDescent="0.45">
      <c r="A46" t="s">
        <v>170</v>
      </c>
      <c r="B46" s="21">
        <v>2500.2000000000003</v>
      </c>
    </row>
    <row r="47" spans="1:2" x14ac:dyDescent="0.45">
      <c r="A47" t="s">
        <v>55</v>
      </c>
      <c r="B47" s="21">
        <v>1342.2348595667347</v>
      </c>
    </row>
    <row r="48" spans="1:2" x14ac:dyDescent="0.45">
      <c r="A48" s="21" t="s">
        <v>223</v>
      </c>
      <c r="B48" s="21">
        <v>1234.7716915600724</v>
      </c>
    </row>
    <row r="49" spans="1:2" x14ac:dyDescent="0.45">
      <c r="A49" s="21" t="s">
        <v>227</v>
      </c>
      <c r="B49" s="21">
        <v>1110.5657984160027</v>
      </c>
    </row>
    <row r="50" spans="1:2" x14ac:dyDescent="0.45">
      <c r="A50" s="21" t="s">
        <v>225</v>
      </c>
      <c r="B50" s="21">
        <v>1103.2430150939053</v>
      </c>
    </row>
    <row r="51" spans="1:2" x14ac:dyDescent="0.45">
      <c r="A51" t="s">
        <v>102</v>
      </c>
      <c r="B51" s="21">
        <v>1048.4372575550008</v>
      </c>
    </row>
    <row r="52" spans="1:2" x14ac:dyDescent="0.45">
      <c r="A52" t="s">
        <v>103</v>
      </c>
      <c r="B52" s="21">
        <v>1022.8017818003613</v>
      </c>
    </row>
    <row r="53" spans="1:2" x14ac:dyDescent="0.45">
      <c r="A53" t="s">
        <v>101</v>
      </c>
      <c r="B53" s="21">
        <v>936.73129274917358</v>
      </c>
    </row>
    <row r="54" spans="1:2" x14ac:dyDescent="0.45">
      <c r="A54" t="s">
        <v>125</v>
      </c>
      <c r="B54" s="21">
        <v>883.60011891174577</v>
      </c>
    </row>
    <row r="55" spans="1:2" x14ac:dyDescent="0.45">
      <c r="A55" t="s">
        <v>58</v>
      </c>
      <c r="B55" s="21">
        <v>865.05</v>
      </c>
    </row>
    <row r="56" spans="1:2" x14ac:dyDescent="0.45">
      <c r="A56" t="s">
        <v>100</v>
      </c>
      <c r="B56" s="21">
        <v>675.02771660635494</v>
      </c>
    </row>
    <row r="57" spans="1:2" x14ac:dyDescent="0.45">
      <c r="A57" s="21" t="s">
        <v>224</v>
      </c>
      <c r="B57" s="21">
        <v>483.14651526637994</v>
      </c>
    </row>
    <row r="58" spans="1:2" x14ac:dyDescent="0.45">
      <c r="A58" s="21" t="s">
        <v>228</v>
      </c>
      <c r="B58" s="21">
        <v>310.97262463568882</v>
      </c>
    </row>
    <row r="59" spans="1:2" x14ac:dyDescent="0.45">
      <c r="A59" s="21" t="s">
        <v>226</v>
      </c>
      <c r="B59" s="21">
        <v>310.62618762162396</v>
      </c>
    </row>
    <row r="60" spans="1:2" x14ac:dyDescent="0.45">
      <c r="A60" t="s">
        <v>106</v>
      </c>
      <c r="B60" s="21">
        <v>307.9067867073216</v>
      </c>
    </row>
    <row r="61" spans="1:2" x14ac:dyDescent="0.45">
      <c r="A61" t="s">
        <v>107</v>
      </c>
      <c r="B61" s="21">
        <v>306.55273491943785</v>
      </c>
    </row>
    <row r="62" spans="1:2" x14ac:dyDescent="0.45">
      <c r="A62" t="s">
        <v>105</v>
      </c>
      <c r="B62" s="21">
        <v>301.56913455205023</v>
      </c>
    </row>
    <row r="63" spans="1:2" x14ac:dyDescent="0.45">
      <c r="A63" t="s">
        <v>124</v>
      </c>
      <c r="B63" s="21">
        <v>301.07609143397855</v>
      </c>
    </row>
    <row r="64" spans="1:2" x14ac:dyDescent="0.45">
      <c r="A64" t="s">
        <v>104</v>
      </c>
      <c r="B64" s="21">
        <v>280.55636613086949</v>
      </c>
    </row>
    <row r="65" spans="1:2" x14ac:dyDescent="0.45">
      <c r="A65" t="s">
        <v>121</v>
      </c>
      <c r="B65" s="21">
        <v>265.59786401138132</v>
      </c>
    </row>
    <row r="66" spans="1:2" x14ac:dyDescent="0.45">
      <c r="A66" t="s">
        <v>120</v>
      </c>
      <c r="B66" s="21">
        <v>253.66844365035783</v>
      </c>
    </row>
    <row r="67" spans="1:2" x14ac:dyDescent="0.45">
      <c r="A67" t="s">
        <v>39</v>
      </c>
      <c r="B67" s="21">
        <v>227.79672442103418</v>
      </c>
    </row>
    <row r="68" spans="1:2" x14ac:dyDescent="0.45">
      <c r="A68" t="s">
        <v>38</v>
      </c>
      <c r="B68" s="21">
        <v>214.48959877088782</v>
      </c>
    </row>
    <row r="69" spans="1:2" x14ac:dyDescent="0.45">
      <c r="A69" t="s">
        <v>119</v>
      </c>
      <c r="B69" s="21">
        <v>211.96268799558061</v>
      </c>
    </row>
    <row r="70" spans="1:2" x14ac:dyDescent="0.45">
      <c r="A70" t="s">
        <v>215</v>
      </c>
      <c r="B70" s="21">
        <v>207.18762926767269</v>
      </c>
    </row>
    <row r="71" spans="1:2" x14ac:dyDescent="0.45">
      <c r="A71" t="s">
        <v>217</v>
      </c>
      <c r="B71" s="21">
        <v>180.59629158942883</v>
      </c>
    </row>
    <row r="72" spans="1:2" x14ac:dyDescent="0.45">
      <c r="A72" t="s">
        <v>160</v>
      </c>
      <c r="B72" s="21">
        <v>173.22556534806631</v>
      </c>
    </row>
    <row r="73" spans="1:2" x14ac:dyDescent="0.45">
      <c r="A73" t="s">
        <v>161</v>
      </c>
      <c r="B73" s="21">
        <v>161.28528649831347</v>
      </c>
    </row>
    <row r="74" spans="1:2" x14ac:dyDescent="0.45">
      <c r="A74" t="s">
        <v>123</v>
      </c>
      <c r="B74" s="21">
        <v>132.03145224293718</v>
      </c>
    </row>
    <row r="75" spans="1:2" x14ac:dyDescent="0.45">
      <c r="A75" t="s">
        <v>216</v>
      </c>
      <c r="B75" s="21">
        <v>88.595103082633457</v>
      </c>
    </row>
    <row r="76" spans="1:2" x14ac:dyDescent="0.45">
      <c r="A76" t="s">
        <v>117</v>
      </c>
      <c r="B76" s="21">
        <v>81.091934365771564</v>
      </c>
    </row>
    <row r="77" spans="1:2" x14ac:dyDescent="0.45">
      <c r="A77" t="s">
        <v>116</v>
      </c>
      <c r="B77" s="21">
        <v>43.457209423961039</v>
      </c>
    </row>
    <row r="78" spans="1:2" x14ac:dyDescent="0.45">
      <c r="A78" t="s">
        <v>115</v>
      </c>
      <c r="B78" s="21">
        <v>19.799727985637748</v>
      </c>
    </row>
  </sheetData>
  <sortState xmlns:xlrd2="http://schemas.microsoft.com/office/spreadsheetml/2017/richdata2" ref="A2:B76">
    <sortCondition descending="1" ref="B2:B76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81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31.86328125" customWidth="1"/>
    <col min="2" max="2" width="10.265625" style="19" bestFit="1" customWidth="1"/>
  </cols>
  <sheetData>
    <row r="1" spans="1:2" ht="25.5" x14ac:dyDescent="0.75">
      <c r="A1" s="59" t="s">
        <v>301</v>
      </c>
    </row>
    <row r="3" spans="1:2" x14ac:dyDescent="0.45">
      <c r="A3" s="61" t="s">
        <v>0</v>
      </c>
      <c r="B3" s="62" t="s">
        <v>253</v>
      </c>
    </row>
    <row r="4" spans="1:2" x14ac:dyDescent="0.45">
      <c r="A4" t="s">
        <v>130</v>
      </c>
      <c r="B4" s="19">
        <v>27040.321558796717</v>
      </c>
    </row>
    <row r="5" spans="1:2" x14ac:dyDescent="0.45">
      <c r="A5" t="s">
        <v>131</v>
      </c>
      <c r="B5" s="19">
        <v>20738.340000000004</v>
      </c>
    </row>
    <row r="6" spans="1:2" x14ac:dyDescent="0.45">
      <c r="A6" t="s">
        <v>141</v>
      </c>
      <c r="B6" s="19">
        <v>11681.360278179192</v>
      </c>
    </row>
    <row r="7" spans="1:2" x14ac:dyDescent="0.45">
      <c r="A7" t="s">
        <v>139</v>
      </c>
      <c r="B7" s="19">
        <v>9177.1065042573337</v>
      </c>
    </row>
    <row r="8" spans="1:2" x14ac:dyDescent="0.45">
      <c r="A8" t="s">
        <v>142</v>
      </c>
      <c r="B8" s="19">
        <v>9148.9061952354878</v>
      </c>
    </row>
    <row r="9" spans="1:2" x14ac:dyDescent="0.45">
      <c r="A9" t="s">
        <v>138</v>
      </c>
      <c r="B9" s="19">
        <v>7282.4336148648645</v>
      </c>
    </row>
    <row r="10" spans="1:2" x14ac:dyDescent="0.45">
      <c r="A10" t="s">
        <v>140</v>
      </c>
      <c r="B10" s="19">
        <v>7250.6557227272733</v>
      </c>
    </row>
    <row r="11" spans="1:2" x14ac:dyDescent="0.45">
      <c r="A11" t="s">
        <v>65</v>
      </c>
      <c r="B11" s="19">
        <v>6602.278725628491</v>
      </c>
    </row>
    <row r="12" spans="1:2" x14ac:dyDescent="0.45">
      <c r="A12" t="s">
        <v>146</v>
      </c>
      <c r="B12" s="19">
        <v>5036.6726671469996</v>
      </c>
    </row>
    <row r="13" spans="1:2" x14ac:dyDescent="0.45">
      <c r="A13" t="s">
        <v>70</v>
      </c>
      <c r="B13" s="19">
        <v>4532.804474299066</v>
      </c>
    </row>
    <row r="14" spans="1:2" x14ac:dyDescent="0.45">
      <c r="A14" t="s">
        <v>69</v>
      </c>
      <c r="B14" s="19">
        <v>4175.1226291248204</v>
      </c>
    </row>
    <row r="15" spans="1:2" x14ac:dyDescent="0.45">
      <c r="A15" t="s">
        <v>64</v>
      </c>
      <c r="B15" s="19">
        <v>4070.671100828446</v>
      </c>
    </row>
    <row r="16" spans="1:2" x14ac:dyDescent="0.45">
      <c r="A16" t="s">
        <v>63</v>
      </c>
      <c r="B16" s="19">
        <v>3392.4604938461539</v>
      </c>
    </row>
    <row r="17" spans="1:2" x14ac:dyDescent="0.45">
      <c r="A17" t="s">
        <v>68</v>
      </c>
      <c r="B17" s="19">
        <v>3149.992873266332</v>
      </c>
    </row>
    <row r="18" spans="1:2" x14ac:dyDescent="0.45">
      <c r="A18" t="s">
        <v>145</v>
      </c>
      <c r="B18" s="19">
        <v>2772.8509279250816</v>
      </c>
    </row>
    <row r="19" spans="1:2" x14ac:dyDescent="0.45">
      <c r="A19" t="s">
        <v>144</v>
      </c>
      <c r="B19" s="19">
        <v>2257.3731689270271</v>
      </c>
    </row>
    <row r="20" spans="1:2" x14ac:dyDescent="0.45">
      <c r="A20" t="s">
        <v>62</v>
      </c>
      <c r="B20" s="19">
        <v>2028.9725535483872</v>
      </c>
    </row>
    <row r="21" spans="1:2" x14ac:dyDescent="0.45">
      <c r="A21" t="s">
        <v>143</v>
      </c>
      <c r="B21" s="19">
        <v>1987.4890891820587</v>
      </c>
    </row>
    <row r="22" spans="1:2" x14ac:dyDescent="0.45">
      <c r="A22" t="s">
        <v>230</v>
      </c>
      <c r="B22" s="19">
        <v>1749.8848531310605</v>
      </c>
    </row>
    <row r="23" spans="1:2" x14ac:dyDescent="0.45">
      <c r="A23" t="s">
        <v>67</v>
      </c>
      <c r="B23" s="19">
        <v>1742.9909755263161</v>
      </c>
    </row>
    <row r="24" spans="1:2" x14ac:dyDescent="0.45">
      <c r="A24" t="s">
        <v>8</v>
      </c>
      <c r="B24" s="19">
        <v>1440.1341069133732</v>
      </c>
    </row>
    <row r="25" spans="1:2" x14ac:dyDescent="0.45">
      <c r="A25" t="s">
        <v>229</v>
      </c>
      <c r="B25" s="19">
        <v>1344.0026500103734</v>
      </c>
    </row>
    <row r="26" spans="1:2" x14ac:dyDescent="0.45">
      <c r="A26" t="s">
        <v>9</v>
      </c>
      <c r="B26" s="19">
        <v>1312.3876830294</v>
      </c>
    </row>
    <row r="27" spans="1:2" x14ac:dyDescent="0.45">
      <c r="A27" t="s">
        <v>1</v>
      </c>
      <c r="B27" s="19">
        <v>1233.3005036795255</v>
      </c>
    </row>
    <row r="28" spans="1:2" x14ac:dyDescent="0.45">
      <c r="A28" t="s">
        <v>7</v>
      </c>
      <c r="B28" s="19">
        <v>1117.7497266585272</v>
      </c>
    </row>
    <row r="29" spans="1:2" x14ac:dyDescent="0.45">
      <c r="A29" t="s">
        <v>3</v>
      </c>
      <c r="B29" s="19">
        <v>1098.5590693825604</v>
      </c>
    </row>
    <row r="30" spans="1:2" x14ac:dyDescent="0.45">
      <c r="A30" t="s">
        <v>4</v>
      </c>
      <c r="B30" s="19">
        <v>1086.1834978657157</v>
      </c>
    </row>
    <row r="31" spans="1:2" x14ac:dyDescent="0.45">
      <c r="A31" t="s">
        <v>11</v>
      </c>
      <c r="B31" s="19">
        <v>1057.3291332189438</v>
      </c>
    </row>
    <row r="32" spans="1:2" x14ac:dyDescent="0.45">
      <c r="A32" t="s">
        <v>5</v>
      </c>
      <c r="B32" s="19">
        <v>1022.1770688612364</v>
      </c>
    </row>
    <row r="33" spans="1:2" x14ac:dyDescent="0.45">
      <c r="A33" t="s">
        <v>10</v>
      </c>
      <c r="B33" s="19">
        <v>1011.2515058072011</v>
      </c>
    </row>
    <row r="34" spans="1:2" x14ac:dyDescent="0.45">
      <c r="A34" t="s">
        <v>2</v>
      </c>
      <c r="B34" s="19">
        <v>1000.2336358282055</v>
      </c>
    </row>
    <row r="35" spans="1:2" x14ac:dyDescent="0.45">
      <c r="A35" t="s">
        <v>12</v>
      </c>
      <c r="B35" s="19">
        <v>965.32639071550034</v>
      </c>
    </row>
    <row r="36" spans="1:2" x14ac:dyDescent="0.45">
      <c r="A36" t="s">
        <v>113</v>
      </c>
      <c r="B36" s="19">
        <v>884.08851923076918</v>
      </c>
    </row>
    <row r="37" spans="1:2" x14ac:dyDescent="0.45">
      <c r="A37" t="s">
        <v>13</v>
      </c>
      <c r="B37" s="19">
        <v>756.52249286005576</v>
      </c>
    </row>
    <row r="38" spans="1:2" x14ac:dyDescent="0.45">
      <c r="A38" t="s">
        <v>6</v>
      </c>
      <c r="B38" s="19">
        <v>727.73580657995308</v>
      </c>
    </row>
    <row r="39" spans="1:2" x14ac:dyDescent="0.45">
      <c r="A39" s="21" t="s">
        <v>225</v>
      </c>
      <c r="B39" s="19">
        <v>726.5258879886693</v>
      </c>
    </row>
    <row r="40" spans="1:2" x14ac:dyDescent="0.45">
      <c r="A40" t="s">
        <v>170</v>
      </c>
      <c r="B40" s="19">
        <v>619.0971428571429</v>
      </c>
    </row>
    <row r="41" spans="1:2" x14ac:dyDescent="0.45">
      <c r="A41" t="s">
        <v>112</v>
      </c>
      <c r="B41" s="19">
        <v>608.14152000000013</v>
      </c>
    </row>
    <row r="42" spans="1:2" x14ac:dyDescent="0.45">
      <c r="A42" s="21" t="s">
        <v>227</v>
      </c>
      <c r="B42" s="19">
        <v>587.5251320652402</v>
      </c>
    </row>
    <row r="43" spans="1:2" x14ac:dyDescent="0.45">
      <c r="A43" t="s">
        <v>15</v>
      </c>
      <c r="B43" s="19">
        <v>555.49110428508425</v>
      </c>
    </row>
    <row r="44" spans="1:2" x14ac:dyDescent="0.45">
      <c r="A44" s="16" t="s">
        <v>167</v>
      </c>
      <c r="B44" s="19">
        <v>429.6072900900902</v>
      </c>
    </row>
    <row r="45" spans="1:2" x14ac:dyDescent="0.45">
      <c r="A45" s="21" t="s">
        <v>223</v>
      </c>
      <c r="B45" s="19">
        <v>403.31738669047598</v>
      </c>
    </row>
    <row r="46" spans="1:2" x14ac:dyDescent="0.45">
      <c r="A46" t="s">
        <v>14</v>
      </c>
      <c r="B46" s="19">
        <v>312.62082036213917</v>
      </c>
    </row>
    <row r="47" spans="1:2" x14ac:dyDescent="0.45">
      <c r="A47" t="s">
        <v>58</v>
      </c>
      <c r="B47" s="19">
        <v>277.75645636335452</v>
      </c>
    </row>
    <row r="48" spans="1:2" x14ac:dyDescent="0.45">
      <c r="A48" t="s">
        <v>101</v>
      </c>
      <c r="B48" s="19">
        <v>228.30488054405873</v>
      </c>
    </row>
    <row r="49" spans="1:2" x14ac:dyDescent="0.45">
      <c r="A49" t="s">
        <v>102</v>
      </c>
      <c r="B49" s="19">
        <v>215.5665389365422</v>
      </c>
    </row>
    <row r="50" spans="1:2" x14ac:dyDescent="0.45">
      <c r="A50" t="s">
        <v>120</v>
      </c>
      <c r="B50" s="19">
        <v>214.01705359503856</v>
      </c>
    </row>
    <row r="51" spans="1:2" x14ac:dyDescent="0.45">
      <c r="A51" t="s">
        <v>121</v>
      </c>
      <c r="B51" s="19">
        <v>209.05576286276226</v>
      </c>
    </row>
    <row r="52" spans="1:2" x14ac:dyDescent="0.45">
      <c r="A52" t="s">
        <v>279</v>
      </c>
      <c r="B52" s="19">
        <v>207.18762926767269</v>
      </c>
    </row>
    <row r="53" spans="1:2" x14ac:dyDescent="0.45">
      <c r="A53" s="21" t="s">
        <v>226</v>
      </c>
      <c r="B53" s="19">
        <v>204.55870892155727</v>
      </c>
    </row>
    <row r="54" spans="1:2" x14ac:dyDescent="0.45">
      <c r="A54" t="s">
        <v>282</v>
      </c>
      <c r="B54" s="19">
        <v>186.46886634090544</v>
      </c>
    </row>
    <row r="55" spans="1:2" x14ac:dyDescent="0.45">
      <c r="A55" t="s">
        <v>278</v>
      </c>
      <c r="B55" s="19">
        <v>180.59629158942883</v>
      </c>
    </row>
    <row r="56" spans="1:2" x14ac:dyDescent="0.45">
      <c r="A56" t="s">
        <v>119</v>
      </c>
      <c r="B56" s="19">
        <v>177.57827261057645</v>
      </c>
    </row>
    <row r="57" spans="1:2" x14ac:dyDescent="0.45">
      <c r="A57" s="21" t="s">
        <v>228</v>
      </c>
      <c r="B57" s="19">
        <v>164.51454980726763</v>
      </c>
    </row>
    <row r="58" spans="1:2" x14ac:dyDescent="0.45">
      <c r="A58" t="s">
        <v>281</v>
      </c>
      <c r="B58" s="19">
        <v>162.53666243048596</v>
      </c>
    </row>
    <row r="59" spans="1:2" x14ac:dyDescent="0.45">
      <c r="A59" s="21" t="s">
        <v>224</v>
      </c>
      <c r="B59" s="19">
        <v>157.81167584077738</v>
      </c>
    </row>
    <row r="60" spans="1:2" x14ac:dyDescent="0.45">
      <c r="A60" t="s">
        <v>103</v>
      </c>
      <c r="B60" s="19">
        <v>153.07237550753706</v>
      </c>
    </row>
    <row r="61" spans="1:2" x14ac:dyDescent="0.45">
      <c r="A61" t="s">
        <v>125</v>
      </c>
      <c r="B61" s="19">
        <v>107.8015560475481</v>
      </c>
    </row>
    <row r="62" spans="1:2" x14ac:dyDescent="0.45">
      <c r="A62" t="s">
        <v>100</v>
      </c>
      <c r="B62" s="19">
        <v>102.41799838165386</v>
      </c>
    </row>
    <row r="63" spans="1:2" x14ac:dyDescent="0.45">
      <c r="A63" t="s">
        <v>277</v>
      </c>
      <c r="B63" s="19">
        <v>88.595103082633457</v>
      </c>
    </row>
    <row r="64" spans="1:2" x14ac:dyDescent="0.45">
      <c r="A64" t="s">
        <v>117</v>
      </c>
      <c r="B64" s="19">
        <v>81.091934365771564</v>
      </c>
    </row>
    <row r="65" spans="1:2" x14ac:dyDescent="0.45">
      <c r="A65" t="s">
        <v>280</v>
      </c>
      <c r="B65" s="19">
        <v>79.735592774370119</v>
      </c>
    </row>
    <row r="66" spans="1:2" x14ac:dyDescent="0.45">
      <c r="A66" t="s">
        <v>160</v>
      </c>
      <c r="B66" s="19">
        <v>77.682042416088393</v>
      </c>
    </row>
    <row r="67" spans="1:2" x14ac:dyDescent="0.45">
      <c r="A67" t="s">
        <v>39</v>
      </c>
      <c r="B67" s="19">
        <v>74.526088853795144</v>
      </c>
    </row>
    <row r="68" spans="1:2" x14ac:dyDescent="0.45">
      <c r="A68" t="s">
        <v>105</v>
      </c>
      <c r="B68" s="19">
        <v>73.499952198262619</v>
      </c>
    </row>
    <row r="69" spans="1:2" x14ac:dyDescent="0.45">
      <c r="A69" t="s">
        <v>38</v>
      </c>
      <c r="B69" s="19">
        <v>69.133011174087798</v>
      </c>
    </row>
    <row r="70" spans="1:2" x14ac:dyDescent="0.45">
      <c r="A70" t="s">
        <v>161</v>
      </c>
      <c r="B70" s="19">
        <v>68.181826653805985</v>
      </c>
    </row>
    <row r="71" spans="1:2" x14ac:dyDescent="0.45">
      <c r="A71" t="s">
        <v>106</v>
      </c>
      <c r="B71" s="19">
        <v>63.307937453841824</v>
      </c>
    </row>
    <row r="72" spans="1:2" x14ac:dyDescent="0.45">
      <c r="A72" t="s">
        <v>55</v>
      </c>
      <c r="B72" s="19">
        <v>55.309333006284412</v>
      </c>
    </row>
    <row r="73" spans="1:2" x14ac:dyDescent="0.45">
      <c r="A73" t="s">
        <v>124</v>
      </c>
      <c r="B73" s="19">
        <v>52.826737154153257</v>
      </c>
    </row>
    <row r="74" spans="1:2" x14ac:dyDescent="0.45">
      <c r="A74" t="s">
        <v>107</v>
      </c>
      <c r="B74" s="19">
        <v>45.878640600187978</v>
      </c>
    </row>
    <row r="75" spans="1:2" x14ac:dyDescent="0.45">
      <c r="A75" t="s">
        <v>116</v>
      </c>
      <c r="B75" s="19">
        <v>43.457209423961039</v>
      </c>
    </row>
    <row r="76" spans="1:2" x14ac:dyDescent="0.45">
      <c r="A76" t="s">
        <v>104</v>
      </c>
      <c r="B76" s="19">
        <v>42.567172792269851</v>
      </c>
    </row>
    <row r="77" spans="1:2" x14ac:dyDescent="0.45">
      <c r="A77" t="s">
        <v>75</v>
      </c>
      <c r="B77" s="19">
        <v>27.063701788098104</v>
      </c>
    </row>
    <row r="78" spans="1:2" x14ac:dyDescent="0.45">
      <c r="A78" t="s">
        <v>77</v>
      </c>
      <c r="B78" s="19">
        <v>26.836003557139875</v>
      </c>
    </row>
    <row r="79" spans="1:2" x14ac:dyDescent="0.45">
      <c r="A79" t="s">
        <v>76</v>
      </c>
      <c r="B79" s="19">
        <v>23.960446536398514</v>
      </c>
    </row>
    <row r="80" spans="1:2" x14ac:dyDescent="0.45">
      <c r="A80" t="s">
        <v>115</v>
      </c>
      <c r="B80" s="19">
        <v>19.799727985637748</v>
      </c>
    </row>
    <row r="81" spans="1:2" x14ac:dyDescent="0.45">
      <c r="A81" t="s">
        <v>123</v>
      </c>
      <c r="B81" s="19">
        <v>17.54012757071494</v>
      </c>
    </row>
  </sheetData>
  <sortState xmlns:xlrd2="http://schemas.microsoft.com/office/spreadsheetml/2017/richdata2" ref="A2:B82">
    <sortCondition descending="1" ref="B2:B82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76"/>
  <sheetViews>
    <sheetView workbookViewId="0">
      <selection sqref="A1:XFD1048576"/>
    </sheetView>
  </sheetViews>
  <sheetFormatPr baseColWidth="10" defaultColWidth="9.1328125" defaultRowHeight="14.25" x14ac:dyDescent="0.45"/>
  <cols>
    <col min="1" max="1" width="31.86328125" customWidth="1"/>
  </cols>
  <sheetData>
    <row r="1" spans="1:1" x14ac:dyDescent="0.45">
      <c r="A1" t="s">
        <v>0</v>
      </c>
    </row>
    <row r="2" spans="1:1" x14ac:dyDescent="0.45">
      <c r="A2" t="s">
        <v>1</v>
      </c>
    </row>
    <row r="3" spans="1:1" x14ac:dyDescent="0.45">
      <c r="A3" t="s">
        <v>2</v>
      </c>
    </row>
    <row r="4" spans="1:1" x14ac:dyDescent="0.45">
      <c r="A4" t="s">
        <v>3</v>
      </c>
    </row>
    <row r="5" spans="1:1" x14ac:dyDescent="0.45">
      <c r="A5" t="s">
        <v>4</v>
      </c>
    </row>
    <row r="6" spans="1:1" x14ac:dyDescent="0.45">
      <c r="A6" t="s">
        <v>5</v>
      </c>
    </row>
    <row r="7" spans="1:1" x14ac:dyDescent="0.45">
      <c r="A7" t="s">
        <v>6</v>
      </c>
    </row>
    <row r="8" spans="1:1" x14ac:dyDescent="0.45">
      <c r="A8" t="s">
        <v>7</v>
      </c>
    </row>
    <row r="9" spans="1:1" x14ac:dyDescent="0.45">
      <c r="A9" t="s">
        <v>8</v>
      </c>
    </row>
    <row r="10" spans="1:1" x14ac:dyDescent="0.45">
      <c r="A10" t="s">
        <v>9</v>
      </c>
    </row>
    <row r="11" spans="1:1" x14ac:dyDescent="0.45">
      <c r="A11" t="s">
        <v>10</v>
      </c>
    </row>
    <row r="12" spans="1:1" x14ac:dyDescent="0.45">
      <c r="A12" t="s">
        <v>11</v>
      </c>
    </row>
    <row r="13" spans="1:1" x14ac:dyDescent="0.45">
      <c r="A13" t="s">
        <v>12</v>
      </c>
    </row>
    <row r="14" spans="1:1" x14ac:dyDescent="0.45">
      <c r="A14" t="s">
        <v>13</v>
      </c>
    </row>
    <row r="15" spans="1:1" x14ac:dyDescent="0.45">
      <c r="A15" t="s">
        <v>14</v>
      </c>
    </row>
    <row r="16" spans="1:1" x14ac:dyDescent="0.45">
      <c r="A16" t="s">
        <v>15</v>
      </c>
    </row>
    <row r="17" spans="1:1" x14ac:dyDescent="0.45">
      <c r="A17" t="s">
        <v>229</v>
      </c>
    </row>
    <row r="18" spans="1:1" x14ac:dyDescent="0.45">
      <c r="A18" t="s">
        <v>230</v>
      </c>
    </row>
    <row r="19" spans="1:1" x14ac:dyDescent="0.45">
      <c r="A19" s="16" t="s">
        <v>167</v>
      </c>
    </row>
    <row r="20" spans="1:1" x14ac:dyDescent="0.45">
      <c r="A20" t="s">
        <v>38</v>
      </c>
    </row>
    <row r="21" spans="1:1" x14ac:dyDescent="0.45">
      <c r="A21" t="s">
        <v>39</v>
      </c>
    </row>
    <row r="22" spans="1:1" x14ac:dyDescent="0.45">
      <c r="A22" t="s">
        <v>160</v>
      </c>
    </row>
    <row r="23" spans="1:1" x14ac:dyDescent="0.45">
      <c r="A23" t="s">
        <v>161</v>
      </c>
    </row>
    <row r="24" spans="1:1" x14ac:dyDescent="0.45">
      <c r="A24" t="s">
        <v>55</v>
      </c>
    </row>
    <row r="25" spans="1:1" x14ac:dyDescent="0.45">
      <c r="A25" t="s">
        <v>58</v>
      </c>
    </row>
    <row r="26" spans="1:1" x14ac:dyDescent="0.45">
      <c r="A26" t="s">
        <v>170</v>
      </c>
    </row>
    <row r="27" spans="1:1" x14ac:dyDescent="0.45">
      <c r="A27" t="s">
        <v>62</v>
      </c>
    </row>
    <row r="28" spans="1:1" x14ac:dyDescent="0.45">
      <c r="A28" t="s">
        <v>63</v>
      </c>
    </row>
    <row r="29" spans="1:1" x14ac:dyDescent="0.45">
      <c r="A29" t="s">
        <v>64</v>
      </c>
    </row>
    <row r="30" spans="1:1" x14ac:dyDescent="0.45">
      <c r="A30" t="s">
        <v>65</v>
      </c>
    </row>
    <row r="31" spans="1:1" x14ac:dyDescent="0.45">
      <c r="A31" t="s">
        <v>140</v>
      </c>
    </row>
    <row r="32" spans="1:1" x14ac:dyDescent="0.45">
      <c r="A32" t="s">
        <v>141</v>
      </c>
    </row>
    <row r="33" spans="1:1" x14ac:dyDescent="0.45">
      <c r="A33" t="s">
        <v>67</v>
      </c>
    </row>
    <row r="34" spans="1:1" x14ac:dyDescent="0.45">
      <c r="A34" t="s">
        <v>68</v>
      </c>
    </row>
    <row r="35" spans="1:1" x14ac:dyDescent="0.45">
      <c r="A35" t="s">
        <v>69</v>
      </c>
    </row>
    <row r="36" spans="1:1" x14ac:dyDescent="0.45">
      <c r="A36" t="s">
        <v>70</v>
      </c>
    </row>
    <row r="37" spans="1:1" x14ac:dyDescent="0.45">
      <c r="A37" t="s">
        <v>138</v>
      </c>
    </row>
    <row r="38" spans="1:1" x14ac:dyDescent="0.45">
      <c r="A38" t="s">
        <v>139</v>
      </c>
    </row>
    <row r="39" spans="1:1" x14ac:dyDescent="0.45">
      <c r="A39" t="s">
        <v>142</v>
      </c>
    </row>
    <row r="40" spans="1:1" x14ac:dyDescent="0.45">
      <c r="A40" t="s">
        <v>143</v>
      </c>
    </row>
    <row r="41" spans="1:1" x14ac:dyDescent="0.45">
      <c r="A41" t="s">
        <v>144</v>
      </c>
    </row>
    <row r="42" spans="1:1" x14ac:dyDescent="0.45">
      <c r="A42" t="s">
        <v>145</v>
      </c>
    </row>
    <row r="43" spans="1:1" x14ac:dyDescent="0.45">
      <c r="A43" t="s">
        <v>146</v>
      </c>
    </row>
    <row r="44" spans="1:1" x14ac:dyDescent="0.45">
      <c r="A44" t="s">
        <v>75</v>
      </c>
    </row>
    <row r="45" spans="1:1" x14ac:dyDescent="0.45">
      <c r="A45" t="s">
        <v>76</v>
      </c>
    </row>
    <row r="46" spans="1:1" x14ac:dyDescent="0.45">
      <c r="A46" t="s">
        <v>77</v>
      </c>
    </row>
    <row r="47" spans="1:1" x14ac:dyDescent="0.45">
      <c r="A47" t="s">
        <v>100</v>
      </c>
    </row>
    <row r="48" spans="1:1" x14ac:dyDescent="0.45">
      <c r="A48" t="s">
        <v>101</v>
      </c>
    </row>
    <row r="49" spans="1:1" x14ac:dyDescent="0.45">
      <c r="A49" t="s">
        <v>102</v>
      </c>
    </row>
    <row r="50" spans="1:1" x14ac:dyDescent="0.45">
      <c r="A50" t="s">
        <v>103</v>
      </c>
    </row>
    <row r="51" spans="1:1" x14ac:dyDescent="0.45">
      <c r="A51" t="s">
        <v>104</v>
      </c>
    </row>
    <row r="52" spans="1:1" x14ac:dyDescent="0.45">
      <c r="A52" t="s">
        <v>105</v>
      </c>
    </row>
    <row r="53" spans="1:1" x14ac:dyDescent="0.45">
      <c r="A53" t="s">
        <v>106</v>
      </c>
    </row>
    <row r="54" spans="1:1" x14ac:dyDescent="0.45">
      <c r="A54" t="s">
        <v>107</v>
      </c>
    </row>
    <row r="55" spans="1:1" x14ac:dyDescent="0.45">
      <c r="A55" s="21" t="s">
        <v>225</v>
      </c>
    </row>
    <row r="56" spans="1:1" x14ac:dyDescent="0.45">
      <c r="A56" s="21" t="s">
        <v>226</v>
      </c>
    </row>
    <row r="57" spans="1:1" x14ac:dyDescent="0.45">
      <c r="A57" s="21" t="s">
        <v>227</v>
      </c>
    </row>
    <row r="58" spans="1:1" x14ac:dyDescent="0.45">
      <c r="A58" s="21" t="s">
        <v>228</v>
      </c>
    </row>
    <row r="59" spans="1:1" x14ac:dyDescent="0.45">
      <c r="A59" s="21" t="s">
        <v>223</v>
      </c>
    </row>
    <row r="60" spans="1:1" x14ac:dyDescent="0.45">
      <c r="A60" s="21" t="s">
        <v>224</v>
      </c>
    </row>
    <row r="61" spans="1:1" x14ac:dyDescent="0.45">
      <c r="A61" t="s">
        <v>112</v>
      </c>
    </row>
    <row r="62" spans="1:1" x14ac:dyDescent="0.45">
      <c r="A62" t="s">
        <v>113</v>
      </c>
    </row>
    <row r="63" spans="1:1" x14ac:dyDescent="0.45">
      <c r="A63" t="s">
        <v>115</v>
      </c>
    </row>
    <row r="64" spans="1:1" x14ac:dyDescent="0.45">
      <c r="A64" t="s">
        <v>116</v>
      </c>
    </row>
    <row r="65" spans="1:1" x14ac:dyDescent="0.45">
      <c r="A65" t="s">
        <v>117</v>
      </c>
    </row>
    <row r="66" spans="1:1" x14ac:dyDescent="0.45">
      <c r="A66" t="s">
        <v>119</v>
      </c>
    </row>
    <row r="67" spans="1:1" x14ac:dyDescent="0.45">
      <c r="A67" t="s">
        <v>120</v>
      </c>
    </row>
    <row r="68" spans="1:1" x14ac:dyDescent="0.45">
      <c r="A68" t="s">
        <v>121</v>
      </c>
    </row>
    <row r="69" spans="1:1" x14ac:dyDescent="0.45">
      <c r="A69" t="s">
        <v>123</v>
      </c>
    </row>
    <row r="70" spans="1:1" x14ac:dyDescent="0.45">
      <c r="A70" t="s">
        <v>124</v>
      </c>
    </row>
    <row r="71" spans="1:1" x14ac:dyDescent="0.45">
      <c r="A71" t="s">
        <v>125</v>
      </c>
    </row>
    <row r="72" spans="1:1" x14ac:dyDescent="0.45">
      <c r="A72" t="s">
        <v>130</v>
      </c>
    </row>
    <row r="73" spans="1:1" x14ac:dyDescent="0.45">
      <c r="A73" t="s">
        <v>131</v>
      </c>
    </row>
    <row r="74" spans="1:1" x14ac:dyDescent="0.45">
      <c r="A74" t="s">
        <v>215</v>
      </c>
    </row>
    <row r="75" spans="1:1" x14ac:dyDescent="0.45">
      <c r="A75" t="s">
        <v>216</v>
      </c>
    </row>
    <row r="76" spans="1:1" x14ac:dyDescent="0.45">
      <c r="A76" t="s">
        <v>217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79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31.86328125" customWidth="1"/>
    <col min="2" max="2" width="8.86328125" style="1"/>
  </cols>
  <sheetData>
    <row r="1" spans="1:2" ht="25.5" x14ac:dyDescent="0.75">
      <c r="A1" s="59" t="s">
        <v>303</v>
      </c>
    </row>
    <row r="3" spans="1:2" x14ac:dyDescent="0.45">
      <c r="A3" s="65" t="s">
        <v>0</v>
      </c>
      <c r="B3" s="66" t="s">
        <v>151</v>
      </c>
    </row>
    <row r="4" spans="1:2" x14ac:dyDescent="0.45">
      <c r="A4" t="s">
        <v>141</v>
      </c>
      <c r="B4" s="1">
        <v>335.21739130434781</v>
      </c>
    </row>
    <row r="5" spans="1:2" x14ac:dyDescent="0.45">
      <c r="A5" t="s">
        <v>142</v>
      </c>
      <c r="B5" s="1">
        <v>318.68</v>
      </c>
    </row>
    <row r="6" spans="1:2" x14ac:dyDescent="0.45">
      <c r="A6" t="s">
        <v>139</v>
      </c>
      <c r="B6" s="1">
        <v>257</v>
      </c>
    </row>
    <row r="7" spans="1:2" x14ac:dyDescent="0.45">
      <c r="A7" t="s">
        <v>130</v>
      </c>
      <c r="B7" s="1">
        <v>214.48863636363632</v>
      </c>
    </row>
    <row r="8" spans="1:2" x14ac:dyDescent="0.45">
      <c r="A8" t="s">
        <v>131</v>
      </c>
      <c r="B8" s="1">
        <v>214.48863636363632</v>
      </c>
    </row>
    <row r="9" spans="1:2" x14ac:dyDescent="0.45">
      <c r="A9" t="s">
        <v>140</v>
      </c>
      <c r="B9" s="1">
        <v>200.18947368421055</v>
      </c>
    </row>
    <row r="10" spans="1:2" x14ac:dyDescent="0.45">
      <c r="A10" t="s">
        <v>138</v>
      </c>
      <c r="B10" s="1">
        <v>197.69230769230771</v>
      </c>
    </row>
    <row r="11" spans="1:2" x14ac:dyDescent="0.45">
      <c r="A11" t="s">
        <v>65</v>
      </c>
      <c r="B11" s="1">
        <v>187.86699999999999</v>
      </c>
    </row>
    <row r="12" spans="1:2" x14ac:dyDescent="0.45">
      <c r="A12" t="s">
        <v>146</v>
      </c>
      <c r="B12" s="1">
        <v>178.96246400000001</v>
      </c>
    </row>
    <row r="13" spans="1:2" x14ac:dyDescent="0.45">
      <c r="A13" t="s">
        <v>70</v>
      </c>
      <c r="B13" s="1">
        <v>154.19999999999999</v>
      </c>
    </row>
    <row r="14" spans="1:2" x14ac:dyDescent="0.45">
      <c r="A14" t="s">
        <v>64</v>
      </c>
      <c r="B14" s="1">
        <v>131.34535714285715</v>
      </c>
    </row>
    <row r="15" spans="1:2" x14ac:dyDescent="0.45">
      <c r="A15" t="s">
        <v>69</v>
      </c>
      <c r="B15" s="1">
        <v>122.38095238095238</v>
      </c>
    </row>
    <row r="16" spans="1:2" x14ac:dyDescent="0.45">
      <c r="A16" t="s">
        <v>145</v>
      </c>
      <c r="B16" s="1">
        <v>99.747479425837312</v>
      </c>
    </row>
    <row r="17" spans="1:2" x14ac:dyDescent="0.45">
      <c r="A17" t="s">
        <v>63</v>
      </c>
      <c r="B17" s="1">
        <v>86.565121951219524</v>
      </c>
    </row>
    <row r="18" spans="1:2" x14ac:dyDescent="0.45">
      <c r="A18" t="s">
        <v>144</v>
      </c>
      <c r="B18" s="1">
        <v>81.873642798353913</v>
      </c>
    </row>
    <row r="19" spans="1:2" x14ac:dyDescent="0.45">
      <c r="A19" t="s">
        <v>68</v>
      </c>
      <c r="B19" s="1">
        <v>81.23434782608696</v>
      </c>
    </row>
    <row r="20" spans="1:2" x14ac:dyDescent="0.45">
      <c r="A20" t="s">
        <v>230</v>
      </c>
      <c r="B20" s="1">
        <v>68.685660925285632</v>
      </c>
    </row>
    <row r="21" spans="1:2" x14ac:dyDescent="0.45">
      <c r="A21" t="s">
        <v>143</v>
      </c>
      <c r="B21" s="1">
        <v>66.80196491228071</v>
      </c>
    </row>
    <row r="22" spans="1:2" x14ac:dyDescent="0.45">
      <c r="A22" s="21" t="s">
        <v>225</v>
      </c>
      <c r="B22" s="1">
        <v>59.330802088277181</v>
      </c>
    </row>
    <row r="23" spans="1:2" x14ac:dyDescent="0.45">
      <c r="A23" t="s">
        <v>10</v>
      </c>
      <c r="B23" s="1">
        <v>54.798097756136805</v>
      </c>
    </row>
    <row r="24" spans="1:2" x14ac:dyDescent="0.45">
      <c r="A24" s="21" t="s">
        <v>227</v>
      </c>
      <c r="B24" s="1">
        <v>50.453156146179403</v>
      </c>
    </row>
    <row r="25" spans="1:2" x14ac:dyDescent="0.45">
      <c r="A25" t="s">
        <v>229</v>
      </c>
      <c r="B25" s="1">
        <v>49.375314264834088</v>
      </c>
    </row>
    <row r="26" spans="1:2" x14ac:dyDescent="0.45">
      <c r="A26" t="s">
        <v>9</v>
      </c>
      <c r="B26" s="1">
        <v>48.758652925863835</v>
      </c>
    </row>
    <row r="27" spans="1:2" x14ac:dyDescent="0.45">
      <c r="A27" t="s">
        <v>62</v>
      </c>
      <c r="B27" s="1">
        <v>48.462857142857139</v>
      </c>
    </row>
    <row r="28" spans="1:2" x14ac:dyDescent="0.45">
      <c r="A28" t="s">
        <v>8</v>
      </c>
      <c r="B28" s="1">
        <v>46.004217575154691</v>
      </c>
    </row>
    <row r="29" spans="1:2" x14ac:dyDescent="0.45">
      <c r="A29" t="s">
        <v>112</v>
      </c>
      <c r="B29" s="1">
        <v>45.555555555555557</v>
      </c>
    </row>
    <row r="30" spans="1:2" x14ac:dyDescent="0.45">
      <c r="A30" t="s">
        <v>67</v>
      </c>
      <c r="B30" s="1">
        <v>42.782035928143713</v>
      </c>
    </row>
    <row r="31" spans="1:2" x14ac:dyDescent="0.45">
      <c r="A31" t="s">
        <v>113</v>
      </c>
      <c r="B31" s="1">
        <v>42.708333333333336</v>
      </c>
    </row>
    <row r="32" spans="1:2" x14ac:dyDescent="0.45">
      <c r="A32" t="s">
        <v>1</v>
      </c>
      <c r="B32" s="1">
        <v>42.250964777167553</v>
      </c>
    </row>
    <row r="33" spans="1:2" x14ac:dyDescent="0.45">
      <c r="A33" t="s">
        <v>11</v>
      </c>
      <c r="B33" s="1">
        <v>41.501788075231303</v>
      </c>
    </row>
    <row r="34" spans="1:2" x14ac:dyDescent="0.45">
      <c r="A34" t="s">
        <v>5</v>
      </c>
      <c r="B34" s="1">
        <v>40.694843098538762</v>
      </c>
    </row>
    <row r="35" spans="1:2" x14ac:dyDescent="0.45">
      <c r="A35" t="s">
        <v>4</v>
      </c>
      <c r="B35" s="1">
        <v>39.469458098181555</v>
      </c>
    </row>
    <row r="36" spans="1:2" x14ac:dyDescent="0.45">
      <c r="A36" t="s">
        <v>3</v>
      </c>
      <c r="B36" s="1">
        <v>39.452350447214698</v>
      </c>
    </row>
    <row r="37" spans="1:2" x14ac:dyDescent="0.45">
      <c r="A37" t="s">
        <v>7</v>
      </c>
      <c r="B37" s="1">
        <v>38.518890565677914</v>
      </c>
    </row>
    <row r="38" spans="1:2" x14ac:dyDescent="0.45">
      <c r="A38" t="s">
        <v>2</v>
      </c>
      <c r="B38" s="1">
        <v>35.679638666152989</v>
      </c>
    </row>
    <row r="39" spans="1:2" x14ac:dyDescent="0.45">
      <c r="A39" s="21" t="s">
        <v>226</v>
      </c>
      <c r="B39" s="1">
        <v>35.602752728998581</v>
      </c>
    </row>
    <row r="40" spans="1:2" x14ac:dyDescent="0.45">
      <c r="A40" s="21" t="s">
        <v>228</v>
      </c>
      <c r="B40" s="1">
        <v>30.275526024363234</v>
      </c>
    </row>
    <row r="41" spans="1:2" x14ac:dyDescent="0.45">
      <c r="A41" t="s">
        <v>6</v>
      </c>
      <c r="B41" s="1">
        <v>26.735203350514499</v>
      </c>
    </row>
    <row r="42" spans="1:2" x14ac:dyDescent="0.45">
      <c r="A42" t="s">
        <v>12</v>
      </c>
      <c r="B42" s="1">
        <v>25.134017274645025</v>
      </c>
    </row>
    <row r="43" spans="1:2" x14ac:dyDescent="0.45">
      <c r="A43" s="21" t="s">
        <v>223</v>
      </c>
      <c r="B43" s="1">
        <v>24.93924089906233</v>
      </c>
    </row>
    <row r="44" spans="1:2" x14ac:dyDescent="0.45">
      <c r="A44" s="21" t="s">
        <v>224</v>
      </c>
      <c r="B44" s="1">
        <v>24.93924089906233</v>
      </c>
    </row>
    <row r="45" spans="1:2" x14ac:dyDescent="0.45">
      <c r="A45" t="s">
        <v>102</v>
      </c>
      <c r="B45" s="1">
        <v>22.485651214128033</v>
      </c>
    </row>
    <row r="46" spans="1:2" x14ac:dyDescent="0.45">
      <c r="A46" t="s">
        <v>13</v>
      </c>
      <c r="B46" s="1">
        <v>19.294075549449147</v>
      </c>
    </row>
    <row r="47" spans="1:2" x14ac:dyDescent="0.45">
      <c r="A47" s="16" t="s">
        <v>167</v>
      </c>
      <c r="B47" s="1">
        <v>18.256284836544904</v>
      </c>
    </row>
    <row r="48" spans="1:2" x14ac:dyDescent="0.45">
      <c r="A48" t="s">
        <v>279</v>
      </c>
      <c r="B48" s="1">
        <v>15.84</v>
      </c>
    </row>
    <row r="49" spans="1:2" x14ac:dyDescent="0.45">
      <c r="A49" t="s">
        <v>121</v>
      </c>
      <c r="B49" s="1">
        <v>15.483399032795546</v>
      </c>
    </row>
    <row r="50" spans="1:2" x14ac:dyDescent="0.45">
      <c r="A50" t="s">
        <v>103</v>
      </c>
      <c r="B50" s="1">
        <v>14.326300984528832</v>
      </c>
    </row>
    <row r="51" spans="1:2" x14ac:dyDescent="0.45">
      <c r="A51" t="s">
        <v>278</v>
      </c>
      <c r="B51" s="1">
        <v>13.81</v>
      </c>
    </row>
    <row r="52" spans="1:2" x14ac:dyDescent="0.45">
      <c r="A52" t="s">
        <v>106</v>
      </c>
      <c r="B52" s="1">
        <v>13.493009565857248</v>
      </c>
    </row>
    <row r="53" spans="1:2" x14ac:dyDescent="0.45">
      <c r="A53" t="s">
        <v>15</v>
      </c>
      <c r="B53" s="1">
        <v>13.173795911287201</v>
      </c>
    </row>
    <row r="54" spans="1:2" x14ac:dyDescent="0.45">
      <c r="A54" t="s">
        <v>120</v>
      </c>
      <c r="B54" s="1">
        <v>10.159710651440646</v>
      </c>
    </row>
    <row r="55" spans="1:2" x14ac:dyDescent="0.45">
      <c r="A55" t="s">
        <v>107</v>
      </c>
      <c r="B55" s="1">
        <v>8.5968120018752927</v>
      </c>
    </row>
    <row r="56" spans="1:2" x14ac:dyDescent="0.45">
      <c r="A56" t="s">
        <v>101</v>
      </c>
      <c r="B56" s="1">
        <v>8.4536179551122199</v>
      </c>
    </row>
    <row r="57" spans="1:2" x14ac:dyDescent="0.45">
      <c r="A57" t="s">
        <v>55</v>
      </c>
      <c r="B57" s="1">
        <v>7.4217790007871196</v>
      </c>
    </row>
    <row r="58" spans="1:2" x14ac:dyDescent="0.45">
      <c r="A58" t="s">
        <v>277</v>
      </c>
      <c r="B58" s="1">
        <v>6.77</v>
      </c>
    </row>
    <row r="59" spans="1:2" x14ac:dyDescent="0.45">
      <c r="A59" t="s">
        <v>119</v>
      </c>
      <c r="B59" s="1">
        <v>6.2990206038932</v>
      </c>
    </row>
    <row r="60" spans="1:2" x14ac:dyDescent="0.45">
      <c r="A60" t="s">
        <v>282</v>
      </c>
      <c r="B60" s="1">
        <v>5.28</v>
      </c>
    </row>
    <row r="61" spans="1:2" x14ac:dyDescent="0.45">
      <c r="A61" t="s">
        <v>105</v>
      </c>
      <c r="B61" s="1">
        <v>5.072779384871156</v>
      </c>
    </row>
    <row r="62" spans="1:2" x14ac:dyDescent="0.45">
      <c r="A62" t="s">
        <v>117</v>
      </c>
      <c r="B62" s="1">
        <v>5.0067054090299505</v>
      </c>
    </row>
    <row r="63" spans="1:2" x14ac:dyDescent="0.45">
      <c r="A63" t="s">
        <v>14</v>
      </c>
      <c r="B63" s="1">
        <v>5.0045543452898755</v>
      </c>
    </row>
    <row r="64" spans="1:2" x14ac:dyDescent="0.45">
      <c r="A64" t="s">
        <v>281</v>
      </c>
      <c r="B64" s="1">
        <v>4.5999999999999996</v>
      </c>
    </row>
    <row r="65" spans="1:2" x14ac:dyDescent="0.45">
      <c r="A65" t="s">
        <v>125</v>
      </c>
      <c r="B65" s="1">
        <v>4.2447544457162554</v>
      </c>
    </row>
    <row r="66" spans="1:2" x14ac:dyDescent="0.45">
      <c r="A66" t="s">
        <v>39</v>
      </c>
      <c r="B66" s="1">
        <v>3.3282690406976747</v>
      </c>
    </row>
    <row r="67" spans="1:2" x14ac:dyDescent="0.45">
      <c r="A67" t="s">
        <v>38</v>
      </c>
      <c r="B67" s="1">
        <v>3.1179819767441863</v>
      </c>
    </row>
    <row r="68" spans="1:2" x14ac:dyDescent="0.45">
      <c r="A68" t="s">
        <v>160</v>
      </c>
      <c r="B68" s="1">
        <v>2.3624282476252865</v>
      </c>
    </row>
    <row r="69" spans="1:2" x14ac:dyDescent="0.45">
      <c r="A69" t="s">
        <v>100</v>
      </c>
      <c r="B69" s="1">
        <v>2.2759740648379054</v>
      </c>
    </row>
    <row r="70" spans="1:2" x14ac:dyDescent="0.45">
      <c r="A70" t="s">
        <v>280</v>
      </c>
      <c r="B70" s="1">
        <v>2.2599999999999998</v>
      </c>
    </row>
    <row r="71" spans="1:2" x14ac:dyDescent="0.45">
      <c r="A71" t="s">
        <v>161</v>
      </c>
      <c r="B71" s="1">
        <v>2.1133726363833949</v>
      </c>
    </row>
    <row r="72" spans="1:2" x14ac:dyDescent="0.45">
      <c r="A72" t="s">
        <v>116</v>
      </c>
      <c r="B72" s="1">
        <v>2.0116227089852479</v>
      </c>
    </row>
    <row r="73" spans="1:2" x14ac:dyDescent="0.45">
      <c r="A73" t="s">
        <v>104</v>
      </c>
      <c r="B73" s="1">
        <v>1.3657482959268499</v>
      </c>
    </row>
    <row r="74" spans="1:2" x14ac:dyDescent="0.45">
      <c r="A74" t="s">
        <v>75</v>
      </c>
      <c r="B74" s="1">
        <v>1.0972969014830507</v>
      </c>
    </row>
    <row r="75" spans="1:2" x14ac:dyDescent="0.45">
      <c r="A75" t="s">
        <v>124</v>
      </c>
      <c r="B75" s="1">
        <v>0.9922802600375662</v>
      </c>
    </row>
    <row r="76" spans="1:2" x14ac:dyDescent="0.45">
      <c r="A76" t="s">
        <v>76</v>
      </c>
      <c r="B76" s="1">
        <v>0.92182088967736397</v>
      </c>
    </row>
    <row r="77" spans="1:2" x14ac:dyDescent="0.45">
      <c r="A77" t="s">
        <v>77</v>
      </c>
      <c r="B77" s="1">
        <v>0.75007531557316875</v>
      </c>
    </row>
    <row r="78" spans="1:2" x14ac:dyDescent="0.45">
      <c r="A78" t="s">
        <v>115</v>
      </c>
      <c r="B78" s="1">
        <v>0.67054090299508262</v>
      </c>
    </row>
    <row r="79" spans="1:2" x14ac:dyDescent="0.45">
      <c r="A79" t="s">
        <v>123</v>
      </c>
      <c r="B79" s="1">
        <v>0.4961401300187831</v>
      </c>
    </row>
  </sheetData>
  <sortState xmlns:xlrd2="http://schemas.microsoft.com/office/spreadsheetml/2017/richdata2" ref="A2:B77">
    <sortCondition descending="1" ref="B2:B77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79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31.86328125" customWidth="1"/>
    <col min="2" max="2" width="8.86328125" style="1"/>
  </cols>
  <sheetData>
    <row r="1" spans="1:2" ht="25.5" x14ac:dyDescent="0.75">
      <c r="A1" s="59" t="s">
        <v>302</v>
      </c>
    </row>
    <row r="3" spans="1:2" x14ac:dyDescent="0.45">
      <c r="A3" s="65" t="s">
        <v>0</v>
      </c>
      <c r="B3" s="67" t="s">
        <v>197</v>
      </c>
    </row>
    <row r="4" spans="1:2" x14ac:dyDescent="0.45">
      <c r="A4" t="s">
        <v>141</v>
      </c>
      <c r="B4" s="1">
        <v>304.74308300395251</v>
      </c>
    </row>
    <row r="5" spans="1:2" x14ac:dyDescent="0.45">
      <c r="A5" t="s">
        <v>142</v>
      </c>
      <c r="B5" s="1">
        <v>289.70909090909089</v>
      </c>
    </row>
    <row r="6" spans="1:2" x14ac:dyDescent="0.45">
      <c r="A6" t="s">
        <v>139</v>
      </c>
      <c r="B6" s="1">
        <v>233.63636363636363</v>
      </c>
    </row>
    <row r="7" spans="1:2" x14ac:dyDescent="0.45">
      <c r="A7" t="s">
        <v>140</v>
      </c>
      <c r="B7" s="1">
        <v>181.99043062200957</v>
      </c>
    </row>
    <row r="8" spans="1:2" x14ac:dyDescent="0.45">
      <c r="A8" t="s">
        <v>138</v>
      </c>
      <c r="B8" s="1">
        <v>179.72027972027973</v>
      </c>
    </row>
    <row r="9" spans="1:2" x14ac:dyDescent="0.45">
      <c r="A9" t="s">
        <v>65</v>
      </c>
      <c r="B9" s="1">
        <v>170.78818181818181</v>
      </c>
    </row>
    <row r="10" spans="1:2" x14ac:dyDescent="0.45">
      <c r="A10" t="s">
        <v>146</v>
      </c>
      <c r="B10" s="1">
        <v>162.69314909090909</v>
      </c>
    </row>
    <row r="11" spans="1:2" x14ac:dyDescent="0.45">
      <c r="A11" t="s">
        <v>70</v>
      </c>
      <c r="B11" s="1">
        <v>140.18181818181816</v>
      </c>
    </row>
    <row r="12" spans="1:2" x14ac:dyDescent="0.45">
      <c r="A12" t="s">
        <v>64</v>
      </c>
      <c r="B12" s="1">
        <v>119.40487012987013</v>
      </c>
    </row>
    <row r="13" spans="1:2" x14ac:dyDescent="0.45">
      <c r="A13" t="s">
        <v>69</v>
      </c>
      <c r="B13" s="1">
        <v>111.25541125541125</v>
      </c>
    </row>
    <row r="14" spans="1:2" x14ac:dyDescent="0.45">
      <c r="A14" t="s">
        <v>130</v>
      </c>
      <c r="B14" s="1">
        <v>102.13744588744585</v>
      </c>
    </row>
    <row r="15" spans="1:2" x14ac:dyDescent="0.45">
      <c r="A15" t="s">
        <v>131</v>
      </c>
      <c r="B15" s="1">
        <v>102.13744588744585</v>
      </c>
    </row>
    <row r="16" spans="1:2" x14ac:dyDescent="0.45">
      <c r="A16" t="s">
        <v>145</v>
      </c>
      <c r="B16" s="1">
        <v>90.679526750761184</v>
      </c>
    </row>
    <row r="17" spans="1:2" x14ac:dyDescent="0.45">
      <c r="A17" t="s">
        <v>63</v>
      </c>
      <c r="B17" s="1">
        <v>78.695565410199549</v>
      </c>
    </row>
    <row r="18" spans="1:2" x14ac:dyDescent="0.45">
      <c r="A18" t="s">
        <v>144</v>
      </c>
      <c r="B18" s="1">
        <v>74.430584362139911</v>
      </c>
    </row>
    <row r="19" spans="1:2" x14ac:dyDescent="0.45">
      <c r="A19" t="s">
        <v>68</v>
      </c>
      <c r="B19" s="1">
        <v>73.849407114624498</v>
      </c>
    </row>
    <row r="20" spans="1:2" x14ac:dyDescent="0.45">
      <c r="A20" t="s">
        <v>230</v>
      </c>
      <c r="B20" s="1">
        <v>62.441509932077842</v>
      </c>
    </row>
    <row r="21" spans="1:2" x14ac:dyDescent="0.45">
      <c r="A21" t="s">
        <v>143</v>
      </c>
      <c r="B21" s="1">
        <v>60.729059011164281</v>
      </c>
    </row>
    <row r="22" spans="1:2" x14ac:dyDescent="0.45">
      <c r="A22" s="21" t="s">
        <v>225</v>
      </c>
      <c r="B22" s="1">
        <v>53.937092807524706</v>
      </c>
    </row>
    <row r="23" spans="1:2" x14ac:dyDescent="0.45">
      <c r="A23" t="s">
        <v>10</v>
      </c>
      <c r="B23" s="1">
        <v>49.816452505578908</v>
      </c>
    </row>
    <row r="24" spans="1:2" x14ac:dyDescent="0.45">
      <c r="A24" s="21" t="s">
        <v>227</v>
      </c>
      <c r="B24" s="1">
        <v>45.86650558743581</v>
      </c>
    </row>
    <row r="25" spans="1:2" x14ac:dyDescent="0.45">
      <c r="A25" t="s">
        <v>229</v>
      </c>
      <c r="B25" s="1">
        <v>44.88664933166735</v>
      </c>
    </row>
    <row r="26" spans="1:2" x14ac:dyDescent="0.45">
      <c r="A26" t="s">
        <v>9</v>
      </c>
      <c r="B26" s="1">
        <v>44.326048114421653</v>
      </c>
    </row>
    <row r="27" spans="1:2" x14ac:dyDescent="0.45">
      <c r="A27" t="s">
        <v>62</v>
      </c>
      <c r="B27" s="1">
        <v>44.05714285714285</v>
      </c>
    </row>
    <row r="28" spans="1:2" x14ac:dyDescent="0.45">
      <c r="A28" t="s">
        <v>8</v>
      </c>
      <c r="B28" s="1">
        <v>41.822015977413351</v>
      </c>
    </row>
    <row r="29" spans="1:2" x14ac:dyDescent="0.45">
      <c r="A29" t="s">
        <v>67</v>
      </c>
      <c r="B29" s="1">
        <v>38.8927599346761</v>
      </c>
    </row>
    <row r="30" spans="1:2" x14ac:dyDescent="0.45">
      <c r="A30" t="s">
        <v>1</v>
      </c>
      <c r="B30" s="1">
        <v>38.409967979243227</v>
      </c>
    </row>
    <row r="31" spans="1:2" x14ac:dyDescent="0.45">
      <c r="A31" t="s">
        <v>11</v>
      </c>
      <c r="B31" s="1">
        <v>37.728898250210271</v>
      </c>
    </row>
    <row r="32" spans="1:2" x14ac:dyDescent="0.45">
      <c r="A32" t="s">
        <v>5</v>
      </c>
      <c r="B32" s="1">
        <v>36.995311907762506</v>
      </c>
    </row>
    <row r="33" spans="1:2" x14ac:dyDescent="0.45">
      <c r="A33" t="s">
        <v>4</v>
      </c>
      <c r="B33" s="1">
        <v>35.881325543801417</v>
      </c>
    </row>
    <row r="34" spans="1:2" x14ac:dyDescent="0.45">
      <c r="A34" t="s">
        <v>3</v>
      </c>
      <c r="B34" s="1">
        <v>35.865773133831539</v>
      </c>
    </row>
    <row r="35" spans="1:2" x14ac:dyDescent="0.45">
      <c r="A35" t="s">
        <v>7</v>
      </c>
      <c r="B35" s="1">
        <v>35.01717324152537</v>
      </c>
    </row>
    <row r="36" spans="1:2" x14ac:dyDescent="0.45">
      <c r="A36" t="s">
        <v>2</v>
      </c>
      <c r="B36" s="1">
        <v>32.436035151048173</v>
      </c>
    </row>
    <row r="37" spans="1:2" x14ac:dyDescent="0.45">
      <c r="A37" s="21" t="s">
        <v>226</v>
      </c>
      <c r="B37" s="1">
        <v>32.366138844544167</v>
      </c>
    </row>
    <row r="38" spans="1:2" x14ac:dyDescent="0.45">
      <c r="A38" s="21" t="s">
        <v>228</v>
      </c>
      <c r="B38" s="1">
        <v>27.523205476693846</v>
      </c>
    </row>
    <row r="39" spans="1:2" x14ac:dyDescent="0.45">
      <c r="A39" t="s">
        <v>6</v>
      </c>
      <c r="B39" s="1">
        <v>24.304730318649543</v>
      </c>
    </row>
    <row r="40" spans="1:2" x14ac:dyDescent="0.45">
      <c r="A40" t="s">
        <v>12</v>
      </c>
      <c r="B40" s="1">
        <v>22.849106613313658</v>
      </c>
    </row>
    <row r="41" spans="1:2" x14ac:dyDescent="0.45">
      <c r="A41" t="s">
        <v>112</v>
      </c>
      <c r="B41" s="1">
        <v>21.693121693121693</v>
      </c>
    </row>
    <row r="42" spans="1:2" x14ac:dyDescent="0.45">
      <c r="A42" t="s">
        <v>113</v>
      </c>
      <c r="B42" s="1">
        <v>20.337301587301585</v>
      </c>
    </row>
    <row r="43" spans="1:2" x14ac:dyDescent="0.45">
      <c r="A43" t="s">
        <v>13</v>
      </c>
      <c r="B43" s="1">
        <v>17.5400686813174</v>
      </c>
    </row>
    <row r="44" spans="1:2" x14ac:dyDescent="0.45">
      <c r="A44" s="16" t="s">
        <v>167</v>
      </c>
      <c r="B44" s="1">
        <v>16.596622578677184</v>
      </c>
    </row>
    <row r="45" spans="1:2" x14ac:dyDescent="0.45">
      <c r="A45" t="s">
        <v>121</v>
      </c>
      <c r="B45" s="1">
        <v>15.483399032795546</v>
      </c>
    </row>
    <row r="46" spans="1:2" x14ac:dyDescent="0.45">
      <c r="A46" t="s">
        <v>15</v>
      </c>
      <c r="B46" s="1">
        <v>11.976178101170182</v>
      </c>
    </row>
    <row r="47" spans="1:2" x14ac:dyDescent="0.45">
      <c r="A47" s="21" t="s">
        <v>223</v>
      </c>
      <c r="B47" s="1">
        <v>11.875828999553489</v>
      </c>
    </row>
    <row r="48" spans="1:2" x14ac:dyDescent="0.45">
      <c r="A48" s="21" t="s">
        <v>224</v>
      </c>
      <c r="B48" s="1">
        <v>11.875828999553489</v>
      </c>
    </row>
    <row r="49" spans="1:2" x14ac:dyDescent="0.45">
      <c r="A49" t="s">
        <v>102</v>
      </c>
      <c r="B49" s="1">
        <v>10.707452959108586</v>
      </c>
    </row>
    <row r="50" spans="1:2" x14ac:dyDescent="0.45">
      <c r="A50" t="s">
        <v>120</v>
      </c>
      <c r="B50" s="1">
        <v>10.159710651440646</v>
      </c>
    </row>
    <row r="51" spans="1:2" x14ac:dyDescent="0.45">
      <c r="A51" t="s">
        <v>101</v>
      </c>
      <c r="B51" s="1">
        <v>7.6851072319201998</v>
      </c>
    </row>
    <row r="52" spans="1:2" x14ac:dyDescent="0.45">
      <c r="A52" t="s">
        <v>279</v>
      </c>
      <c r="B52" s="1">
        <v>7.54</v>
      </c>
    </row>
    <row r="53" spans="1:2" x14ac:dyDescent="0.45">
      <c r="A53" t="s">
        <v>103</v>
      </c>
      <c r="B53" s="1">
        <v>6.8220480878708729</v>
      </c>
    </row>
    <row r="54" spans="1:2" x14ac:dyDescent="0.45">
      <c r="A54" t="s">
        <v>55</v>
      </c>
      <c r="B54" s="1">
        <v>6.7470718188973819</v>
      </c>
    </row>
    <row r="55" spans="1:2" x14ac:dyDescent="0.45">
      <c r="A55" t="s">
        <v>278</v>
      </c>
      <c r="B55" s="1">
        <v>6.57</v>
      </c>
    </row>
    <row r="56" spans="1:2" x14ac:dyDescent="0.45">
      <c r="A56" t="s">
        <v>106</v>
      </c>
      <c r="B56" s="1">
        <v>6.4252426504082134</v>
      </c>
    </row>
    <row r="57" spans="1:2" x14ac:dyDescent="0.45">
      <c r="A57" t="s">
        <v>119</v>
      </c>
      <c r="B57" s="1">
        <v>6.2990206038932</v>
      </c>
    </row>
    <row r="58" spans="1:2" x14ac:dyDescent="0.45">
      <c r="A58" t="s">
        <v>117</v>
      </c>
      <c r="B58" s="1">
        <v>5.0067054090299505</v>
      </c>
    </row>
    <row r="59" spans="1:2" x14ac:dyDescent="0.45">
      <c r="A59" t="s">
        <v>282</v>
      </c>
      <c r="B59" s="1">
        <v>4.8899999999999997</v>
      </c>
    </row>
    <row r="60" spans="1:2" x14ac:dyDescent="0.45">
      <c r="A60" t="s">
        <v>105</v>
      </c>
      <c r="B60" s="1">
        <v>4.611617622610142</v>
      </c>
    </row>
    <row r="61" spans="1:2" x14ac:dyDescent="0.45">
      <c r="A61" t="s">
        <v>14</v>
      </c>
      <c r="B61" s="1">
        <v>4.549594859354432</v>
      </c>
    </row>
    <row r="62" spans="1:2" x14ac:dyDescent="0.45">
      <c r="A62" t="s">
        <v>125</v>
      </c>
      <c r="B62" s="1">
        <v>4.2447544457162554</v>
      </c>
    </row>
    <row r="63" spans="1:2" x14ac:dyDescent="0.45">
      <c r="A63" t="s">
        <v>281</v>
      </c>
      <c r="B63" s="1">
        <v>4.18</v>
      </c>
    </row>
    <row r="64" spans="1:2" x14ac:dyDescent="0.45">
      <c r="A64" t="s">
        <v>107</v>
      </c>
      <c r="B64" s="1">
        <v>4.093720000892997</v>
      </c>
    </row>
    <row r="65" spans="1:2" x14ac:dyDescent="0.45">
      <c r="A65" t="s">
        <v>277</v>
      </c>
      <c r="B65" s="1">
        <v>3.22</v>
      </c>
    </row>
    <row r="66" spans="1:2" x14ac:dyDescent="0.45">
      <c r="A66" t="s">
        <v>39</v>
      </c>
      <c r="B66" s="1">
        <v>3.0256991279069769</v>
      </c>
    </row>
    <row r="67" spans="1:2" x14ac:dyDescent="0.45">
      <c r="A67" t="s">
        <v>38</v>
      </c>
      <c r="B67" s="1">
        <v>2.8345290697674419</v>
      </c>
    </row>
    <row r="68" spans="1:2" x14ac:dyDescent="0.45">
      <c r="A68" t="s">
        <v>160</v>
      </c>
      <c r="B68" s="1">
        <v>2.147662043295715</v>
      </c>
    </row>
    <row r="69" spans="1:2" x14ac:dyDescent="0.45">
      <c r="A69" t="s">
        <v>100</v>
      </c>
      <c r="B69" s="1">
        <v>2.0690673316708232</v>
      </c>
    </row>
    <row r="70" spans="1:2" x14ac:dyDescent="0.45">
      <c r="A70" t="s">
        <v>280</v>
      </c>
      <c r="B70" s="1">
        <v>2.0499999999999998</v>
      </c>
    </row>
    <row r="71" spans="1:2" x14ac:dyDescent="0.45">
      <c r="A71" t="s">
        <v>116</v>
      </c>
      <c r="B71" s="1">
        <v>2.0116227089852479</v>
      </c>
    </row>
    <row r="72" spans="1:2" x14ac:dyDescent="0.45">
      <c r="A72" t="s">
        <v>161</v>
      </c>
      <c r="B72" s="1">
        <v>1.9212478512576314</v>
      </c>
    </row>
    <row r="73" spans="1:2" x14ac:dyDescent="0.45">
      <c r="A73" t="s">
        <v>104</v>
      </c>
      <c r="B73" s="1">
        <v>1.2415893599334999</v>
      </c>
    </row>
    <row r="74" spans="1:2" x14ac:dyDescent="0.45">
      <c r="A74" t="s">
        <v>75</v>
      </c>
      <c r="B74" s="1">
        <v>0.99754263771186413</v>
      </c>
    </row>
    <row r="75" spans="1:2" x14ac:dyDescent="0.45">
      <c r="A75" t="s">
        <v>124</v>
      </c>
      <c r="B75" s="1">
        <v>0.9922802600375662</v>
      </c>
    </row>
    <row r="76" spans="1:2" x14ac:dyDescent="0.45">
      <c r="A76" t="s">
        <v>76</v>
      </c>
      <c r="B76" s="1">
        <v>0.83801899061578533</v>
      </c>
    </row>
    <row r="77" spans="1:2" x14ac:dyDescent="0.45">
      <c r="A77" t="s">
        <v>77</v>
      </c>
      <c r="B77" s="1">
        <v>0.68188665052106245</v>
      </c>
    </row>
    <row r="78" spans="1:2" x14ac:dyDescent="0.45">
      <c r="A78" t="s">
        <v>115</v>
      </c>
      <c r="B78" s="1">
        <v>0.67054090299508262</v>
      </c>
    </row>
    <row r="79" spans="1:2" x14ac:dyDescent="0.45">
      <c r="A79" t="s">
        <v>123</v>
      </c>
      <c r="B79" s="1">
        <v>0.4961401300187831</v>
      </c>
    </row>
  </sheetData>
  <sortState xmlns:xlrd2="http://schemas.microsoft.com/office/spreadsheetml/2017/richdata2" ref="A2:B77">
    <sortCondition descending="1" ref="B2:B77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L26"/>
  <sheetViews>
    <sheetView workbookViewId="0">
      <pane xSplit="1" topLeftCell="B1" activePane="topRight" state="frozen"/>
      <selection pane="topRight" activeCell="A2" sqref="A2"/>
    </sheetView>
  </sheetViews>
  <sheetFormatPr baseColWidth="10" defaultColWidth="8.86328125" defaultRowHeight="14.25" x14ac:dyDescent="0.45"/>
  <cols>
    <col min="1" max="1" width="29.1328125" style="21" customWidth="1"/>
    <col min="2" max="2" width="9" style="21" bestFit="1" customWidth="1"/>
    <col min="3" max="3" width="13" style="21" customWidth="1"/>
    <col min="4" max="4" width="13.265625" style="21" customWidth="1"/>
    <col min="5" max="5" width="12.59765625" style="21" customWidth="1"/>
    <col min="6" max="6" width="14.265625" style="21" customWidth="1"/>
    <col min="7" max="7" width="9" style="21" bestFit="1" customWidth="1"/>
    <col min="8" max="8" width="9" style="44" bestFit="1" customWidth="1"/>
    <col min="9" max="12" width="13.1328125" style="21" customWidth="1"/>
    <col min="13" max="13" width="11.265625" style="21" customWidth="1"/>
    <col min="14" max="14" width="9.59765625" style="21" bestFit="1" customWidth="1"/>
    <col min="15" max="16" width="9" style="21" bestFit="1" customWidth="1"/>
    <col min="17" max="17" width="11.86328125" style="45" customWidth="1"/>
    <col min="18" max="18" width="11.86328125" style="22" customWidth="1"/>
    <col min="19" max="19" width="11.86328125" style="26" customWidth="1"/>
    <col min="20" max="20" width="10.265625" style="35" bestFit="1" customWidth="1"/>
    <col min="21" max="21" width="9" style="22" bestFit="1" customWidth="1"/>
    <col min="22" max="22" width="15.73046875" style="37" customWidth="1"/>
    <col min="23" max="23" width="18" style="36" customWidth="1"/>
    <col min="24" max="24" width="15.265625" style="45" customWidth="1"/>
    <col min="25" max="25" width="14.59765625" style="21" customWidth="1"/>
    <col min="26" max="26" width="10.265625" style="21" customWidth="1"/>
    <col min="27" max="27" width="16.86328125" style="45" customWidth="1"/>
    <col min="28" max="28" width="18.265625" style="21" customWidth="1"/>
    <col min="29" max="29" width="9" style="21" bestFit="1" customWidth="1"/>
    <col min="30" max="30" width="24" style="44" customWidth="1"/>
    <col min="31" max="31" width="24" style="21" customWidth="1"/>
    <col min="32" max="32" width="10.265625" style="22" customWidth="1"/>
    <col min="33" max="33" width="25.59765625" style="44" customWidth="1"/>
    <col min="34" max="34" width="15.86328125" style="21" customWidth="1"/>
    <col min="35" max="36" width="11.73046875" style="21" customWidth="1"/>
    <col min="37" max="37" width="11.86328125" style="21" customWidth="1"/>
    <col min="38" max="38" width="9" style="21" bestFit="1" customWidth="1"/>
    <col min="39" max="16384" width="8.86328125" style="21"/>
  </cols>
  <sheetData>
    <row r="1" spans="1:38" ht="25.5" x14ac:dyDescent="0.75">
      <c r="A1" s="68" t="s">
        <v>304</v>
      </c>
    </row>
    <row r="3" spans="1:38" x14ac:dyDescent="0.45">
      <c r="A3" s="21" t="s">
        <v>0</v>
      </c>
      <c r="B3" s="63" t="s">
        <v>16</v>
      </c>
      <c r="C3" s="63" t="s">
        <v>17</v>
      </c>
      <c r="D3" s="63" t="s">
        <v>18</v>
      </c>
      <c r="E3" s="63" t="s">
        <v>19</v>
      </c>
      <c r="F3" s="63" t="s">
        <v>20</v>
      </c>
      <c r="G3" s="63" t="s">
        <v>21</v>
      </c>
      <c r="H3" s="70" t="s">
        <v>27</v>
      </c>
      <c r="I3" s="63" t="s">
        <v>28</v>
      </c>
      <c r="J3" s="63" t="s">
        <v>245</v>
      </c>
      <c r="K3" s="63" t="s">
        <v>156</v>
      </c>
      <c r="L3" s="63" t="s">
        <v>133</v>
      </c>
      <c r="M3" s="63" t="s">
        <v>251</v>
      </c>
      <c r="N3" s="63" t="s">
        <v>287</v>
      </c>
      <c r="O3" s="137" t="s">
        <v>246</v>
      </c>
      <c r="P3" s="137"/>
      <c r="Q3" s="71" t="s">
        <v>289</v>
      </c>
      <c r="R3" s="72" t="s">
        <v>288</v>
      </c>
      <c r="S3" s="63" t="s">
        <v>137</v>
      </c>
      <c r="T3" s="73" t="s">
        <v>239</v>
      </c>
      <c r="U3" s="74" t="s">
        <v>32</v>
      </c>
      <c r="V3" s="75" t="s">
        <v>221</v>
      </c>
      <c r="W3" s="76" t="s">
        <v>222</v>
      </c>
      <c r="X3" s="77" t="s">
        <v>188</v>
      </c>
      <c r="Y3" s="63" t="s">
        <v>194</v>
      </c>
      <c r="Z3" s="63" t="s">
        <v>151</v>
      </c>
      <c r="AA3" s="70" t="s">
        <v>240</v>
      </c>
      <c r="AB3" s="63" t="s">
        <v>199</v>
      </c>
      <c r="AC3" s="63" t="s">
        <v>197</v>
      </c>
      <c r="AD3" s="70" t="s">
        <v>200</v>
      </c>
      <c r="AE3" s="63" t="s">
        <v>232</v>
      </c>
      <c r="AF3" s="74" t="s">
        <v>234</v>
      </c>
      <c r="AG3" s="70" t="s">
        <v>201</v>
      </c>
      <c r="AH3" s="63" t="s">
        <v>233</v>
      </c>
      <c r="AI3" s="63" t="s">
        <v>235</v>
      </c>
    </row>
    <row r="4" spans="1:38" x14ac:dyDescent="0.45">
      <c r="A4" s="69"/>
      <c r="B4" s="64"/>
      <c r="C4" s="64" t="s">
        <v>22</v>
      </c>
      <c r="D4" s="64" t="s">
        <v>23</v>
      </c>
      <c r="E4" s="64"/>
      <c r="F4" s="64"/>
      <c r="G4" s="64"/>
      <c r="H4" s="78"/>
      <c r="I4" s="64" t="s">
        <v>29</v>
      </c>
      <c r="J4" s="64"/>
      <c r="K4" s="64" t="s">
        <v>157</v>
      </c>
      <c r="L4" s="64" t="s">
        <v>29</v>
      </c>
      <c r="M4" s="64" t="s">
        <v>30</v>
      </c>
      <c r="N4" s="64" t="s">
        <v>30</v>
      </c>
      <c r="O4" s="64"/>
      <c r="P4" s="64" t="s">
        <v>31</v>
      </c>
      <c r="Q4" s="79"/>
      <c r="R4" s="80"/>
      <c r="S4" s="81" t="s">
        <v>29</v>
      </c>
      <c r="T4" s="82" t="s">
        <v>34</v>
      </c>
      <c r="U4" s="83" t="s">
        <v>33</v>
      </c>
      <c r="V4" s="84" t="s">
        <v>36</v>
      </c>
      <c r="W4" s="85" t="s">
        <v>43</v>
      </c>
      <c r="X4" s="86" t="s">
        <v>37</v>
      </c>
      <c r="Y4" s="64" t="s">
        <v>132</v>
      </c>
      <c r="Z4" s="64" t="s">
        <v>152</v>
      </c>
      <c r="AA4" s="86" t="s">
        <v>37</v>
      </c>
      <c r="AB4" s="64" t="s">
        <v>132</v>
      </c>
      <c r="AC4" s="64" t="s">
        <v>152</v>
      </c>
      <c r="AD4" s="78" t="s">
        <v>166</v>
      </c>
      <c r="AE4" s="64" t="s">
        <v>231</v>
      </c>
      <c r="AF4" s="83"/>
      <c r="AG4" s="78" t="s">
        <v>166</v>
      </c>
      <c r="AH4" s="64" t="s">
        <v>231</v>
      </c>
      <c r="AI4" s="64"/>
    </row>
    <row r="5" spans="1:38" x14ac:dyDescent="0.45">
      <c r="A5" s="21" t="s">
        <v>1</v>
      </c>
      <c r="B5" s="21">
        <v>7.01</v>
      </c>
      <c r="C5" s="21">
        <v>33.909999999999997</v>
      </c>
      <c r="D5" s="21">
        <v>122.4</v>
      </c>
      <c r="E5" s="22">
        <f>(C5^2)/D5</f>
        <v>9.39451062091503</v>
      </c>
      <c r="F5" s="21" t="s">
        <v>25</v>
      </c>
      <c r="G5" s="21">
        <f>IF(F5="Short Range",15.15,IF(F5="Medium Range",16.19,17.25))</f>
        <v>16.190000000000001</v>
      </c>
      <c r="H5" s="45">
        <f>G5*((E5/B5)^0.5)</f>
        <v>18.742387842772473</v>
      </c>
      <c r="I5" s="22">
        <v>231.48</v>
      </c>
      <c r="J5" s="130">
        <f>1/H5</f>
        <v>5.3354994485701281E-2</v>
      </c>
      <c r="K5" s="132">
        <f>1/I5</f>
        <v>4.3200276481769485E-3</v>
      </c>
      <c r="L5" s="26">
        <f>H5*I5</f>
        <v>4338.4879378449723</v>
      </c>
      <c r="M5" s="21">
        <v>25300</v>
      </c>
      <c r="N5" s="21">
        <v>89000</v>
      </c>
      <c r="O5" s="37">
        <f>M5/N5</f>
        <v>0.28426966292134831</v>
      </c>
      <c r="P5" s="21">
        <f>O5*100</f>
        <v>28.426966292134832</v>
      </c>
      <c r="Q5" s="50">
        <f t="shared" ref="Q5:Q19" si="0">O5*H5</f>
        <v>5.327892274406107</v>
      </c>
      <c r="R5" s="37">
        <f>1/Q5</f>
        <v>0.18769148257815868</v>
      </c>
      <c r="S5" s="134">
        <f>I5*Q5</f>
        <v>1233.3005036795255</v>
      </c>
      <c r="T5" s="35">
        <v>1.6018000000000001E-5</v>
      </c>
      <c r="U5" s="22">
        <f t="shared" ref="U5:U17" si="1">H5*I5/(T5*9.81*N5)</f>
        <v>310.22092679759339</v>
      </c>
      <c r="V5" s="37">
        <f>1/U5</f>
        <v>3.2235091627215062E-3</v>
      </c>
      <c r="W5" s="36">
        <f>V5/M5</f>
        <v>1.2741142935658128E-7</v>
      </c>
      <c r="X5" s="45">
        <f t="shared" ref="X5:X17" si="2">V5*43000000/M5</f>
        <v>5.4786914623329954</v>
      </c>
      <c r="Y5" s="21">
        <f>1/X5</f>
        <v>0.18252533599951423</v>
      </c>
      <c r="Z5" s="21">
        <f>Y5*I5</f>
        <v>42.250964777167553</v>
      </c>
      <c r="AA5" s="45">
        <f>X5*1.1</f>
        <v>6.0265606085662951</v>
      </c>
      <c r="AB5" s="21">
        <f>1/AA5</f>
        <v>0.16593212363592202</v>
      </c>
      <c r="AC5" s="21">
        <f t="shared" ref="AC5:AC17" si="3">AB5*I5</f>
        <v>38.409967979243227</v>
      </c>
      <c r="AD5" s="47">
        <f t="shared" ref="AD5:AD19" si="4">3.15*1.1*W5*10^7</f>
        <v>4.4148060272055414</v>
      </c>
      <c r="AE5" s="136">
        <f>1/AD5</f>
        <v>0.22651051797919516</v>
      </c>
      <c r="AF5" s="22">
        <f>I5*AE5</f>
        <v>52.432654701824092</v>
      </c>
      <c r="AG5" s="44">
        <f>2.8*AD5/1.1</f>
        <v>11.237688069250467</v>
      </c>
      <c r="AH5" s="136">
        <f>1/AG5</f>
        <v>8.8986274920398123E-2</v>
      </c>
      <c r="AI5" s="21">
        <f>I5*AH5</f>
        <v>20.598542918573756</v>
      </c>
      <c r="AK5" s="21" t="s">
        <v>163</v>
      </c>
      <c r="AL5" s="21">
        <v>43</v>
      </c>
    </row>
    <row r="6" spans="1:38" x14ac:dyDescent="0.45">
      <c r="A6" s="21" t="s">
        <v>2</v>
      </c>
      <c r="B6" s="21">
        <v>6.35</v>
      </c>
      <c r="C6" s="21">
        <v>33.909999999999997</v>
      </c>
      <c r="D6" s="21">
        <v>122.4</v>
      </c>
      <c r="E6" s="26">
        <f t="shared" ref="E6:E19" si="5">(C6^2)/D6</f>
        <v>9.39451062091503</v>
      </c>
      <c r="F6" s="21" t="s">
        <v>25</v>
      </c>
      <c r="G6" s="21">
        <f t="shared" ref="G6:G19" si="6">IF(F6="Short Range",15.15,IF(F6="Medium Range",16.19,17.25))</f>
        <v>16.190000000000001</v>
      </c>
      <c r="H6" s="45">
        <f t="shared" ref="H6:H19" si="7">G6*((E6/B6)^0.5)</f>
        <v>19.692328277035298</v>
      </c>
      <c r="I6" s="26">
        <v>230.45</v>
      </c>
      <c r="J6" s="131">
        <f t="shared" ref="J6:J19" si="8">1/H6</f>
        <v>5.0781196917490709E-2</v>
      </c>
      <c r="K6" s="133">
        <f t="shared" ref="K6:K19" si="9">1/I6</f>
        <v>4.3393360815795184E-3</v>
      </c>
      <c r="L6" s="26">
        <f t="shared" ref="L6:L19" si="10">H6*I6</f>
        <v>4538.0970514427845</v>
      </c>
      <c r="M6" s="21">
        <v>16200</v>
      </c>
      <c r="N6" s="21">
        <v>73500</v>
      </c>
      <c r="O6" s="129">
        <f t="shared" ref="O6:O19" si="11">M6/N6</f>
        <v>0.22040816326530613</v>
      </c>
      <c r="P6" s="21">
        <f t="shared" ref="P6:P19" si="12">O6*100</f>
        <v>22.040816326530614</v>
      </c>
      <c r="Q6" s="50">
        <f t="shared" si="0"/>
        <v>4.3403499059588002</v>
      </c>
      <c r="R6" s="37">
        <f t="shared" ref="R6:R19" si="13">1/Q6</f>
        <v>0.23039617119972639</v>
      </c>
      <c r="S6" s="135">
        <f t="shared" ref="S6:S19" si="14">I6*Q6</f>
        <v>1000.2336358282055</v>
      </c>
      <c r="T6" s="38">
        <v>1.5315114809968934E-5</v>
      </c>
      <c r="U6" s="27">
        <f t="shared" si="1"/>
        <v>410.95775111083765</v>
      </c>
      <c r="V6" s="37">
        <f t="shared" ref="V6:V17" si="15">1/U6</f>
        <v>2.4333401603862056E-3</v>
      </c>
      <c r="W6" s="36">
        <f t="shared" ref="W6:W19" si="16">V6/M6</f>
        <v>1.5020618273988922E-7</v>
      </c>
      <c r="X6" s="45">
        <f t="shared" si="2"/>
        <v>6.4588658578152378</v>
      </c>
      <c r="Y6" s="21">
        <f t="shared" ref="Y6:Y19" si="17">1/X6</f>
        <v>0.1548259434417574</v>
      </c>
      <c r="Z6" s="21">
        <f t="shared" ref="Z6:Z19" si="18">Y6*I6</f>
        <v>35.679638666152989</v>
      </c>
      <c r="AA6" s="45">
        <f t="shared" ref="AA6:AA17" si="19">X6*1.1</f>
        <v>7.1047524435967624</v>
      </c>
      <c r="AB6" s="21">
        <f t="shared" ref="AB6:AB17" si="20">1/AA6</f>
        <v>0.14075085767432491</v>
      </c>
      <c r="AC6" s="21">
        <f t="shared" si="3"/>
        <v>32.436035151048173</v>
      </c>
      <c r="AD6" s="47">
        <f t="shared" si="4"/>
        <v>5.204644231937162</v>
      </c>
      <c r="AE6" s="136">
        <f t="shared" ref="AE6:AE21" si="21">1/AD6</f>
        <v>0.19213609142844357</v>
      </c>
      <c r="AF6" s="22">
        <f t="shared" ref="AF6:AF21" si="22">I6*AE6</f>
        <v>44.277762269684821</v>
      </c>
      <c r="AG6" s="44">
        <f t="shared" ref="AG6:AG19" si="23">2.8*AD6/1.1</f>
        <v>13.248185317658228</v>
      </c>
      <c r="AH6" s="136">
        <f t="shared" ref="AH6:AH21" si="24">1/AG6</f>
        <v>7.5482035918317134E-2</v>
      </c>
      <c r="AI6" s="21">
        <f t="shared" ref="AI6:AI21" si="25">I6*AH6</f>
        <v>17.394835177376184</v>
      </c>
    </row>
    <row r="7" spans="1:38" x14ac:dyDescent="0.45">
      <c r="A7" s="21" t="s">
        <v>3</v>
      </c>
      <c r="B7" s="21">
        <v>5.95</v>
      </c>
      <c r="C7" s="21">
        <v>44.84</v>
      </c>
      <c r="D7" s="21">
        <v>260</v>
      </c>
      <c r="E7" s="22">
        <f t="shared" si="5"/>
        <v>7.7331753846153859</v>
      </c>
      <c r="F7" s="21" t="s">
        <v>25</v>
      </c>
      <c r="G7" s="21">
        <f t="shared" si="6"/>
        <v>16.190000000000001</v>
      </c>
      <c r="H7" s="45">
        <f t="shared" si="7"/>
        <v>18.457262797838368</v>
      </c>
      <c r="I7" s="22">
        <v>246.91</v>
      </c>
      <c r="J7" s="130">
        <f t="shared" si="8"/>
        <v>5.417921448878734E-2</v>
      </c>
      <c r="K7" s="132">
        <f t="shared" si="9"/>
        <v>4.0500587258515252E-3</v>
      </c>
      <c r="L7" s="26">
        <f t="shared" si="10"/>
        <v>4557.2827574142711</v>
      </c>
      <c r="M7" s="21">
        <v>41100</v>
      </c>
      <c r="N7" s="21">
        <v>170500</v>
      </c>
      <c r="O7" s="37">
        <f t="shared" si="11"/>
        <v>0.24105571847507332</v>
      </c>
      <c r="P7" s="21">
        <f t="shared" si="12"/>
        <v>24.105571847507331</v>
      </c>
      <c r="Q7" s="50">
        <f t="shared" si="0"/>
        <v>4.4492287448161694</v>
      </c>
      <c r="R7" s="37">
        <f t="shared" si="13"/>
        <v>0.22475805523937328</v>
      </c>
      <c r="S7" s="134">
        <f t="shared" si="14"/>
        <v>1098.5590693825604</v>
      </c>
      <c r="T7" s="39">
        <v>1.6298654293177945E-5</v>
      </c>
      <c r="U7" s="27">
        <f t="shared" si="1"/>
        <v>167.17095999795743</v>
      </c>
      <c r="V7" s="37">
        <f t="shared" si="15"/>
        <v>5.9819002057068908E-3</v>
      </c>
      <c r="W7" s="36">
        <f t="shared" si="16"/>
        <v>1.4554501717048397E-7</v>
      </c>
      <c r="X7" s="45">
        <f t="shared" si="2"/>
        <v>6.2584357383308102</v>
      </c>
      <c r="Y7" s="21">
        <f t="shared" si="17"/>
        <v>0.15978433618409421</v>
      </c>
      <c r="Z7" s="21">
        <f t="shared" si="18"/>
        <v>39.452350447214698</v>
      </c>
      <c r="AA7" s="45">
        <f t="shared" si="19"/>
        <v>6.8842793121638914</v>
      </c>
      <c r="AB7" s="21">
        <f t="shared" si="20"/>
        <v>0.14525848744008563</v>
      </c>
      <c r="AC7" s="21">
        <f t="shared" si="3"/>
        <v>35.865773133831539</v>
      </c>
      <c r="AD7" s="47">
        <f t="shared" si="4"/>
        <v>5.0431348449572697</v>
      </c>
      <c r="AE7" s="136">
        <f t="shared" si="21"/>
        <v>0.19828936380710102</v>
      </c>
      <c r="AF7" s="22">
        <f t="shared" si="22"/>
        <v>48.959626817611316</v>
      </c>
      <c r="AG7" s="44">
        <f t="shared" si="23"/>
        <v>12.837070514436684</v>
      </c>
      <c r="AH7" s="136">
        <f t="shared" si="24"/>
        <v>7.7899392924218269E-2</v>
      </c>
      <c r="AI7" s="21">
        <f t="shared" si="25"/>
        <v>19.234139106918732</v>
      </c>
    </row>
    <row r="8" spans="1:38" x14ac:dyDescent="0.45">
      <c r="A8" s="21" t="s">
        <v>4</v>
      </c>
      <c r="B8" s="21">
        <v>5.97</v>
      </c>
      <c r="C8" s="21">
        <v>43.89</v>
      </c>
      <c r="D8" s="21">
        <v>219</v>
      </c>
      <c r="E8" s="22">
        <f t="shared" si="5"/>
        <v>8.7960369863013703</v>
      </c>
      <c r="F8" s="21" t="s">
        <v>25</v>
      </c>
      <c r="G8" s="21">
        <f t="shared" si="6"/>
        <v>16.190000000000001</v>
      </c>
      <c r="H8" s="45">
        <f t="shared" si="7"/>
        <v>19.65183941380317</v>
      </c>
      <c r="I8" s="22">
        <v>248.97</v>
      </c>
      <c r="J8" s="130">
        <f t="shared" si="8"/>
        <v>5.0885821878720136E-2</v>
      </c>
      <c r="K8" s="132">
        <f t="shared" si="9"/>
        <v>4.0165481784954007E-3</v>
      </c>
      <c r="L8" s="26">
        <f t="shared" si="10"/>
        <v>4892.7184588545751</v>
      </c>
      <c r="M8" s="21">
        <v>33300</v>
      </c>
      <c r="N8" s="21">
        <v>150000</v>
      </c>
      <c r="O8" s="37">
        <f t="shared" si="11"/>
        <v>0.222</v>
      </c>
      <c r="P8" s="21">
        <f t="shared" si="12"/>
        <v>22.2</v>
      </c>
      <c r="Q8" s="50">
        <f t="shared" si="0"/>
        <v>4.3627083498643042</v>
      </c>
      <c r="R8" s="37">
        <f t="shared" si="13"/>
        <v>0.22921541386810868</v>
      </c>
      <c r="S8" s="134">
        <f t="shared" si="14"/>
        <v>1086.1834978657157</v>
      </c>
      <c r="T8" s="39">
        <v>1.6242452036994572E-5</v>
      </c>
      <c r="U8" s="27">
        <f t="shared" si="1"/>
        <v>204.7096739131959</v>
      </c>
      <c r="V8" s="37">
        <f t="shared" si="15"/>
        <v>4.8849669919558136E-3</v>
      </c>
      <c r="W8" s="36">
        <f t="shared" si="16"/>
        <v>1.4669570546413855E-7</v>
      </c>
      <c r="X8" s="45">
        <f t="shared" si="2"/>
        <v>6.3079153349579578</v>
      </c>
      <c r="Y8" s="21">
        <f t="shared" si="17"/>
        <v>0.15853098003045168</v>
      </c>
      <c r="Z8" s="21">
        <f t="shared" si="18"/>
        <v>39.469458098181555</v>
      </c>
      <c r="AA8" s="45">
        <f t="shared" si="19"/>
        <v>6.9387068684537541</v>
      </c>
      <c r="AB8" s="21">
        <f t="shared" si="20"/>
        <v>0.14411907275495608</v>
      </c>
      <c r="AC8" s="21">
        <f t="shared" si="3"/>
        <v>35.881325543801417</v>
      </c>
      <c r="AD8" s="47">
        <f t="shared" si="4"/>
        <v>5.083006194332401</v>
      </c>
      <c r="AE8" s="136">
        <f t="shared" si="21"/>
        <v>0.19673397233216228</v>
      </c>
      <c r="AF8" s="22">
        <f t="shared" si="22"/>
        <v>48.980857091538439</v>
      </c>
      <c r="AG8" s="44">
        <f t="shared" si="23"/>
        <v>12.93856122193702</v>
      </c>
      <c r="AH8" s="136">
        <f t="shared" si="24"/>
        <v>7.7288346273349462E-2</v>
      </c>
      <c r="AI8" s="21">
        <f t="shared" si="25"/>
        <v>19.242479571675815</v>
      </c>
    </row>
    <row r="9" spans="1:38" x14ac:dyDescent="0.45">
      <c r="A9" s="21" t="s">
        <v>5</v>
      </c>
      <c r="B9" s="21">
        <v>5.51</v>
      </c>
      <c r="C9" s="21">
        <v>58</v>
      </c>
      <c r="D9" s="21">
        <v>363.1</v>
      </c>
      <c r="E9" s="22">
        <f t="shared" si="5"/>
        <v>9.2646653814376201</v>
      </c>
      <c r="F9" s="21" t="s">
        <v>26</v>
      </c>
      <c r="G9" s="21">
        <f t="shared" si="6"/>
        <v>17.25</v>
      </c>
      <c r="H9" s="45">
        <f t="shared" si="7"/>
        <v>22.368052278099565</v>
      </c>
      <c r="I9" s="22">
        <v>257.2</v>
      </c>
      <c r="J9" s="130">
        <f t="shared" si="8"/>
        <v>4.4706619403741932E-2</v>
      </c>
      <c r="K9" s="132">
        <f t="shared" si="9"/>
        <v>3.8880248833592537E-3</v>
      </c>
      <c r="L9" s="26">
        <f t="shared" si="10"/>
        <v>5753.0630459272079</v>
      </c>
      <c r="M9" s="21">
        <v>48150</v>
      </c>
      <c r="N9" s="21">
        <v>271000</v>
      </c>
      <c r="O9" s="37">
        <f t="shared" si="11"/>
        <v>0.17767527675276754</v>
      </c>
      <c r="P9" s="21">
        <f t="shared" si="12"/>
        <v>17.767527675276753</v>
      </c>
      <c r="Q9" s="50">
        <f t="shared" si="0"/>
        <v>3.9742498789317127</v>
      </c>
      <c r="R9" s="37">
        <f t="shared" si="13"/>
        <v>0.25161981014359425</v>
      </c>
      <c r="S9" s="134">
        <f t="shared" si="14"/>
        <v>1022.1770688612364</v>
      </c>
      <c r="T9" s="39">
        <v>1.5315114809968934E-5</v>
      </c>
      <c r="U9" s="22">
        <f t="shared" si="1"/>
        <v>141.29948476501204</v>
      </c>
      <c r="V9" s="37">
        <f t="shared" si="15"/>
        <v>7.0771666412163424E-3</v>
      </c>
      <c r="W9" s="36">
        <f t="shared" si="16"/>
        <v>1.4698165402318467E-7</v>
      </c>
      <c r="X9" s="45">
        <f t="shared" si="2"/>
        <v>6.3202111229969411</v>
      </c>
      <c r="Y9" s="21">
        <f t="shared" si="17"/>
        <v>0.15822256259151929</v>
      </c>
      <c r="Z9" s="21">
        <f t="shared" si="18"/>
        <v>40.694843098538762</v>
      </c>
      <c r="AA9" s="45">
        <f t="shared" si="19"/>
        <v>6.9522322352966359</v>
      </c>
      <c r="AB9" s="21">
        <f t="shared" si="20"/>
        <v>0.14383869326501753</v>
      </c>
      <c r="AC9" s="21">
        <f t="shared" si="3"/>
        <v>36.995311907762506</v>
      </c>
      <c r="AD9" s="47">
        <f t="shared" si="4"/>
        <v>5.0929143119033498</v>
      </c>
      <c r="AE9" s="136">
        <f t="shared" si="21"/>
        <v>0.19635123207605568</v>
      </c>
      <c r="AF9" s="22">
        <f t="shared" si="22"/>
        <v>50.501536889961521</v>
      </c>
      <c r="AG9" s="44">
        <f t="shared" si="23"/>
        <v>12.96378188484489</v>
      </c>
      <c r="AH9" s="136">
        <f t="shared" si="24"/>
        <v>7.7137984029879023E-2</v>
      </c>
      <c r="AI9" s="21">
        <f t="shared" si="25"/>
        <v>19.839889492484883</v>
      </c>
    </row>
    <row r="10" spans="1:38" x14ac:dyDescent="0.45">
      <c r="A10" s="21" t="s">
        <v>6</v>
      </c>
      <c r="B10" s="21">
        <v>6.3</v>
      </c>
      <c r="C10" s="21">
        <v>62.3</v>
      </c>
      <c r="D10" s="21">
        <v>525</v>
      </c>
      <c r="E10" s="22">
        <f t="shared" si="5"/>
        <v>7.3929333333333327</v>
      </c>
      <c r="F10" s="21" t="s">
        <v>26</v>
      </c>
      <c r="G10" s="21">
        <f t="shared" si="6"/>
        <v>17.25</v>
      </c>
      <c r="H10" s="45">
        <f t="shared" si="7"/>
        <v>18.686467920217915</v>
      </c>
      <c r="I10" s="22">
        <v>252.58</v>
      </c>
      <c r="J10" s="130">
        <f t="shared" si="8"/>
        <v>5.3514661212033826E-2</v>
      </c>
      <c r="K10" s="132">
        <f t="shared" si="9"/>
        <v>3.9591416580885266E-3</v>
      </c>
      <c r="L10" s="26">
        <f t="shared" si="10"/>
        <v>4719.8280672886413</v>
      </c>
      <c r="M10" s="21">
        <v>61186</v>
      </c>
      <c r="N10" s="21">
        <v>396830</v>
      </c>
      <c r="O10" s="37">
        <f t="shared" si="11"/>
        <v>0.1541869314315954</v>
      </c>
      <c r="P10" s="21">
        <f t="shared" si="12"/>
        <v>15.41869314315954</v>
      </c>
      <c r="Q10" s="50">
        <f t="shared" si="0"/>
        <v>2.8812091479133466</v>
      </c>
      <c r="R10" s="37">
        <f t="shared" si="13"/>
        <v>0.3470765045724738</v>
      </c>
      <c r="S10" s="134">
        <f t="shared" si="14"/>
        <v>727.73580657995308</v>
      </c>
      <c r="T10" s="39">
        <v>1.6298654293177945E-5</v>
      </c>
      <c r="U10" s="22">
        <f t="shared" si="1"/>
        <v>74.387664904832249</v>
      </c>
      <c r="V10" s="37">
        <f t="shared" si="15"/>
        <v>1.3443089002448842E-2</v>
      </c>
      <c r="W10" s="36">
        <f t="shared" si="16"/>
        <v>2.1970857716550913E-7</v>
      </c>
      <c r="X10" s="45">
        <f t="shared" si="2"/>
        <v>9.4474688181168922</v>
      </c>
      <c r="Y10" s="21">
        <f t="shared" si="17"/>
        <v>0.1058484573224899</v>
      </c>
      <c r="Z10" s="21">
        <f t="shared" si="18"/>
        <v>26.735203350514499</v>
      </c>
      <c r="AA10" s="45">
        <f t="shared" si="19"/>
        <v>10.392215699928583</v>
      </c>
      <c r="AB10" s="21">
        <f t="shared" si="20"/>
        <v>9.622587029317263E-2</v>
      </c>
      <c r="AC10" s="21">
        <f t="shared" si="3"/>
        <v>24.304730318649543</v>
      </c>
      <c r="AD10" s="47">
        <f t="shared" si="4"/>
        <v>7.6129021987848926</v>
      </c>
      <c r="AE10" s="136">
        <f t="shared" si="21"/>
        <v>0.13135594992401342</v>
      </c>
      <c r="AF10" s="22">
        <f t="shared" si="22"/>
        <v>33.177885831807309</v>
      </c>
      <c r="AG10" s="44">
        <f t="shared" si="23"/>
        <v>19.378296505997906</v>
      </c>
      <c r="AH10" s="136">
        <f t="shared" si="24"/>
        <v>5.1604123184433852E-2</v>
      </c>
      <c r="AI10" s="21">
        <f t="shared" si="25"/>
        <v>13.034169433924303</v>
      </c>
    </row>
    <row r="11" spans="1:38" x14ac:dyDescent="0.45">
      <c r="A11" s="21" t="s">
        <v>7</v>
      </c>
      <c r="B11" s="21">
        <v>5.61</v>
      </c>
      <c r="C11" s="21">
        <v>38.049999999999997</v>
      </c>
      <c r="D11" s="21">
        <v>185.25</v>
      </c>
      <c r="E11" s="22">
        <f t="shared" si="5"/>
        <v>7.8153981106612678</v>
      </c>
      <c r="F11" s="21" t="s">
        <v>25</v>
      </c>
      <c r="G11" s="21">
        <f t="shared" si="6"/>
        <v>16.190000000000001</v>
      </c>
      <c r="H11" s="45">
        <f t="shared" si="7"/>
        <v>19.109132461803778</v>
      </c>
      <c r="I11" s="22">
        <v>263.89</v>
      </c>
      <c r="J11" s="130">
        <f t="shared" si="8"/>
        <v>5.2330999431755808E-2</v>
      </c>
      <c r="K11" s="132">
        <f t="shared" si="9"/>
        <v>3.7894577285990379E-3</v>
      </c>
      <c r="L11" s="26">
        <f t="shared" si="10"/>
        <v>5042.7089653453986</v>
      </c>
      <c r="M11" s="21">
        <v>25690</v>
      </c>
      <c r="N11" s="21">
        <v>115900</v>
      </c>
      <c r="O11" s="37">
        <f t="shared" si="11"/>
        <v>0.22165660051768765</v>
      </c>
      <c r="P11" s="21">
        <f t="shared" si="12"/>
        <v>22.165660051768764</v>
      </c>
      <c r="Q11" s="50">
        <f t="shared" si="0"/>
        <v>4.2356653403256175</v>
      </c>
      <c r="R11" s="37">
        <f t="shared" si="13"/>
        <v>0.23609041783341761</v>
      </c>
      <c r="S11" s="135">
        <f t="shared" si="14"/>
        <v>1117.7497266585272</v>
      </c>
      <c r="T11" s="40">
        <v>1.8153328747229231E-5</v>
      </c>
      <c r="U11" s="22">
        <f t="shared" si="1"/>
        <v>244.31784448035245</v>
      </c>
      <c r="V11" s="37">
        <f t="shared" si="15"/>
        <v>4.0930289071882259E-3</v>
      </c>
      <c r="W11" s="36">
        <f t="shared" si="16"/>
        <v>1.5932381888626805E-7</v>
      </c>
      <c r="X11" s="45">
        <f t="shared" si="2"/>
        <v>6.8509242121095255</v>
      </c>
      <c r="Y11" s="21">
        <f t="shared" si="17"/>
        <v>0.14596570755116872</v>
      </c>
      <c r="Z11" s="21">
        <f t="shared" si="18"/>
        <v>38.518890565677914</v>
      </c>
      <c r="AA11" s="45">
        <f t="shared" si="19"/>
        <v>7.5360166333204788</v>
      </c>
      <c r="AB11" s="21">
        <f t="shared" si="20"/>
        <v>0.13269609777378974</v>
      </c>
      <c r="AC11" s="21">
        <f t="shared" si="3"/>
        <v>35.01717324152537</v>
      </c>
      <c r="AD11" s="47">
        <f t="shared" si="4"/>
        <v>5.5205703244091886</v>
      </c>
      <c r="AE11" s="136">
        <f t="shared" si="21"/>
        <v>0.18114070489755421</v>
      </c>
      <c r="AF11" s="22">
        <f t="shared" si="22"/>
        <v>47.801220615415581</v>
      </c>
      <c r="AG11" s="44">
        <f t="shared" si="23"/>
        <v>14.05236082576884</v>
      </c>
      <c r="AH11" s="136">
        <f t="shared" si="24"/>
        <v>7.1162419781182026E-2</v>
      </c>
      <c r="AI11" s="21">
        <f t="shared" si="25"/>
        <v>18.779050956056125</v>
      </c>
    </row>
    <row r="12" spans="1:38" x14ac:dyDescent="0.45">
      <c r="A12" s="21" t="s">
        <v>8</v>
      </c>
      <c r="B12" s="21">
        <v>5.96</v>
      </c>
      <c r="C12" s="21">
        <v>28.9</v>
      </c>
      <c r="D12" s="21">
        <v>91.04</v>
      </c>
      <c r="E12" s="26">
        <f t="shared" si="5"/>
        <v>9.174099297012301</v>
      </c>
      <c r="F12" s="21" t="s">
        <v>25</v>
      </c>
      <c r="G12" s="21">
        <f t="shared" si="6"/>
        <v>16.190000000000001</v>
      </c>
      <c r="H12" s="45">
        <f t="shared" si="7"/>
        <v>20.086554021884766</v>
      </c>
      <c r="I12" s="26">
        <v>252.57</v>
      </c>
      <c r="J12" s="131">
        <f t="shared" si="8"/>
        <v>4.978454735991434E-2</v>
      </c>
      <c r="K12" s="133">
        <f t="shared" si="9"/>
        <v>3.9592984123213368E-3</v>
      </c>
      <c r="L12" s="26">
        <f t="shared" si="10"/>
        <v>5073.2609493074351</v>
      </c>
      <c r="M12" s="21">
        <v>16030.000000000002</v>
      </c>
      <c r="N12" s="21">
        <v>56470</v>
      </c>
      <c r="O12" s="129">
        <f t="shared" si="11"/>
        <v>0.283867540286878</v>
      </c>
      <c r="P12" s="21">
        <f t="shared" si="12"/>
        <v>28.3867540286878</v>
      </c>
      <c r="Q12" s="50">
        <f t="shared" si="0"/>
        <v>5.7019206830319247</v>
      </c>
      <c r="R12" s="37">
        <f t="shared" si="13"/>
        <v>0.17537950027538135</v>
      </c>
      <c r="S12" s="135">
        <f t="shared" si="14"/>
        <v>1440.1341069133732</v>
      </c>
      <c r="T12" s="41">
        <v>1.8743452437154639E-5</v>
      </c>
      <c r="U12" s="22">
        <f t="shared" si="1"/>
        <v>488.5970243937615</v>
      </c>
      <c r="V12" s="37">
        <f t="shared" si="15"/>
        <v>2.0466764021757479E-3</v>
      </c>
      <c r="W12" s="36">
        <f t="shared" si="16"/>
        <v>1.2767787911264802E-7</v>
      </c>
      <c r="X12" s="45">
        <f t="shared" si="2"/>
        <v>5.4901488018438647</v>
      </c>
      <c r="Y12" s="21">
        <f t="shared" si="17"/>
        <v>0.18214442560539532</v>
      </c>
      <c r="Z12" s="21">
        <f t="shared" si="18"/>
        <v>46.004217575154691</v>
      </c>
      <c r="AA12" s="45">
        <f t="shared" si="19"/>
        <v>6.0391636820282519</v>
      </c>
      <c r="AB12" s="21">
        <f t="shared" si="20"/>
        <v>0.16558584145945027</v>
      </c>
      <c r="AC12" s="21">
        <f t="shared" si="3"/>
        <v>41.822015977413351</v>
      </c>
      <c r="AD12" s="47">
        <f t="shared" si="4"/>
        <v>4.4240385112532543</v>
      </c>
      <c r="AE12" s="136">
        <f t="shared" si="21"/>
        <v>0.22603781532559877</v>
      </c>
      <c r="AF12" s="22">
        <f t="shared" si="22"/>
        <v>57.090371016786477</v>
      </c>
      <c r="AG12" s="44">
        <f t="shared" si="23"/>
        <v>11.261188937735556</v>
      </c>
      <c r="AH12" s="136">
        <f t="shared" si="24"/>
        <v>8.8800570306485235E-2</v>
      </c>
      <c r="AI12" s="21">
        <f t="shared" si="25"/>
        <v>22.428360042308974</v>
      </c>
    </row>
    <row r="13" spans="1:38" x14ac:dyDescent="0.45">
      <c r="A13" s="21" t="s">
        <v>9</v>
      </c>
      <c r="B13" s="21">
        <v>5.44</v>
      </c>
      <c r="C13" s="21">
        <v>47.57</v>
      </c>
      <c r="D13" s="21">
        <v>283.3</v>
      </c>
      <c r="E13" s="22">
        <f t="shared" si="5"/>
        <v>7.9876629015178251</v>
      </c>
      <c r="F13" s="21" t="s">
        <v>26</v>
      </c>
      <c r="G13" s="21">
        <f t="shared" si="6"/>
        <v>17.25</v>
      </c>
      <c r="H13" s="45">
        <f t="shared" si="7"/>
        <v>20.902561683939609</v>
      </c>
      <c r="I13" s="22">
        <v>251.03</v>
      </c>
      <c r="J13" s="130">
        <f t="shared" si="8"/>
        <v>4.7841026144099151E-2</v>
      </c>
      <c r="K13" s="132">
        <f t="shared" si="9"/>
        <v>3.9835876190096797E-3</v>
      </c>
      <c r="L13" s="26">
        <f t="shared" si="10"/>
        <v>5247.1700595193597</v>
      </c>
      <c r="M13" s="21">
        <v>39140</v>
      </c>
      <c r="N13" s="21">
        <v>156489</v>
      </c>
      <c r="O13" s="37">
        <f t="shared" si="11"/>
        <v>0.25011342650282131</v>
      </c>
      <c r="P13" s="21">
        <f t="shared" si="12"/>
        <v>25.011342650282131</v>
      </c>
      <c r="Q13" s="50">
        <f t="shared" si="0"/>
        <v>5.228011325456718</v>
      </c>
      <c r="R13" s="37">
        <f t="shared" si="13"/>
        <v>0.19127732090607899</v>
      </c>
      <c r="S13" s="134">
        <f t="shared" si="14"/>
        <v>1312.3876830294</v>
      </c>
      <c r="T13" s="39">
        <v>1.6017643012261085E-5</v>
      </c>
      <c r="U13" s="22">
        <f t="shared" si="1"/>
        <v>213.38982480704229</v>
      </c>
      <c r="V13" s="37">
        <f t="shared" si="15"/>
        <v>4.6862590608725127E-3</v>
      </c>
      <c r="W13" s="36">
        <f t="shared" si="16"/>
        <v>1.1973068627676323E-7</v>
      </c>
      <c r="X13" s="45">
        <f t="shared" si="2"/>
        <v>5.148419509900819</v>
      </c>
      <c r="Y13" s="21">
        <f t="shared" si="17"/>
        <v>0.19423436611506129</v>
      </c>
      <c r="Z13" s="21">
        <f t="shared" si="18"/>
        <v>48.758652925863835</v>
      </c>
      <c r="AA13" s="45">
        <f t="shared" si="19"/>
        <v>5.6632614608909018</v>
      </c>
      <c r="AB13" s="21">
        <f t="shared" si="20"/>
        <v>0.17657669646823748</v>
      </c>
      <c r="AC13" s="21">
        <f t="shared" si="3"/>
        <v>44.326048114421653</v>
      </c>
      <c r="AD13" s="47">
        <f t="shared" si="4"/>
        <v>4.1486682794898462</v>
      </c>
      <c r="AE13" s="136">
        <f t="shared" si="21"/>
        <v>0.24104120470267343</v>
      </c>
      <c r="AF13" s="22">
        <f t="shared" si="22"/>
        <v>60.508573616512109</v>
      </c>
      <c r="AG13" s="44">
        <f t="shared" si="23"/>
        <v>10.560246529610515</v>
      </c>
      <c r="AH13" s="136">
        <f t="shared" si="24"/>
        <v>9.4694758990336012E-2</v>
      </c>
      <c r="AI13" s="21">
        <f t="shared" si="25"/>
        <v>23.77122534934405</v>
      </c>
    </row>
    <row r="14" spans="1:38" x14ac:dyDescent="0.45">
      <c r="A14" s="21" t="s">
        <v>10</v>
      </c>
      <c r="B14" s="21">
        <v>6.56</v>
      </c>
      <c r="C14" s="21">
        <v>32.869999999999997</v>
      </c>
      <c r="D14" s="21">
        <v>112.3</v>
      </c>
      <c r="E14" s="22">
        <f t="shared" si="5"/>
        <v>9.6209875333926984</v>
      </c>
      <c r="F14" s="21" t="s">
        <v>24</v>
      </c>
      <c r="G14" s="21">
        <f t="shared" si="6"/>
        <v>15.15</v>
      </c>
      <c r="H14" s="45">
        <f t="shared" si="7"/>
        <v>18.347231428402672</v>
      </c>
      <c r="I14" s="22">
        <v>224.79</v>
      </c>
      <c r="J14" s="130">
        <f t="shared" si="8"/>
        <v>5.4504136163668643E-2</v>
      </c>
      <c r="K14" s="132">
        <f t="shared" si="9"/>
        <v>4.4485964678144044E-3</v>
      </c>
      <c r="L14" s="26">
        <f t="shared" si="10"/>
        <v>4124.2741527906364</v>
      </c>
      <c r="M14" s="21">
        <v>17350</v>
      </c>
      <c r="N14" s="21">
        <v>70760</v>
      </c>
      <c r="O14" s="37">
        <f t="shared" si="11"/>
        <v>0.24519502543810062</v>
      </c>
      <c r="P14" s="21">
        <f t="shared" si="12"/>
        <v>24.519502543810063</v>
      </c>
      <c r="Q14" s="50">
        <f t="shared" si="0"/>
        <v>4.4986498768059127</v>
      </c>
      <c r="R14" s="37">
        <f t="shared" si="13"/>
        <v>0.22228891498220132</v>
      </c>
      <c r="S14" s="134">
        <f t="shared" si="14"/>
        <v>1011.2515058072011</v>
      </c>
      <c r="T14" s="39">
        <v>9.8340683596998734E-6</v>
      </c>
      <c r="U14" s="27">
        <f t="shared" si="1"/>
        <v>604.16765632268834</v>
      </c>
      <c r="V14" s="37">
        <f t="shared" si="15"/>
        <v>1.6551697025401441E-3</v>
      </c>
      <c r="W14" s="36">
        <f t="shared" si="16"/>
        <v>9.539883011758756E-8</v>
      </c>
      <c r="X14" s="45">
        <f t="shared" si="2"/>
        <v>4.1021496950562648</v>
      </c>
      <c r="Y14" s="21">
        <f t="shared" si="17"/>
        <v>0.24377462412089865</v>
      </c>
      <c r="Z14" s="21">
        <f t="shared" si="18"/>
        <v>54.798097756136805</v>
      </c>
      <c r="AA14" s="45">
        <f t="shared" si="19"/>
        <v>4.5123646645618916</v>
      </c>
      <c r="AB14" s="21">
        <f t="shared" si="20"/>
        <v>0.22161329465536239</v>
      </c>
      <c r="AC14" s="21">
        <f t="shared" si="3"/>
        <v>49.816452505578908</v>
      </c>
      <c r="AD14" s="47">
        <f t="shared" si="4"/>
        <v>3.3055694635744093</v>
      </c>
      <c r="AE14" s="136">
        <f t="shared" si="21"/>
        <v>0.30251973556128831</v>
      </c>
      <c r="AF14" s="22">
        <f t="shared" si="22"/>
        <v>68.003411356821999</v>
      </c>
      <c r="AG14" s="44">
        <f t="shared" si="23"/>
        <v>8.4141768163712225</v>
      </c>
      <c r="AH14" s="136">
        <f t="shared" si="24"/>
        <v>0.11884703897050615</v>
      </c>
      <c r="AI14" s="21">
        <f t="shared" si="25"/>
        <v>26.715625890180075</v>
      </c>
    </row>
    <row r="15" spans="1:38" x14ac:dyDescent="0.45">
      <c r="A15" s="21" t="s">
        <v>11</v>
      </c>
      <c r="B15" s="21">
        <v>5.56</v>
      </c>
      <c r="C15" s="21">
        <v>51.77</v>
      </c>
      <c r="D15" s="21">
        <v>338.9</v>
      </c>
      <c r="E15" s="22">
        <f t="shared" si="5"/>
        <v>7.9083295957509607</v>
      </c>
      <c r="F15" s="21" t="s">
        <v>26</v>
      </c>
      <c r="G15" s="21">
        <f t="shared" si="6"/>
        <v>17.25</v>
      </c>
      <c r="H15" s="45">
        <f t="shared" si="7"/>
        <v>20.572832216787269</v>
      </c>
      <c r="I15" s="22">
        <v>262.42</v>
      </c>
      <c r="J15" s="130">
        <f t="shared" si="8"/>
        <v>4.8607794467113177E-2</v>
      </c>
      <c r="K15" s="132">
        <f t="shared" si="9"/>
        <v>3.8106851611919819E-3</v>
      </c>
      <c r="L15" s="26">
        <f t="shared" si="10"/>
        <v>5398.7226303293155</v>
      </c>
      <c r="M15" s="21">
        <v>55566</v>
      </c>
      <c r="N15" s="21">
        <v>283720</v>
      </c>
      <c r="O15" s="37">
        <f t="shared" si="11"/>
        <v>0.19584801917383335</v>
      </c>
      <c r="P15" s="21">
        <f t="shared" si="12"/>
        <v>19.584801917383334</v>
      </c>
      <c r="Q15" s="50">
        <f t="shared" si="0"/>
        <v>4.0291484384534098</v>
      </c>
      <c r="R15" s="37">
        <f t="shared" si="13"/>
        <v>0.24819140204818327</v>
      </c>
      <c r="S15" s="134">
        <f t="shared" si="14"/>
        <v>1057.3291332189438</v>
      </c>
      <c r="T15" s="39">
        <v>1.5849036243710968E-5</v>
      </c>
      <c r="U15" s="22">
        <f t="shared" si="1"/>
        <v>122.38528350416416</v>
      </c>
      <c r="V15" s="37">
        <f t="shared" si="15"/>
        <v>8.1709170528331942E-3</v>
      </c>
      <c r="W15" s="36">
        <f t="shared" si="16"/>
        <v>1.4704886176498569E-7</v>
      </c>
      <c r="X15" s="45">
        <f t="shared" si="2"/>
        <v>6.3231010558943845</v>
      </c>
      <c r="Y15" s="21">
        <f t="shared" si="17"/>
        <v>0.15815024798121827</v>
      </c>
      <c r="Z15" s="21">
        <f t="shared" si="18"/>
        <v>41.501788075231303</v>
      </c>
      <c r="AA15" s="45">
        <f t="shared" si="19"/>
        <v>6.9554111614838234</v>
      </c>
      <c r="AB15" s="21">
        <f t="shared" si="20"/>
        <v>0.14377295271019841</v>
      </c>
      <c r="AC15" s="21">
        <f t="shared" si="3"/>
        <v>37.728898250210271</v>
      </c>
      <c r="AD15" s="47">
        <f t="shared" si="4"/>
        <v>5.0952430601567542</v>
      </c>
      <c r="AE15" s="136">
        <f t="shared" si="21"/>
        <v>0.19626149100122325</v>
      </c>
      <c r="AF15" s="22">
        <f t="shared" si="22"/>
        <v>51.502940468541013</v>
      </c>
      <c r="AG15" s="44">
        <f t="shared" si="23"/>
        <v>12.969709607671737</v>
      </c>
      <c r="AH15" s="136">
        <f t="shared" si="24"/>
        <v>7.7102728607623419E-2</v>
      </c>
      <c r="AI15" s="21">
        <f t="shared" si="25"/>
        <v>20.233298041212539</v>
      </c>
    </row>
    <row r="16" spans="1:38" x14ac:dyDescent="0.45">
      <c r="A16" s="21" t="s">
        <v>12</v>
      </c>
      <c r="B16" s="21">
        <v>6.26</v>
      </c>
      <c r="C16" s="21">
        <v>28.08</v>
      </c>
      <c r="D16" s="21">
        <v>93.5</v>
      </c>
      <c r="E16" s="22">
        <f t="shared" si="5"/>
        <v>8.4330096256684488</v>
      </c>
      <c r="F16" s="21" t="s">
        <v>24</v>
      </c>
      <c r="G16" s="21">
        <f t="shared" si="6"/>
        <v>15.15</v>
      </c>
      <c r="H16" s="45">
        <f t="shared" si="7"/>
        <v>17.583963121966516</v>
      </c>
      <c r="I16" s="22">
        <v>212.96</v>
      </c>
      <c r="J16" s="130">
        <f t="shared" si="8"/>
        <v>5.6870000981221587E-2</v>
      </c>
      <c r="K16" s="132">
        <f t="shared" si="9"/>
        <v>4.6957175056348607E-3</v>
      </c>
      <c r="L16" s="26">
        <f t="shared" si="10"/>
        <v>3744.6807864539892</v>
      </c>
      <c r="M16" s="21">
        <v>11108</v>
      </c>
      <c r="N16" s="21">
        <v>43090</v>
      </c>
      <c r="O16" s="37">
        <f t="shared" si="11"/>
        <v>0.2577860292411232</v>
      </c>
      <c r="P16" s="21">
        <f t="shared" si="12"/>
        <v>25.77860292411232</v>
      </c>
      <c r="Q16" s="50">
        <f t="shared" si="0"/>
        <v>4.5329000315340924</v>
      </c>
      <c r="R16" s="37">
        <f t="shared" si="13"/>
        <v>0.22060932141527173</v>
      </c>
      <c r="S16" s="135">
        <f t="shared" si="14"/>
        <v>965.32639071550034</v>
      </c>
      <c r="T16" s="42">
        <v>1.9389778383263417E-5</v>
      </c>
      <c r="U16" s="27">
        <f t="shared" si="1"/>
        <v>456.87401249996617</v>
      </c>
      <c r="V16" s="37">
        <f t="shared" si="15"/>
        <v>2.188787220634647E-3</v>
      </c>
      <c r="W16" s="36">
        <f t="shared" si="16"/>
        <v>1.970460227434864E-7</v>
      </c>
      <c r="X16" s="45">
        <f t="shared" si="2"/>
        <v>8.4729789779699161</v>
      </c>
      <c r="Y16" s="21">
        <f t="shared" si="17"/>
        <v>0.11802224490347964</v>
      </c>
      <c r="Z16" s="21">
        <f t="shared" si="18"/>
        <v>25.134017274645025</v>
      </c>
      <c r="AA16" s="45">
        <f t="shared" si="19"/>
        <v>9.3202768757669077</v>
      </c>
      <c r="AB16" s="21">
        <f t="shared" si="20"/>
        <v>0.10729294991225422</v>
      </c>
      <c r="AC16" s="21">
        <f t="shared" si="3"/>
        <v>22.849106613313658</v>
      </c>
      <c r="AD16" s="47">
        <f t="shared" si="4"/>
        <v>6.8276446880618042</v>
      </c>
      <c r="AE16" s="136">
        <f t="shared" si="21"/>
        <v>0.14646339194371211</v>
      </c>
      <c r="AF16" s="22">
        <f t="shared" si="22"/>
        <v>31.190843948332933</v>
      </c>
      <c r="AG16" s="44">
        <f t="shared" si="23"/>
        <v>17.3794592059755</v>
      </c>
      <c r="AH16" s="136">
        <f t="shared" si="24"/>
        <v>5.7539189692172615E-2</v>
      </c>
      <c r="AI16" s="21">
        <f t="shared" si="25"/>
        <v>12.253545836845081</v>
      </c>
    </row>
    <row r="17" spans="1:35" x14ac:dyDescent="0.45">
      <c r="A17" s="21" t="s">
        <v>13</v>
      </c>
      <c r="B17" s="21">
        <v>5.07</v>
      </c>
      <c r="C17" s="21">
        <v>37.549999999999997</v>
      </c>
      <c r="D17" s="21">
        <v>201.45</v>
      </c>
      <c r="E17" s="22">
        <f t="shared" si="5"/>
        <v>6.9992678083891784</v>
      </c>
      <c r="F17" s="21" t="s">
        <v>24</v>
      </c>
      <c r="G17" s="21">
        <f t="shared" si="6"/>
        <v>15.15</v>
      </c>
      <c r="H17" s="45">
        <f t="shared" si="7"/>
        <v>17.80061301135666</v>
      </c>
      <c r="I17" s="22">
        <v>236.11</v>
      </c>
      <c r="J17" s="130">
        <f t="shared" si="8"/>
        <v>5.6177840581220849E-2</v>
      </c>
      <c r="K17" s="132">
        <f t="shared" si="9"/>
        <v>4.2353140485366985E-3</v>
      </c>
      <c r="L17" s="26">
        <f t="shared" si="10"/>
        <v>4202.9027381114211</v>
      </c>
      <c r="M17" s="21">
        <v>18000</v>
      </c>
      <c r="N17" s="21">
        <v>100000</v>
      </c>
      <c r="O17" s="37">
        <f t="shared" si="11"/>
        <v>0.18</v>
      </c>
      <c r="P17" s="21">
        <f t="shared" si="12"/>
        <v>18</v>
      </c>
      <c r="Q17" s="50">
        <f t="shared" si="0"/>
        <v>3.2041103420441988</v>
      </c>
      <c r="R17" s="37">
        <f t="shared" si="13"/>
        <v>0.31209911434011584</v>
      </c>
      <c r="S17" s="135">
        <f t="shared" si="14"/>
        <v>756.52249286005576</v>
      </c>
      <c r="T17" s="39">
        <v>2.1946981039606854E-5</v>
      </c>
      <c r="U17" s="22">
        <f t="shared" si="1"/>
        <v>195.21156537826369</v>
      </c>
      <c r="V17" s="37">
        <f t="shared" si="15"/>
        <v>5.122647308638136E-3</v>
      </c>
      <c r="W17" s="36">
        <f t="shared" si="16"/>
        <v>2.845915171465631E-7</v>
      </c>
      <c r="X17" s="45">
        <f t="shared" si="2"/>
        <v>12.237435237302213</v>
      </c>
      <c r="Y17" s="21">
        <f t="shared" si="17"/>
        <v>8.1716469228110392E-2</v>
      </c>
      <c r="Z17" s="21">
        <f t="shared" si="18"/>
        <v>19.294075549449147</v>
      </c>
      <c r="AA17" s="45">
        <f t="shared" si="19"/>
        <v>13.461178761032436</v>
      </c>
      <c r="AB17" s="21">
        <f t="shared" si="20"/>
        <v>7.4287699298282162E-2</v>
      </c>
      <c r="AC17" s="21">
        <f t="shared" si="3"/>
        <v>17.5400686813174</v>
      </c>
      <c r="AD17" s="47">
        <f t="shared" si="4"/>
        <v>9.8610960691284113</v>
      </c>
      <c r="AE17" s="136">
        <f t="shared" si="21"/>
        <v>0.10140860539130582</v>
      </c>
      <c r="AF17" s="22">
        <f t="shared" si="22"/>
        <v>23.943585818941219</v>
      </c>
      <c r="AG17" s="44">
        <f t="shared" si="23"/>
        <v>25.100971812326861</v>
      </c>
      <c r="AH17" s="136">
        <f t="shared" si="24"/>
        <v>3.9839094975155864E-2</v>
      </c>
      <c r="AI17" s="21">
        <f t="shared" si="25"/>
        <v>9.4064087145840514</v>
      </c>
    </row>
    <row r="18" spans="1:35" x14ac:dyDescent="0.45">
      <c r="A18" s="21" t="s">
        <v>14</v>
      </c>
      <c r="B18" s="21">
        <v>2.2000000000000002</v>
      </c>
      <c r="C18" s="21">
        <v>52.4</v>
      </c>
      <c r="D18" s="21">
        <v>371.6</v>
      </c>
      <c r="E18" s="22">
        <f t="shared" si="5"/>
        <v>7.3890204520990297</v>
      </c>
      <c r="F18" s="21" t="s">
        <v>26</v>
      </c>
      <c r="G18" s="21">
        <f t="shared" si="6"/>
        <v>17.25</v>
      </c>
      <c r="H18" s="45">
        <f t="shared" si="7"/>
        <v>31.61339904561267</v>
      </c>
      <c r="I18" s="22">
        <v>191.78</v>
      </c>
      <c r="J18" s="130">
        <f t="shared" si="8"/>
        <v>3.1632156939441179E-2</v>
      </c>
      <c r="K18" s="132">
        <f t="shared" si="9"/>
        <v>5.2143080613202631E-3</v>
      </c>
      <c r="L18" s="26">
        <f t="shared" si="10"/>
        <v>6062.8176689675984</v>
      </c>
      <c r="M18" s="21">
        <v>4536</v>
      </c>
      <c r="N18" s="21">
        <v>87969</v>
      </c>
      <c r="O18" s="37">
        <f t="shared" si="11"/>
        <v>5.1563619002148481E-2</v>
      </c>
      <c r="P18" s="21">
        <f t="shared" si="12"/>
        <v>5.156361900214848</v>
      </c>
      <c r="Q18" s="50">
        <f t="shared" si="0"/>
        <v>1.6301012637508561</v>
      </c>
      <c r="R18" s="37">
        <f t="shared" si="13"/>
        <v>0.6134588213857366</v>
      </c>
      <c r="S18" s="134">
        <f t="shared" si="14"/>
        <v>312.62082036213917</v>
      </c>
      <c r="T18" s="39">
        <v>2.8399999999999999E-5</v>
      </c>
      <c r="U18" s="22">
        <f t="shared" ref="U18" si="26">H18*I18/(T18*9.81*N18)</f>
        <v>247.37596711558538</v>
      </c>
      <c r="V18" s="37">
        <f t="shared" ref="V18" si="27">1/U18</f>
        <v>4.0424298757071831E-3</v>
      </c>
      <c r="W18" s="36">
        <f t="shared" ref="W18" si="28">V18/M18</f>
        <v>8.9118824420352366E-7</v>
      </c>
      <c r="X18" s="45">
        <f t="shared" ref="X18" si="29">V18*43000000/M18</f>
        <v>38.321094500751521</v>
      </c>
      <c r="Y18" s="21">
        <f t="shared" ref="Y18" si="30">1/X18</f>
        <v>2.6095288065960349E-2</v>
      </c>
      <c r="Z18" s="21">
        <f t="shared" ref="Z18" si="31">Y18*I18</f>
        <v>5.0045543452898755</v>
      </c>
      <c r="AA18" s="45">
        <f t="shared" ref="AA18" si="32">X18*1.1</f>
        <v>42.153203950826679</v>
      </c>
      <c r="AB18" s="21">
        <f t="shared" ref="AB18" si="33">1/AA18</f>
        <v>2.3722989150873043E-2</v>
      </c>
      <c r="AC18" s="21">
        <f t="shared" ref="AC18" si="34">AB18*I18</f>
        <v>4.549594859354432</v>
      </c>
      <c r="AD18" s="47">
        <f t="shared" ref="AD18" si="35">3.15*1.1*W18*10^7</f>
        <v>30.879672661652098</v>
      </c>
      <c r="AE18" s="136">
        <f t="shared" si="21"/>
        <v>3.2383762967858443E-2</v>
      </c>
      <c r="AF18" s="22">
        <f t="shared" si="22"/>
        <v>6.2105580619758918</v>
      </c>
      <c r="AG18" s="44">
        <f t="shared" ref="AG18" si="36">2.8*AD18/1.1</f>
        <v>78.602803138750787</v>
      </c>
      <c r="AH18" s="136">
        <f t="shared" si="24"/>
        <v>1.2722192594515819E-2</v>
      </c>
      <c r="AI18" s="21">
        <f t="shared" si="25"/>
        <v>2.4398620957762436</v>
      </c>
    </row>
    <row r="19" spans="1:35" x14ac:dyDescent="0.45">
      <c r="A19" s="21" t="s">
        <v>15</v>
      </c>
      <c r="B19" s="21">
        <v>2.9</v>
      </c>
      <c r="C19" s="21">
        <v>30.3</v>
      </c>
      <c r="D19" s="21">
        <v>330.2</v>
      </c>
      <c r="E19" s="22">
        <f t="shared" si="5"/>
        <v>2.7804058146577835</v>
      </c>
      <c r="F19" s="21" t="s">
        <v>26</v>
      </c>
      <c r="G19" s="21">
        <f t="shared" si="6"/>
        <v>17.25</v>
      </c>
      <c r="H19" s="45">
        <f t="shared" si="7"/>
        <v>16.890565671343509</v>
      </c>
      <c r="I19" s="28">
        <v>253.6</v>
      </c>
      <c r="J19" s="130">
        <f t="shared" si="8"/>
        <v>5.9204648290530459E-2</v>
      </c>
      <c r="K19" s="132">
        <f t="shared" si="9"/>
        <v>3.9432176656151417E-3</v>
      </c>
      <c r="L19" s="26">
        <f t="shared" si="10"/>
        <v>4283.4474542527141</v>
      </c>
      <c r="M19" s="21">
        <v>10000</v>
      </c>
      <c r="N19" s="21">
        <v>77111</v>
      </c>
      <c r="O19" s="37">
        <f t="shared" si="11"/>
        <v>0.12968318398153311</v>
      </c>
      <c r="P19" s="21">
        <f t="shared" si="12"/>
        <v>12.968318398153311</v>
      </c>
      <c r="Q19" s="50">
        <f t="shared" si="0"/>
        <v>2.1904223355090076</v>
      </c>
      <c r="R19" s="37">
        <f t="shared" si="13"/>
        <v>0.45653296343310945</v>
      </c>
      <c r="S19" s="134">
        <f t="shared" si="14"/>
        <v>555.49110428508425</v>
      </c>
      <c r="T19" s="43">
        <v>2.535E-5</v>
      </c>
      <c r="U19" s="22">
        <f t="shared" ref="U19:U21" si="37">H19*I19/(T19*9.81*N19)</f>
        <v>223.37272247056373</v>
      </c>
      <c r="V19" s="37">
        <f t="shared" ref="V19:V21" si="38">1/U19</f>
        <v>4.4768223664005393E-3</v>
      </c>
      <c r="W19" s="36">
        <f t="shared" si="16"/>
        <v>4.4768223664005394E-7</v>
      </c>
      <c r="X19" s="45">
        <f t="shared" ref="X19:X21" si="39">V19*43000000/M19</f>
        <v>19.250336175522317</v>
      </c>
      <c r="Y19" s="21">
        <f t="shared" si="17"/>
        <v>5.1947144760596219E-2</v>
      </c>
      <c r="Z19" s="21">
        <f t="shared" si="18"/>
        <v>13.173795911287201</v>
      </c>
      <c r="AA19" s="45">
        <f t="shared" ref="AA19:AA21" si="40">X19*1.1</f>
        <v>21.175369793074552</v>
      </c>
      <c r="AB19" s="21">
        <f t="shared" ref="AB19:AB21" si="41">1/AA19</f>
        <v>4.7224677055087469E-2</v>
      </c>
      <c r="AC19" s="21">
        <f t="shared" ref="AC19:AC21" si="42">AB19*I19</f>
        <v>11.976178101170182</v>
      </c>
      <c r="AD19" s="47">
        <f t="shared" si="4"/>
        <v>15.51218949957787</v>
      </c>
      <c r="AE19" s="136">
        <f t="shared" si="21"/>
        <v>6.4465432170436848E-2</v>
      </c>
      <c r="AF19" s="22">
        <f t="shared" si="22"/>
        <v>16.348433598422783</v>
      </c>
      <c r="AG19" s="44">
        <f t="shared" si="23"/>
        <v>39.485573271652754</v>
      </c>
      <c r="AH19" s="136">
        <f t="shared" si="24"/>
        <v>2.5325705495528768E-2</v>
      </c>
      <c r="AI19" s="21">
        <f t="shared" si="25"/>
        <v>6.4225989136660955</v>
      </c>
    </row>
    <row r="20" spans="1:35" x14ac:dyDescent="0.45">
      <c r="A20" s="21" t="s">
        <v>229</v>
      </c>
      <c r="B20" s="21">
        <v>6.3</v>
      </c>
      <c r="C20" s="21">
        <v>62.3</v>
      </c>
      <c r="D20" s="21">
        <v>525</v>
      </c>
      <c r="E20" s="22">
        <f t="shared" ref="E20:E21" si="43">(C20^2)/D20</f>
        <v>7.3929333333333327</v>
      </c>
      <c r="F20" s="21" t="s">
        <v>26</v>
      </c>
      <c r="G20" s="21">
        <f t="shared" ref="G20:G21" si="44">IF(F20="Short Range",15.15,IF(F20="Medium Range",16.19,17.25))</f>
        <v>17.25</v>
      </c>
      <c r="H20" s="45">
        <f t="shared" ref="H20:H21" si="45">G20*((E20/B20)^0.5)</f>
        <v>18.686467920217915</v>
      </c>
      <c r="I20" s="22">
        <v>252.58</v>
      </c>
      <c r="J20" s="130">
        <f t="shared" ref="J20:J21" si="46">1/H20</f>
        <v>5.3514661212033826E-2</v>
      </c>
      <c r="K20" s="132">
        <f t="shared" ref="K20:K21" si="47">1/I20</f>
        <v>3.9591416580885266E-3</v>
      </c>
      <c r="L20" s="26">
        <f t="shared" ref="L20:L21" si="48">H20*I20</f>
        <v>4719.8280672886413</v>
      </c>
      <c r="M20" s="21">
        <v>113000</v>
      </c>
      <c r="N20" s="21">
        <v>396830</v>
      </c>
      <c r="O20" s="37">
        <f t="shared" ref="O20:O21" si="49">M20/N20</f>
        <v>0.28475669682231686</v>
      </c>
      <c r="P20" s="21">
        <f t="shared" ref="P20:P21" si="50">O20*100</f>
        <v>28.475669682231686</v>
      </c>
      <c r="Q20" s="50">
        <f t="shared" ref="Q20:Q21" si="51">O20*H20</f>
        <v>5.3210968802374428</v>
      </c>
      <c r="R20" s="37">
        <f t="shared" ref="R20:R21" si="52">1/Q20</f>
        <v>0.1879311770687733</v>
      </c>
      <c r="S20" s="134">
        <f t="shared" ref="S20:S21" si="53">I20*Q20</f>
        <v>1344.0026500103734</v>
      </c>
      <c r="T20" s="39">
        <v>1.6298654293177945E-5</v>
      </c>
      <c r="U20" s="22">
        <f t="shared" si="37"/>
        <v>74.387664904832249</v>
      </c>
      <c r="V20" s="37">
        <f t="shared" si="38"/>
        <v>1.3443089002448842E-2</v>
      </c>
      <c r="W20" s="36">
        <f t="shared" ref="W20:W21" si="54">V20/M20</f>
        <v>1.1896538940220214E-7</v>
      </c>
      <c r="X20" s="45">
        <f t="shared" si="39"/>
        <v>5.1155117442946914</v>
      </c>
      <c r="Y20" s="21">
        <f t="shared" ref="Y20:Y21" si="55">1/X20</f>
        <v>0.19548386358711731</v>
      </c>
      <c r="Z20" s="21">
        <f t="shared" ref="Z20:Z21" si="56">Y20*I20</f>
        <v>49.375314264834088</v>
      </c>
      <c r="AA20" s="45">
        <f t="shared" si="40"/>
        <v>5.6270629187241612</v>
      </c>
      <c r="AB20" s="21">
        <f t="shared" si="41"/>
        <v>0.17771260326101571</v>
      </c>
      <c r="AC20" s="21">
        <f t="shared" si="42"/>
        <v>44.88664933166735</v>
      </c>
      <c r="AD20" s="47">
        <f t="shared" ref="AD20:AD21" si="57">3.15*1.1*W20*10^7</f>
        <v>4.122150742786304</v>
      </c>
      <c r="AE20" s="136">
        <f t="shared" si="21"/>
        <v>0.24259180762614846</v>
      </c>
      <c r="AF20" s="22">
        <f t="shared" si="22"/>
        <v>61.273838770212578</v>
      </c>
      <c r="AG20" s="44">
        <f t="shared" ref="AG20:AG21" si="58">2.8*AD20/1.1</f>
        <v>10.492747345274227</v>
      </c>
      <c r="AH20" s="136">
        <f t="shared" si="24"/>
        <v>9.5303924424558331E-2</v>
      </c>
      <c r="AI20" s="21">
        <f t="shared" si="25"/>
        <v>24.071865231154945</v>
      </c>
    </row>
    <row r="21" spans="1:35" x14ac:dyDescent="0.45">
      <c r="A21" s="21" t="s">
        <v>230</v>
      </c>
      <c r="B21" s="21">
        <v>5.56</v>
      </c>
      <c r="C21" s="21">
        <v>51.77</v>
      </c>
      <c r="D21" s="21">
        <v>338.9</v>
      </c>
      <c r="E21" s="22">
        <f t="shared" si="43"/>
        <v>7.9083295957509607</v>
      </c>
      <c r="F21" s="21" t="s">
        <v>26</v>
      </c>
      <c r="G21" s="21">
        <f t="shared" si="44"/>
        <v>17.25</v>
      </c>
      <c r="H21" s="45">
        <f t="shared" si="45"/>
        <v>20.572832216787269</v>
      </c>
      <c r="I21" s="22">
        <v>262.42</v>
      </c>
      <c r="J21" s="130">
        <f t="shared" si="46"/>
        <v>4.8607794467113177E-2</v>
      </c>
      <c r="K21" s="132">
        <f t="shared" si="47"/>
        <v>3.8106851611919819E-3</v>
      </c>
      <c r="L21" s="26">
        <f t="shared" si="48"/>
        <v>5398.7226303293155</v>
      </c>
      <c r="M21" s="21">
        <v>91962</v>
      </c>
      <c r="N21" s="21">
        <v>283720</v>
      </c>
      <c r="O21" s="37">
        <f t="shared" si="49"/>
        <v>0.3241294233751586</v>
      </c>
      <c r="P21" s="21">
        <f t="shared" si="50"/>
        <v>32.412942337515858</v>
      </c>
      <c r="Q21" s="50">
        <f t="shared" si="51"/>
        <v>6.6682602436211429</v>
      </c>
      <c r="R21" s="37">
        <f t="shared" si="52"/>
        <v>0.14996415308724639</v>
      </c>
      <c r="S21" s="134">
        <f t="shared" si="53"/>
        <v>1749.8848531310605</v>
      </c>
      <c r="T21" s="39">
        <v>1.5849036243710968E-5</v>
      </c>
      <c r="U21" s="22">
        <f t="shared" si="37"/>
        <v>122.38528350416416</v>
      </c>
      <c r="V21" s="37">
        <f t="shared" si="38"/>
        <v>8.1709170528331942E-3</v>
      </c>
      <c r="W21" s="36">
        <f t="shared" si="54"/>
        <v>8.8851015123998974E-8</v>
      </c>
      <c r="X21" s="45">
        <f t="shared" si="39"/>
        <v>3.820593650331956</v>
      </c>
      <c r="Y21" s="21">
        <f t="shared" si="55"/>
        <v>0.2617394288746499</v>
      </c>
      <c r="Z21" s="21">
        <f t="shared" si="56"/>
        <v>68.685660925285632</v>
      </c>
      <c r="AA21" s="45">
        <f t="shared" si="40"/>
        <v>4.2026530153651516</v>
      </c>
      <c r="AB21" s="21">
        <f t="shared" si="41"/>
        <v>0.2379449353405908</v>
      </c>
      <c r="AC21" s="21">
        <f t="shared" si="42"/>
        <v>62.441509932077842</v>
      </c>
      <c r="AD21" s="47">
        <f t="shared" si="57"/>
        <v>3.0786876740465647</v>
      </c>
      <c r="AE21" s="136">
        <f t="shared" si="21"/>
        <v>0.32481372125858426</v>
      </c>
      <c r="AF21" s="22">
        <f t="shared" si="22"/>
        <v>85.237616732677694</v>
      </c>
      <c r="AG21" s="44">
        <f t="shared" si="58"/>
        <v>7.8366595339367082</v>
      </c>
      <c r="AH21" s="136">
        <f t="shared" si="24"/>
        <v>0.12760539049444386</v>
      </c>
      <c r="AI21" s="21">
        <f t="shared" si="25"/>
        <v>33.486206573551961</v>
      </c>
    </row>
    <row r="26" spans="1:35" x14ac:dyDescent="0.45">
      <c r="R26" s="29"/>
    </row>
  </sheetData>
  <mergeCells count="1">
    <mergeCell ref="O3: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"/>
  <sheetViews>
    <sheetView tabSelected="1" zoomScaleNormal="100" workbookViewId="0"/>
  </sheetViews>
  <sheetFormatPr baseColWidth="10" defaultColWidth="9.1328125" defaultRowHeight="14.25" x14ac:dyDescent="0.45"/>
  <sheetData>
    <row r="1" spans="2:2" ht="25.5" x14ac:dyDescent="0.75">
      <c r="B1" s="59" t="s">
        <v>297</v>
      </c>
    </row>
  </sheetData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6DBACE74-1902-4318-A606-78376D2C8E7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J29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G19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32.73046875" bestFit="1" customWidth="1"/>
    <col min="2" max="3" width="15.73046875" bestFit="1" customWidth="1"/>
    <col min="4" max="5" width="9.73046875" customWidth="1"/>
    <col min="6" max="6" width="9.86328125" customWidth="1"/>
    <col min="7" max="7" width="14" style="46" customWidth="1"/>
    <col min="8" max="11" width="14" customWidth="1"/>
    <col min="12" max="12" width="16.73046875" bestFit="1" customWidth="1"/>
    <col min="13" max="14" width="11.59765625" bestFit="1" customWidth="1"/>
    <col min="15" max="15" width="11.59765625" style="46" customWidth="1"/>
    <col min="16" max="16" width="13.73046875" customWidth="1"/>
    <col min="17" max="17" width="12.73046875" customWidth="1"/>
    <col min="18" max="18" width="11.59765625" bestFit="1" customWidth="1"/>
    <col min="19" max="19" width="12.59765625" bestFit="1" customWidth="1"/>
    <col min="20" max="20" width="11.265625" customWidth="1"/>
    <col min="21" max="21" width="32.73046875" customWidth="1"/>
    <col min="22" max="22" width="12.265625" style="46" customWidth="1"/>
    <col min="23" max="23" width="10.86328125" customWidth="1"/>
    <col min="24" max="24" width="7.265625" customWidth="1"/>
    <col min="25" max="25" width="12.73046875" style="46" customWidth="1"/>
    <col min="26" max="26" width="15.73046875" customWidth="1"/>
    <col min="27" max="27" width="9.73046875" customWidth="1"/>
    <col min="28" max="28" width="14.1328125" style="46" customWidth="1"/>
    <col min="29" max="30" width="14.1328125" customWidth="1"/>
    <col min="31" max="31" width="15.265625" style="46" customWidth="1"/>
    <col min="32" max="32" width="17.86328125" customWidth="1"/>
    <col min="33" max="33" width="13.59765625" customWidth="1"/>
  </cols>
  <sheetData>
    <row r="1" spans="1:33" ht="25.5" x14ac:dyDescent="0.75">
      <c r="A1" s="59" t="s">
        <v>305</v>
      </c>
    </row>
    <row r="3" spans="1:33" x14ac:dyDescent="0.45">
      <c r="A3" t="s">
        <v>0</v>
      </c>
      <c r="B3" s="138" t="s">
        <v>173</v>
      </c>
      <c r="C3" s="138"/>
      <c r="D3" s="139" t="s">
        <v>51</v>
      </c>
      <c r="E3" s="139"/>
      <c r="F3" s="139"/>
      <c r="G3" s="88" t="s">
        <v>247</v>
      </c>
      <c r="H3" s="87" t="s">
        <v>245</v>
      </c>
      <c r="I3" s="87" t="s">
        <v>156</v>
      </c>
      <c r="J3" s="87" t="s">
        <v>133</v>
      </c>
      <c r="K3" s="87" t="s">
        <v>251</v>
      </c>
      <c r="L3" s="87" t="s">
        <v>287</v>
      </c>
      <c r="M3" s="138" t="s">
        <v>246</v>
      </c>
      <c r="N3" s="138"/>
      <c r="O3" s="95" t="s">
        <v>289</v>
      </c>
      <c r="P3" s="91" t="s">
        <v>288</v>
      </c>
      <c r="Q3" s="87" t="s">
        <v>290</v>
      </c>
      <c r="R3" s="87" t="s">
        <v>175</v>
      </c>
      <c r="S3" s="87" t="s">
        <v>32</v>
      </c>
      <c r="T3" s="87" t="s">
        <v>221</v>
      </c>
      <c r="U3" s="87" t="s">
        <v>222</v>
      </c>
      <c r="V3" s="88" t="s">
        <v>188</v>
      </c>
      <c r="W3" s="87" t="s">
        <v>194</v>
      </c>
      <c r="X3" s="87" t="s">
        <v>151</v>
      </c>
      <c r="Y3" s="88" t="s">
        <v>198</v>
      </c>
      <c r="Z3" s="87" t="s">
        <v>199</v>
      </c>
      <c r="AA3" s="87" t="s">
        <v>197</v>
      </c>
      <c r="AB3" s="88" t="s">
        <v>200</v>
      </c>
      <c r="AC3" s="87" t="s">
        <v>232</v>
      </c>
      <c r="AD3" s="87" t="s">
        <v>234</v>
      </c>
      <c r="AE3" s="88" t="s">
        <v>201</v>
      </c>
      <c r="AF3" s="87" t="s">
        <v>233</v>
      </c>
      <c r="AG3" s="87" t="s">
        <v>235</v>
      </c>
    </row>
    <row r="4" spans="1:33" x14ac:dyDescent="0.45">
      <c r="A4" s="61"/>
      <c r="B4" s="89" t="s">
        <v>174</v>
      </c>
      <c r="C4" s="89" t="s">
        <v>22</v>
      </c>
      <c r="D4" s="89" t="s">
        <v>49</v>
      </c>
      <c r="E4" s="89" t="s">
        <v>168</v>
      </c>
      <c r="F4" s="89" t="s">
        <v>29</v>
      </c>
      <c r="G4" s="90"/>
      <c r="H4" s="89"/>
      <c r="I4" s="89" t="s">
        <v>157</v>
      </c>
      <c r="J4" s="89" t="s">
        <v>29</v>
      </c>
      <c r="K4" s="89" t="s">
        <v>30</v>
      </c>
      <c r="L4" s="89" t="s">
        <v>30</v>
      </c>
      <c r="M4" s="89"/>
      <c r="N4" s="89" t="s">
        <v>31</v>
      </c>
      <c r="O4" s="92"/>
      <c r="P4" s="93"/>
      <c r="Q4" s="94" t="s">
        <v>29</v>
      </c>
      <c r="R4" s="89" t="s">
        <v>34</v>
      </c>
      <c r="S4" s="89" t="s">
        <v>33</v>
      </c>
      <c r="T4" s="89" t="s">
        <v>36</v>
      </c>
      <c r="U4" s="89" t="s">
        <v>43</v>
      </c>
      <c r="V4" s="90" t="s">
        <v>37</v>
      </c>
      <c r="W4" s="89" t="s">
        <v>132</v>
      </c>
      <c r="X4" s="89" t="s">
        <v>152</v>
      </c>
      <c r="Y4" s="90" t="s">
        <v>37</v>
      </c>
      <c r="Z4" s="89" t="s">
        <v>132</v>
      </c>
      <c r="AA4" s="89" t="s">
        <v>152</v>
      </c>
      <c r="AB4" s="90" t="s">
        <v>166</v>
      </c>
      <c r="AC4" s="89" t="s">
        <v>231</v>
      </c>
      <c r="AD4" s="89"/>
      <c r="AE4" s="90" t="s">
        <v>166</v>
      </c>
      <c r="AF4" s="89" t="s">
        <v>231</v>
      </c>
      <c r="AG4" s="89"/>
    </row>
    <row r="5" spans="1:33" s="16" customFormat="1" x14ac:dyDescent="0.45">
      <c r="A5" s="16" t="s">
        <v>167</v>
      </c>
      <c r="B5" s="16">
        <v>53000</v>
      </c>
      <c r="C5" s="16">
        <f>B5*0.305</f>
        <v>16165</v>
      </c>
      <c r="D5" s="16">
        <v>2158</v>
      </c>
      <c r="E5" s="16">
        <f>D5/1062.67</f>
        <v>2.0307339061044347</v>
      </c>
      <c r="F5" s="16">
        <f>D5*1000/3600</f>
        <v>599.44444444444446</v>
      </c>
      <c r="G5" s="47">
        <f>3*(E5+3)/E5</f>
        <v>7.4318952734012989</v>
      </c>
      <c r="H5" s="16">
        <f>1/G5</f>
        <v>0.13455517915853751</v>
      </c>
      <c r="I5" s="16">
        <f>1/F5</f>
        <v>1.6682113067655235E-3</v>
      </c>
      <c r="J5" s="16">
        <f>F5*G5</f>
        <v>4455.0083333333341</v>
      </c>
      <c r="K5" s="16">
        <v>13380</v>
      </c>
      <c r="L5" s="16">
        <v>185000</v>
      </c>
      <c r="M5" s="16">
        <f>K5/L5</f>
        <v>7.2324324324324327E-2</v>
      </c>
      <c r="N5" s="16">
        <f>M5*100</f>
        <v>7.2324324324324323</v>
      </c>
      <c r="O5" s="47">
        <f>M5*G5</f>
        <v>0.53750680409788854</v>
      </c>
      <c r="P5" s="16">
        <f>1/O5</f>
        <v>1.8604415653459971</v>
      </c>
      <c r="Q5" s="16">
        <f>O5*F5</f>
        <v>322.20546756756761</v>
      </c>
      <c r="R5" s="24">
        <v>3.3440342429106472E-5</v>
      </c>
      <c r="S5" s="25">
        <f>F5*G5/(R5*9.81*L5)</f>
        <v>73.406931261536783</v>
      </c>
      <c r="T5" s="16">
        <f>1/S5</f>
        <v>1.3622691792375368E-2</v>
      </c>
      <c r="U5" s="17">
        <f>T5/K5</f>
        <v>1.0181384000280544E-6</v>
      </c>
      <c r="V5" s="47">
        <f>U5*43000000</f>
        <v>43.779951201206337</v>
      </c>
      <c r="W5" s="16">
        <f>1/V5</f>
        <v>2.2841505587892146E-2</v>
      </c>
      <c r="X5" s="16">
        <f>W5*F5</f>
        <v>13.692213627408682</v>
      </c>
      <c r="Y5" s="47">
        <f>V5*1.1</f>
        <v>48.157946321326975</v>
      </c>
      <c r="Z5" s="16">
        <f>1/Y5</f>
        <v>2.0765005079901949E-2</v>
      </c>
      <c r="AA5" s="16">
        <f>Z5*F5</f>
        <v>12.44746693400789</v>
      </c>
      <c r="AB5" s="47">
        <f>3.15*1.1*U5*10^7</f>
        <v>35.278495560972083</v>
      </c>
      <c r="AC5">
        <f>1/AB5</f>
        <v>2.8345879950342347E-2</v>
      </c>
      <c r="AD5">
        <f>F5*AC5</f>
        <v>16.991780259121885</v>
      </c>
      <c r="AE5" s="47">
        <f>AB5*2.8/1.1</f>
        <v>89.799806882474371</v>
      </c>
      <c r="AF5" s="16">
        <f>1/AE5</f>
        <v>1.1135881409063067E-2</v>
      </c>
      <c r="AG5" s="16">
        <f>F5*AF5</f>
        <v>6.6753422446550275</v>
      </c>
    </row>
    <row r="6" spans="1:33" x14ac:dyDescent="0.45">
      <c r="R6" s="23"/>
      <c r="S6" s="7"/>
    </row>
    <row r="7" spans="1:33" x14ac:dyDescent="0.45">
      <c r="Q7" s="8"/>
      <c r="R7" s="9"/>
    </row>
    <row r="8" spans="1:33" x14ac:dyDescent="0.45">
      <c r="H8" s="10"/>
      <c r="I8" s="11"/>
      <c r="R8" s="9"/>
    </row>
    <row r="9" spans="1:33" x14ac:dyDescent="0.45">
      <c r="Q9" s="8"/>
      <c r="R9" s="9"/>
    </row>
    <row r="10" spans="1:33" x14ac:dyDescent="0.45">
      <c r="R10" s="10"/>
      <c r="S10" s="11"/>
    </row>
    <row r="11" spans="1:33" x14ac:dyDescent="0.45">
      <c r="R11" s="12"/>
      <c r="S11" s="11"/>
    </row>
    <row r="12" spans="1:33" x14ac:dyDescent="0.45">
      <c r="R12" s="13"/>
    </row>
    <row r="13" spans="1:33" x14ac:dyDescent="0.45">
      <c r="Q13" s="8"/>
      <c r="R13" s="9"/>
    </row>
    <row r="14" spans="1:33" x14ac:dyDescent="0.45">
      <c r="R14" s="13"/>
    </row>
    <row r="15" spans="1:33" x14ac:dyDescent="0.45">
      <c r="Q15" s="8"/>
      <c r="R15" s="14"/>
      <c r="S15" s="11"/>
    </row>
    <row r="16" spans="1:33" x14ac:dyDescent="0.45">
      <c r="Q16" s="8"/>
      <c r="R16" s="14"/>
      <c r="S16" s="11"/>
    </row>
    <row r="17" spans="18:19" x14ac:dyDescent="0.45">
      <c r="R17" s="9"/>
      <c r="S17" s="11"/>
    </row>
    <row r="18" spans="18:19" x14ac:dyDescent="0.45">
      <c r="R18" s="15"/>
    </row>
    <row r="19" spans="18:19" x14ac:dyDescent="0.45">
      <c r="R19" s="4"/>
    </row>
  </sheetData>
  <mergeCells count="3">
    <mergeCell ref="M3:N3"/>
    <mergeCell ref="D3:F3"/>
    <mergeCell ref="B3:C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F8"/>
  <sheetViews>
    <sheetView zoomScale="95" zoomScaleNormal="115" workbookViewId="0">
      <selection activeCell="A2" sqref="A2"/>
    </sheetView>
  </sheetViews>
  <sheetFormatPr baseColWidth="10" defaultColWidth="9.1328125" defaultRowHeight="14.25" x14ac:dyDescent="0.45"/>
  <cols>
    <col min="1" max="1" width="12.1328125" customWidth="1"/>
    <col min="2" max="2" width="11.73046875" customWidth="1"/>
    <col min="3" max="3" width="15.3984375" customWidth="1"/>
    <col min="4" max="5" width="11.1328125" customWidth="1"/>
    <col min="6" max="6" width="8.86328125" style="46"/>
    <col min="9" max="9" width="11.86328125" customWidth="1"/>
    <col min="12" max="12" width="10.265625" style="46" customWidth="1"/>
    <col min="13" max="14" width="10.265625" customWidth="1"/>
    <col min="16" max="16" width="10.73046875" customWidth="1"/>
    <col min="17" max="17" width="12" bestFit="1" customWidth="1"/>
    <col min="18" max="18" width="10.265625" style="46" customWidth="1"/>
    <col min="19" max="19" width="12.59765625" customWidth="1"/>
    <col min="20" max="20" width="8.86328125" customWidth="1"/>
    <col min="21" max="21" width="12.265625" style="46" customWidth="1"/>
    <col min="22" max="22" width="16" customWidth="1"/>
    <col min="23" max="23" width="9.1328125" customWidth="1"/>
    <col min="24" max="24" width="14.265625" style="46" customWidth="1"/>
    <col min="25" max="25" width="14.265625" customWidth="1"/>
    <col min="26" max="26" width="10.86328125" customWidth="1"/>
    <col min="27" max="27" width="15.265625" style="46" customWidth="1"/>
    <col min="28" max="28" width="14.86328125" customWidth="1"/>
    <col min="29" max="30" width="11.265625" customWidth="1"/>
    <col min="31" max="31" width="14.73046875" bestFit="1" customWidth="1"/>
  </cols>
  <sheetData>
    <row r="1" spans="1:32" ht="25.5" x14ac:dyDescent="0.75">
      <c r="A1" s="59" t="s">
        <v>306</v>
      </c>
    </row>
    <row r="3" spans="1:32" x14ac:dyDescent="0.45">
      <c r="A3" t="s">
        <v>0</v>
      </c>
      <c r="B3" s="87" t="s">
        <v>287</v>
      </c>
      <c r="C3" s="87" t="s">
        <v>292</v>
      </c>
      <c r="D3" s="87" t="s">
        <v>51</v>
      </c>
      <c r="E3" s="87" t="s">
        <v>156</v>
      </c>
      <c r="F3" s="88" t="s">
        <v>41</v>
      </c>
      <c r="G3" s="87" t="s">
        <v>291</v>
      </c>
      <c r="H3" s="87" t="s">
        <v>133</v>
      </c>
      <c r="I3" s="87" t="s">
        <v>251</v>
      </c>
      <c r="J3" s="139" t="s">
        <v>293</v>
      </c>
      <c r="K3" s="139"/>
      <c r="L3" s="88" t="s">
        <v>248</v>
      </c>
      <c r="M3" s="87" t="s">
        <v>252</v>
      </c>
      <c r="N3" s="87" t="s">
        <v>253</v>
      </c>
      <c r="O3" s="87" t="s">
        <v>249</v>
      </c>
      <c r="P3" s="87" t="s">
        <v>250</v>
      </c>
      <c r="Q3" s="87" t="s">
        <v>222</v>
      </c>
      <c r="R3" s="88" t="s">
        <v>188</v>
      </c>
      <c r="S3" s="87" t="s">
        <v>194</v>
      </c>
      <c r="T3" s="87" t="s">
        <v>151</v>
      </c>
      <c r="U3" s="88" t="s">
        <v>198</v>
      </c>
      <c r="V3" s="87" t="s">
        <v>199</v>
      </c>
      <c r="W3" s="87" t="s">
        <v>197</v>
      </c>
      <c r="X3" s="88" t="s">
        <v>200</v>
      </c>
      <c r="Y3" s="87" t="s">
        <v>232</v>
      </c>
      <c r="Z3" s="87" t="s">
        <v>234</v>
      </c>
      <c r="AA3" s="88" t="s">
        <v>201</v>
      </c>
      <c r="AB3" s="87" t="s">
        <v>233</v>
      </c>
      <c r="AC3" s="87" t="s">
        <v>235</v>
      </c>
    </row>
    <row r="4" spans="1:32" x14ac:dyDescent="0.45">
      <c r="A4" s="61"/>
      <c r="B4" s="89" t="s">
        <v>30</v>
      </c>
      <c r="C4" s="89" t="s">
        <v>40</v>
      </c>
      <c r="D4" s="89" t="s">
        <v>29</v>
      </c>
      <c r="E4" s="89" t="s">
        <v>157</v>
      </c>
      <c r="F4" s="90"/>
      <c r="G4" s="89"/>
      <c r="H4" s="89" t="s">
        <v>29</v>
      </c>
      <c r="I4" s="89" t="s">
        <v>30</v>
      </c>
      <c r="J4" s="89"/>
      <c r="K4" s="89" t="s">
        <v>31</v>
      </c>
      <c r="L4" s="90"/>
      <c r="M4" s="89"/>
      <c r="N4" s="89" t="s">
        <v>29</v>
      </c>
      <c r="O4" s="89" t="s">
        <v>30</v>
      </c>
      <c r="P4" s="89" t="s">
        <v>42</v>
      </c>
      <c r="Q4" s="89" t="s">
        <v>43</v>
      </c>
      <c r="R4" s="90" t="s">
        <v>37</v>
      </c>
      <c r="S4" s="89" t="s">
        <v>132</v>
      </c>
      <c r="T4" s="89" t="s">
        <v>152</v>
      </c>
      <c r="U4" s="90" t="s">
        <v>37</v>
      </c>
      <c r="V4" s="89" t="s">
        <v>132</v>
      </c>
      <c r="W4" s="89" t="s">
        <v>152</v>
      </c>
      <c r="X4" s="90" t="s">
        <v>166</v>
      </c>
      <c r="Y4" s="89" t="s">
        <v>231</v>
      </c>
      <c r="Z4" s="89"/>
      <c r="AA4" s="90" t="s">
        <v>166</v>
      </c>
      <c r="AB4" s="89" t="s">
        <v>231</v>
      </c>
      <c r="AC4" s="89"/>
    </row>
    <row r="5" spans="1:32" x14ac:dyDescent="0.45">
      <c r="A5" t="s">
        <v>38</v>
      </c>
      <c r="B5">
        <v>1089</v>
      </c>
      <c r="C5">
        <v>153.75</v>
      </c>
      <c r="D5">
        <v>55.56</v>
      </c>
      <c r="E5">
        <f>1/D5</f>
        <v>1.7998560115190784E-2</v>
      </c>
      <c r="F5" s="48">
        <f>B5*9.81*D5/(C5*1000)</f>
        <v>3.8605039375609755</v>
      </c>
      <c r="G5" s="1">
        <f>1/F5</f>
        <v>0.25903353970719922</v>
      </c>
      <c r="H5" s="1">
        <f>F5*D5</f>
        <v>214.48959877088782</v>
      </c>
      <c r="I5">
        <v>351</v>
      </c>
      <c r="J5">
        <f>I5/B5</f>
        <v>0.32231404958677684</v>
      </c>
      <c r="K5" s="1">
        <f>J5*100</f>
        <v>32.231404958677686</v>
      </c>
      <c r="L5" s="49">
        <f>J5*F5</f>
        <v>1.2442946575609755</v>
      </c>
      <c r="M5" s="2">
        <f>1/L5</f>
        <v>0.80366816165566957</v>
      </c>
      <c r="N5" s="2">
        <f>D5*L5</f>
        <v>69.133011174087798</v>
      </c>
      <c r="O5">
        <v>80</v>
      </c>
      <c r="P5">
        <v>550000</v>
      </c>
      <c r="Q5">
        <f>O5/(P5*I5)</f>
        <v>4.1440041440041442E-7</v>
      </c>
      <c r="R5" s="48">
        <f>Q5*43000000</f>
        <v>17.819217819217819</v>
      </c>
      <c r="S5" s="6">
        <f>1/R5</f>
        <v>5.6119186046511629E-2</v>
      </c>
      <c r="T5" s="6">
        <f>S5*D5</f>
        <v>3.1179819767441863</v>
      </c>
      <c r="U5" s="48">
        <f>R5*1.1</f>
        <v>19.601139601139604</v>
      </c>
      <c r="V5" s="3">
        <f>1/U5</f>
        <v>5.1017441860465113E-2</v>
      </c>
      <c r="W5" s="2">
        <f>V5*D5</f>
        <v>2.8345290697674419</v>
      </c>
      <c r="X5" s="49">
        <f>3.5*1.1*Q5*10^7</f>
        <v>15.954415954415957</v>
      </c>
      <c r="Y5" s="2">
        <f>1/X5</f>
        <v>6.2678571428571417E-2</v>
      </c>
      <c r="Z5" s="2">
        <f>D5*Y5</f>
        <v>3.4824214285714281</v>
      </c>
      <c r="AA5" s="49">
        <f>X5</f>
        <v>15.954415954415957</v>
      </c>
      <c r="AB5" s="2">
        <f>1/AA5</f>
        <v>6.2678571428571417E-2</v>
      </c>
      <c r="AC5" s="2">
        <f>D5*AB5</f>
        <v>3.4824214285714281</v>
      </c>
      <c r="AD5" s="2"/>
      <c r="AE5" t="s">
        <v>45</v>
      </c>
      <c r="AF5">
        <v>43</v>
      </c>
    </row>
    <row r="6" spans="1:32" x14ac:dyDescent="0.45">
      <c r="A6" t="s">
        <v>39</v>
      </c>
      <c r="B6">
        <v>1134</v>
      </c>
      <c r="C6">
        <v>153.75</v>
      </c>
      <c r="D6">
        <v>56.11</v>
      </c>
      <c r="E6">
        <f t="shared" ref="E6:E8" si="0">1/D6</f>
        <v>1.7822135091783996E-2</v>
      </c>
      <c r="F6" s="48">
        <f>B6*9.81*D6/(C6*1000)</f>
        <v>4.0598239960975615</v>
      </c>
      <c r="G6" s="1">
        <f t="shared" ref="G6:G8" si="1">1/F6</f>
        <v>0.24631609669809171</v>
      </c>
      <c r="H6" s="1">
        <f>F6*D6</f>
        <v>227.79672442103418</v>
      </c>
      <c r="I6">
        <v>371</v>
      </c>
      <c r="J6">
        <f>I6/B6</f>
        <v>0.3271604938271605</v>
      </c>
      <c r="K6" s="1">
        <f>J6*100</f>
        <v>32.716049382716051</v>
      </c>
      <c r="L6" s="49">
        <f>J6*F6</f>
        <v>1.3282140234146345</v>
      </c>
      <c r="M6" s="2">
        <f t="shared" ref="M6:M8" si="2">1/L6</f>
        <v>0.75289071066209157</v>
      </c>
      <c r="N6" s="2">
        <f>D6*L6</f>
        <v>74.526088853795144</v>
      </c>
      <c r="O6">
        <v>80</v>
      </c>
      <c r="P6">
        <v>550000</v>
      </c>
      <c r="Q6">
        <f>O6/(P6*I6)</f>
        <v>3.9206076941925999E-7</v>
      </c>
      <c r="R6" s="48">
        <f t="shared" ref="R6:R8" si="3">Q6*43000000</f>
        <v>16.858613085028178</v>
      </c>
      <c r="S6" s="6">
        <f t="shared" ref="S6:S8" si="4">1/R6</f>
        <v>5.9316860465116285E-2</v>
      </c>
      <c r="T6" s="6">
        <f t="shared" ref="T6:T8" si="5">S6*D6</f>
        <v>3.3282690406976747</v>
      </c>
      <c r="U6" s="48">
        <f>R6*1.1</f>
        <v>18.544474393530997</v>
      </c>
      <c r="V6" s="3">
        <f>1/U6</f>
        <v>5.3924418604651164E-2</v>
      </c>
      <c r="W6" s="2">
        <f>V6*D6</f>
        <v>3.0256991279069769</v>
      </c>
      <c r="X6" s="49">
        <f t="shared" ref="X6:X8" si="6">3.5*1.1*Q6*10^7</f>
        <v>15.094339622641511</v>
      </c>
      <c r="Y6" s="2">
        <f t="shared" ref="Y6:Y8" si="7">1/X6</f>
        <v>6.6249999999999989E-2</v>
      </c>
      <c r="Z6" s="2">
        <f t="shared" ref="Z6:Z8" si="8">D6*Y6</f>
        <v>3.7172874999999994</v>
      </c>
      <c r="AA6" s="49">
        <f t="shared" ref="AA6:AA8" si="9">X6</f>
        <v>15.094339622641511</v>
      </c>
      <c r="AB6" s="2">
        <f t="shared" ref="AB6:AB8" si="10">1/AA6</f>
        <v>6.6249999999999989E-2</v>
      </c>
      <c r="AC6" s="2">
        <f t="shared" ref="AC6:AC8" si="11">D6*AB6</f>
        <v>3.7172874999999994</v>
      </c>
      <c r="AD6" s="2"/>
    </row>
    <row r="7" spans="1:32" x14ac:dyDescent="0.45">
      <c r="A7" t="s">
        <v>160</v>
      </c>
      <c r="B7">
        <v>2250</v>
      </c>
      <c r="C7">
        <v>543</v>
      </c>
      <c r="D7">
        <v>65.28</v>
      </c>
      <c r="E7">
        <f t="shared" si="0"/>
        <v>1.5318627450980392E-2</v>
      </c>
      <c r="F7" s="48">
        <f>B7*9.81*D7/(C7*1000)</f>
        <v>2.6535779005524862</v>
      </c>
      <c r="G7" s="1">
        <f t="shared" si="1"/>
        <v>0.37684968652768619</v>
      </c>
      <c r="H7" s="1">
        <f>F7*D7</f>
        <v>173.22556534806631</v>
      </c>
      <c r="I7">
        <v>1009</v>
      </c>
      <c r="J7">
        <f>I7/B7</f>
        <v>0.44844444444444442</v>
      </c>
      <c r="K7" s="1">
        <f>J7*100</f>
        <v>44.844444444444441</v>
      </c>
      <c r="L7" s="49">
        <f>J7*F7</f>
        <v>1.1899822674033149</v>
      </c>
      <c r="M7" s="2">
        <f t="shared" si="2"/>
        <v>0.8403486567763071</v>
      </c>
      <c r="N7" s="2">
        <f>D7*L7</f>
        <v>77.682042416088393</v>
      </c>
      <c r="O7">
        <v>426</v>
      </c>
      <c r="P7">
        <v>657000</v>
      </c>
      <c r="Q7">
        <f>O7/(P7*I7)</f>
        <v>6.4261826212489423E-7</v>
      </c>
      <c r="R7" s="48">
        <f t="shared" si="3"/>
        <v>27.632585271370452</v>
      </c>
      <c r="S7" s="6">
        <f t="shared" si="4"/>
        <v>3.6189158205044217E-2</v>
      </c>
      <c r="T7" s="6">
        <f t="shared" si="5"/>
        <v>2.3624282476252865</v>
      </c>
      <c r="U7" s="48">
        <f>R7*1.1</f>
        <v>30.395843798507499</v>
      </c>
      <c r="V7" s="3">
        <f>1/U7</f>
        <v>3.2899234731858379E-2</v>
      </c>
      <c r="W7" s="2">
        <f>V7*D7</f>
        <v>2.147662043295715</v>
      </c>
      <c r="X7" s="49">
        <f t="shared" si="6"/>
        <v>24.740803091808431</v>
      </c>
      <c r="Y7" s="2">
        <f t="shared" si="7"/>
        <v>4.0419059813426007E-2</v>
      </c>
      <c r="Z7" s="2">
        <f t="shared" si="8"/>
        <v>2.6385562246204497</v>
      </c>
      <c r="AA7" s="49">
        <f t="shared" si="9"/>
        <v>24.740803091808431</v>
      </c>
      <c r="AB7" s="2">
        <f t="shared" si="10"/>
        <v>4.0419059813426007E-2</v>
      </c>
      <c r="AC7" s="2">
        <f t="shared" si="11"/>
        <v>2.6385562246204497</v>
      </c>
      <c r="AD7" s="2"/>
    </row>
    <row r="8" spans="1:32" x14ac:dyDescent="0.45">
      <c r="A8" t="s">
        <v>161</v>
      </c>
      <c r="B8">
        <v>1715</v>
      </c>
      <c r="C8">
        <v>335</v>
      </c>
      <c r="D8">
        <v>56.67</v>
      </c>
      <c r="E8">
        <f t="shared" si="0"/>
        <v>1.764602082230457E-2</v>
      </c>
      <c r="F8" s="48">
        <f>B8*9.81*D8/(C8*1000)</f>
        <v>2.8460435238805974</v>
      </c>
      <c r="G8" s="1">
        <f t="shared" si="1"/>
        <v>0.35136497091811653</v>
      </c>
      <c r="H8" s="1">
        <f>F8*D8</f>
        <v>161.28528649831347</v>
      </c>
      <c r="I8">
        <v>725</v>
      </c>
      <c r="J8">
        <f>I8/B8</f>
        <v>0.42274052478134111</v>
      </c>
      <c r="K8" s="1">
        <f>J8*100</f>
        <v>42.274052478134109</v>
      </c>
      <c r="L8" s="49">
        <f>J8*F8</f>
        <v>1.2031379328358212</v>
      </c>
      <c r="M8" s="2">
        <f t="shared" si="2"/>
        <v>0.83115989672354451</v>
      </c>
      <c r="N8" s="2">
        <f>D8*L8</f>
        <v>68.181826653805985</v>
      </c>
      <c r="O8">
        <v>321</v>
      </c>
      <c r="P8">
        <v>710000</v>
      </c>
      <c r="Q8">
        <f>O8/(P8*I8)</f>
        <v>6.2360369111219036E-7</v>
      </c>
      <c r="R8" s="48">
        <f t="shared" si="3"/>
        <v>26.814958717824187</v>
      </c>
      <c r="S8" s="6">
        <f t="shared" si="4"/>
        <v>3.7292617546910094E-2</v>
      </c>
      <c r="T8" s="6">
        <f t="shared" si="5"/>
        <v>2.1133726363833949</v>
      </c>
      <c r="U8" s="48">
        <f>R8*1.1</f>
        <v>29.496454589606607</v>
      </c>
      <c r="V8" s="3">
        <f>1/U8</f>
        <v>3.3902379588100079E-2</v>
      </c>
      <c r="W8" s="2">
        <f>V8*D8</f>
        <v>1.9212478512576314</v>
      </c>
      <c r="X8" s="49">
        <f t="shared" si="6"/>
        <v>24.008742107819334</v>
      </c>
      <c r="Y8" s="2">
        <f t="shared" si="7"/>
        <v>4.1651494922522951E-2</v>
      </c>
      <c r="Z8" s="2">
        <f t="shared" si="8"/>
        <v>2.3603902172593756</v>
      </c>
      <c r="AA8" s="49">
        <f t="shared" si="9"/>
        <v>24.008742107819334</v>
      </c>
      <c r="AB8" s="2">
        <f t="shared" si="10"/>
        <v>4.1651494922522951E-2</v>
      </c>
      <c r="AC8" s="2">
        <f t="shared" si="11"/>
        <v>2.3603902172593756</v>
      </c>
      <c r="AD8" s="2"/>
    </row>
  </sheetData>
  <mergeCells count="1">
    <mergeCell ref="J3:K3"/>
  </mergeCells>
  <pageMargins left="0.7" right="0.7" top="0.75" bottom="0.75" header="0.3" footer="0.3"/>
  <ignoredErrors>
    <ignoredError sqref="F5:F8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K7"/>
  <sheetViews>
    <sheetView workbookViewId="0">
      <selection activeCell="A2" sqref="A2"/>
    </sheetView>
  </sheetViews>
  <sheetFormatPr baseColWidth="10" defaultColWidth="8.86328125" defaultRowHeight="14.25" x14ac:dyDescent="0.45"/>
  <cols>
    <col min="1" max="1" width="20" style="21" customWidth="1"/>
    <col min="2" max="2" width="9" style="21" bestFit="1" customWidth="1"/>
    <col min="3" max="3" width="10.3984375" style="21" customWidth="1"/>
    <col min="4" max="4" width="9" style="21" bestFit="1" customWidth="1"/>
    <col min="5" max="5" width="9.59765625" style="21" bestFit="1" customWidth="1"/>
    <col min="6" max="8" width="9" style="21" bestFit="1" customWidth="1"/>
    <col min="9" max="9" width="12.59765625" style="21" bestFit="1" customWidth="1"/>
    <col min="10" max="10" width="9" style="16" bestFit="1" customWidth="1"/>
    <col min="11" max="11" width="9.59765625" style="21" bestFit="1" customWidth="1"/>
    <col min="12" max="12" width="9.3984375" style="21" bestFit="1" customWidth="1"/>
    <col min="13" max="13" width="9" style="21" bestFit="1" customWidth="1"/>
    <col min="14" max="14" width="9" style="44" bestFit="1" customWidth="1"/>
    <col min="15" max="15" width="9" style="21" bestFit="1" customWidth="1"/>
    <col min="16" max="16" width="9.3984375" style="21" bestFit="1" customWidth="1"/>
    <col min="17" max="17" width="12" style="21" customWidth="1"/>
    <col min="18" max="19" width="9" style="21" bestFit="1" customWidth="1"/>
    <col min="20" max="20" width="10.265625" style="44" customWidth="1"/>
    <col min="21" max="22" width="10.265625" style="21" customWidth="1"/>
    <col min="23" max="23" width="9" style="21" bestFit="1" customWidth="1"/>
    <col min="24" max="24" width="18.86328125" style="36" customWidth="1"/>
    <col min="25" max="25" width="16.1328125" style="36" customWidth="1"/>
    <col min="26" max="26" width="13.3984375" style="44" customWidth="1"/>
    <col min="27" max="27" width="16.3984375" style="21" customWidth="1"/>
    <col min="28" max="28" width="11.3984375" style="21" customWidth="1"/>
    <col min="29" max="29" width="12.59765625" style="44" customWidth="1"/>
    <col min="30" max="30" width="20.3984375" style="21" customWidth="1"/>
    <col min="31" max="31" width="9" style="21" bestFit="1" customWidth="1"/>
    <col min="32" max="32" width="22.3984375" style="44" customWidth="1"/>
    <col min="33" max="33" width="22.3984375" style="21" customWidth="1"/>
    <col min="34" max="34" width="13.59765625" style="21" customWidth="1"/>
    <col min="35" max="35" width="20.1328125" style="44" customWidth="1"/>
    <col min="36" max="36" width="16.1328125" style="21" customWidth="1"/>
    <col min="37" max="37" width="11.1328125" style="21" customWidth="1"/>
    <col min="38" max="16384" width="8.86328125" style="21"/>
  </cols>
  <sheetData>
    <row r="1" spans="1:37" ht="25.5" x14ac:dyDescent="0.75">
      <c r="A1" s="68" t="s">
        <v>307</v>
      </c>
    </row>
    <row r="3" spans="1:37" x14ac:dyDescent="0.45">
      <c r="A3" s="21" t="s">
        <v>0</v>
      </c>
      <c r="B3" s="63" t="s">
        <v>46</v>
      </c>
      <c r="C3" s="63" t="s">
        <v>47</v>
      </c>
      <c r="D3" s="63" t="s">
        <v>48</v>
      </c>
      <c r="E3" s="63" t="s">
        <v>287</v>
      </c>
      <c r="F3" s="137" t="s">
        <v>51</v>
      </c>
      <c r="G3" s="137"/>
      <c r="H3" s="63" t="s">
        <v>156</v>
      </c>
      <c r="I3" s="63" t="s">
        <v>50</v>
      </c>
      <c r="J3" s="96" t="s">
        <v>270</v>
      </c>
      <c r="K3" s="63" t="s">
        <v>51</v>
      </c>
      <c r="L3" s="63" t="s">
        <v>271</v>
      </c>
      <c r="M3" s="63" t="s">
        <v>53</v>
      </c>
      <c r="N3" s="70" t="s">
        <v>41</v>
      </c>
      <c r="O3" s="63" t="s">
        <v>291</v>
      </c>
      <c r="P3" s="63" t="s">
        <v>133</v>
      </c>
      <c r="Q3" s="63" t="s">
        <v>251</v>
      </c>
      <c r="R3" s="137" t="s">
        <v>293</v>
      </c>
      <c r="S3" s="137"/>
      <c r="T3" s="70" t="s">
        <v>248</v>
      </c>
      <c r="U3" s="63" t="s">
        <v>252</v>
      </c>
      <c r="V3" s="63" t="s">
        <v>253</v>
      </c>
      <c r="W3" s="63" t="s">
        <v>254</v>
      </c>
      <c r="X3" s="140" t="s">
        <v>222</v>
      </c>
      <c r="Y3" s="140"/>
      <c r="Z3" s="70" t="s">
        <v>188</v>
      </c>
      <c r="AA3" s="63" t="s">
        <v>194</v>
      </c>
      <c r="AB3" s="63" t="s">
        <v>151</v>
      </c>
      <c r="AC3" s="70" t="s">
        <v>198</v>
      </c>
      <c r="AD3" s="63" t="s">
        <v>199</v>
      </c>
      <c r="AE3" s="63" t="s">
        <v>197</v>
      </c>
      <c r="AF3" s="70" t="s">
        <v>200</v>
      </c>
      <c r="AG3" s="63" t="s">
        <v>232</v>
      </c>
      <c r="AH3" s="63" t="s">
        <v>234</v>
      </c>
      <c r="AI3" s="70" t="s">
        <v>201</v>
      </c>
      <c r="AJ3" s="63" t="s">
        <v>233</v>
      </c>
      <c r="AK3" s="63" t="s">
        <v>235</v>
      </c>
    </row>
    <row r="4" spans="1:37" x14ac:dyDescent="0.45">
      <c r="A4" s="69"/>
      <c r="B4" s="64" t="s">
        <v>22</v>
      </c>
      <c r="C4" s="64" t="s">
        <v>22</v>
      </c>
      <c r="D4" s="64"/>
      <c r="E4" s="64" t="s">
        <v>30</v>
      </c>
      <c r="F4" s="64" t="s">
        <v>49</v>
      </c>
      <c r="G4" s="64" t="s">
        <v>29</v>
      </c>
      <c r="H4" s="64" t="s">
        <v>157</v>
      </c>
      <c r="I4" s="64"/>
      <c r="J4" s="97"/>
      <c r="K4" s="64" t="s">
        <v>52</v>
      </c>
      <c r="L4" s="64" t="s">
        <v>23</v>
      </c>
      <c r="M4" s="64" t="s">
        <v>54</v>
      </c>
      <c r="N4" s="78"/>
      <c r="O4" s="64"/>
      <c r="P4" s="64" t="s">
        <v>29</v>
      </c>
      <c r="Q4" s="64" t="s">
        <v>30</v>
      </c>
      <c r="R4" s="64"/>
      <c r="S4" s="64" t="s">
        <v>31</v>
      </c>
      <c r="T4" s="78"/>
      <c r="U4" s="64"/>
      <c r="V4" s="64" t="s">
        <v>29</v>
      </c>
      <c r="W4" s="64" t="s">
        <v>56</v>
      </c>
      <c r="X4" s="85" t="s">
        <v>164</v>
      </c>
      <c r="Y4" s="85" t="s">
        <v>43</v>
      </c>
      <c r="Z4" s="78" t="s">
        <v>37</v>
      </c>
      <c r="AA4" s="64" t="s">
        <v>132</v>
      </c>
      <c r="AB4" s="64" t="s">
        <v>152</v>
      </c>
      <c r="AC4" s="78" t="s">
        <v>37</v>
      </c>
      <c r="AD4" s="64" t="s">
        <v>132</v>
      </c>
      <c r="AE4" s="64" t="s">
        <v>152</v>
      </c>
      <c r="AF4" s="78" t="s">
        <v>166</v>
      </c>
      <c r="AG4" s="64" t="s">
        <v>231</v>
      </c>
      <c r="AH4" s="64"/>
      <c r="AI4" s="78" t="s">
        <v>166</v>
      </c>
      <c r="AJ4" s="64" t="s">
        <v>231</v>
      </c>
      <c r="AK4" s="64"/>
    </row>
    <row r="5" spans="1:37" x14ac:dyDescent="0.45">
      <c r="A5" s="21" t="s">
        <v>55</v>
      </c>
      <c r="B5" s="21">
        <v>245</v>
      </c>
      <c r="C5" s="21">
        <v>41.2</v>
      </c>
      <c r="D5" s="22">
        <f>C5/B5</f>
        <v>0.16816326530612247</v>
      </c>
      <c r="E5" s="21">
        <v>232000</v>
      </c>
      <c r="F5" s="21">
        <v>125</v>
      </c>
      <c r="G5" s="21">
        <v>34.72</v>
      </c>
      <c r="H5" s="21">
        <f>1/G5</f>
        <v>2.880184331797235E-2</v>
      </c>
      <c r="I5" s="21">
        <f>G5*B5/(1.46*10^-5)</f>
        <v>582630136.9863013</v>
      </c>
      <c r="J5" s="16">
        <f>(0.172*(1/D5)^(1/3)+0.252*(D5)^1.2+1.032*(D5)^2.7)*(1/(I5^(1/6)))</f>
        <v>1.2098946545490579E-2</v>
      </c>
      <c r="K5" s="21">
        <v>200000</v>
      </c>
      <c r="L5" s="22">
        <f>K5^(2/3)</f>
        <v>3419.9518933533946</v>
      </c>
      <c r="M5" s="21">
        <f>0.5*1.225*G5^2*L5*J5</f>
        <v>30551.538218464681</v>
      </c>
      <c r="N5" s="45">
        <f>E5*9.81/M5</f>
        <v>74.494448813856579</v>
      </c>
      <c r="O5" s="22">
        <f>1/N5</f>
        <v>1.3423819035143888E-2</v>
      </c>
      <c r="P5" s="22">
        <f>G5*N5</f>
        <v>2586.4472628171002</v>
      </c>
      <c r="Q5" s="21">
        <v>9560</v>
      </c>
      <c r="R5" s="21">
        <f>Q5/E5</f>
        <v>4.1206896551724138E-2</v>
      </c>
      <c r="S5" s="21">
        <f>R5*100</f>
        <v>4.1206896551724137</v>
      </c>
      <c r="T5" s="44">
        <f>R5*N5</f>
        <v>3.0696850459502971</v>
      </c>
      <c r="U5" s="21">
        <f>1/T5</f>
        <v>0.32576631968131609</v>
      </c>
      <c r="V5" s="21">
        <f>G5*T5</f>
        <v>106.57946479539432</v>
      </c>
      <c r="W5" s="21">
        <v>130</v>
      </c>
      <c r="X5" s="36">
        <f>W5/(F5*Q5)</f>
        <v>1.0878661087866109E-4</v>
      </c>
      <c r="Y5" s="36">
        <f>X5/1000</f>
        <v>1.0878661087866109E-7</v>
      </c>
      <c r="Z5" s="44">
        <f>W5*43000000/(3600*Q5*G5)</f>
        <v>4.6781236676971591</v>
      </c>
      <c r="AA5" s="21">
        <f>1/Z5</f>
        <v>0.21376091592128801</v>
      </c>
      <c r="AB5" s="21">
        <f>AA5*G5</f>
        <v>7.4217790007871196</v>
      </c>
      <c r="AC5" s="44">
        <f>Z5*1.1</f>
        <v>5.1459360344668754</v>
      </c>
      <c r="AD5" s="21">
        <f>1/AC5</f>
        <v>0.19432810538298911</v>
      </c>
      <c r="AE5" s="21">
        <f>AD5*G5</f>
        <v>6.7470718188973819</v>
      </c>
      <c r="AF5" s="44">
        <f>3.15*1.1*Y5/10^-7</f>
        <v>3.7694560669456072</v>
      </c>
      <c r="AG5" s="21">
        <f>1/AF5</f>
        <v>0.26529026529026528</v>
      </c>
      <c r="AH5" s="21">
        <f>G5*AG5</f>
        <v>9.2108780108780106</v>
      </c>
      <c r="AI5" s="44">
        <f>AF5*2.8/1.1</f>
        <v>9.5949790794979073</v>
      </c>
      <c r="AJ5" s="21">
        <f>1/AI5</f>
        <v>0.10422117564974709</v>
      </c>
      <c r="AK5" s="21">
        <f>G5*AJ5</f>
        <v>3.6185592185592186</v>
      </c>
    </row>
    <row r="7" spans="1:37" x14ac:dyDescent="0.45">
      <c r="A7" s="21" t="s">
        <v>272</v>
      </c>
      <c r="B7" s="21">
        <f>(1.46*10^-5)</f>
        <v>1.4600000000000001E-5</v>
      </c>
    </row>
  </sheetData>
  <mergeCells count="3">
    <mergeCell ref="F3:G3"/>
    <mergeCell ref="R3:S3"/>
    <mergeCell ref="X3:Y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6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11.3984375" bestFit="1" customWidth="1"/>
    <col min="3" max="3" width="13.1328125" customWidth="1"/>
    <col min="4" max="4" width="11.265625" customWidth="1"/>
    <col min="6" max="6" width="14" customWidth="1"/>
    <col min="7" max="7" width="13.265625" style="6" customWidth="1"/>
    <col min="8" max="8" width="8.86328125" style="46"/>
    <col min="11" max="11" width="11.1328125" customWidth="1"/>
    <col min="13" max="13" width="14" style="46" customWidth="1"/>
    <col min="14" max="14" width="14" customWidth="1"/>
    <col min="15" max="15" width="10.59765625" customWidth="1"/>
  </cols>
  <sheetData>
    <row r="1" spans="1:15" ht="25.5" x14ac:dyDescent="0.75">
      <c r="A1" s="59" t="s">
        <v>308</v>
      </c>
    </row>
    <row r="3" spans="1:15" x14ac:dyDescent="0.45">
      <c r="A3" t="s">
        <v>0</v>
      </c>
      <c r="B3" s="87" t="s">
        <v>59</v>
      </c>
      <c r="C3" s="87" t="s">
        <v>60</v>
      </c>
      <c r="D3" s="87" t="s">
        <v>287</v>
      </c>
      <c r="E3" s="87" t="s">
        <v>251</v>
      </c>
      <c r="F3" s="87" t="s">
        <v>28</v>
      </c>
      <c r="G3" s="98" t="s">
        <v>156</v>
      </c>
      <c r="H3" s="88" t="s">
        <v>41</v>
      </c>
      <c r="I3" s="87" t="s">
        <v>162</v>
      </c>
      <c r="J3" s="87" t="s">
        <v>133</v>
      </c>
      <c r="K3" s="139" t="s">
        <v>293</v>
      </c>
      <c r="L3" s="139"/>
      <c r="M3" s="88" t="s">
        <v>248</v>
      </c>
      <c r="N3" s="87" t="s">
        <v>252</v>
      </c>
      <c r="O3" s="87" t="s">
        <v>253</v>
      </c>
    </row>
    <row r="4" spans="1:15" x14ac:dyDescent="0.45">
      <c r="A4" s="61"/>
      <c r="B4" s="89"/>
      <c r="C4" s="89" t="s">
        <v>30</v>
      </c>
      <c r="D4" s="89" t="s">
        <v>30</v>
      </c>
      <c r="E4" s="89" t="s">
        <v>30</v>
      </c>
      <c r="F4" s="89" t="s">
        <v>29</v>
      </c>
      <c r="G4" s="99" t="s">
        <v>157</v>
      </c>
      <c r="H4" s="90"/>
      <c r="I4" s="89"/>
      <c r="J4" s="89" t="s">
        <v>29</v>
      </c>
      <c r="K4" s="89"/>
      <c r="L4" s="89" t="s">
        <v>31</v>
      </c>
      <c r="M4" s="90"/>
      <c r="N4" s="89"/>
      <c r="O4" s="89" t="s">
        <v>29</v>
      </c>
    </row>
    <row r="5" spans="1:15" x14ac:dyDescent="0.45">
      <c r="A5" t="s">
        <v>58</v>
      </c>
      <c r="B5">
        <v>2</v>
      </c>
      <c r="C5">
        <v>394.17</v>
      </c>
      <c r="D5">
        <v>580.59</v>
      </c>
      <c r="E5">
        <v>186.42</v>
      </c>
      <c r="F5">
        <v>30.85</v>
      </c>
      <c r="G5" s="6">
        <f>1/F5</f>
        <v>3.2414910858995137E-2</v>
      </c>
      <c r="H5" s="46">
        <v>36</v>
      </c>
      <c r="I5">
        <f>1/H5</f>
        <v>2.7777777777777776E-2</v>
      </c>
      <c r="J5">
        <f>F5*H5</f>
        <v>1110.6000000000001</v>
      </c>
      <c r="K5">
        <f>E5/D5</f>
        <v>0.32108716994781167</v>
      </c>
      <c r="L5">
        <f>K5*100</f>
        <v>32.108716994781169</v>
      </c>
      <c r="M5" s="46">
        <f>K5*H5</f>
        <v>11.55913811812122</v>
      </c>
      <c r="N5">
        <f>1/M5</f>
        <v>8.6511640381933277E-2</v>
      </c>
      <c r="O5">
        <f>M5*F5</f>
        <v>356.59941094403968</v>
      </c>
    </row>
    <row r="6" spans="1:15" x14ac:dyDescent="0.45">
      <c r="A6" t="s">
        <v>170</v>
      </c>
      <c r="C6">
        <v>235</v>
      </c>
      <c r="D6">
        <v>525</v>
      </c>
      <c r="E6">
        <v>130</v>
      </c>
      <c r="F6">
        <v>55.56</v>
      </c>
      <c r="G6" s="6">
        <f>1/F6</f>
        <v>1.7998560115190784E-2</v>
      </c>
      <c r="H6" s="46">
        <v>45</v>
      </c>
      <c r="I6">
        <f>1/H6</f>
        <v>2.2222222222222223E-2</v>
      </c>
      <c r="J6">
        <f>F6*H6</f>
        <v>2500.2000000000003</v>
      </c>
      <c r="K6">
        <f>E6/D6</f>
        <v>0.24761904761904763</v>
      </c>
      <c r="L6">
        <f>K6*100</f>
        <v>24.761904761904763</v>
      </c>
      <c r="M6" s="46">
        <f>K6*H6</f>
        <v>11.142857142857142</v>
      </c>
      <c r="N6">
        <f>1/M6</f>
        <v>8.9743589743589744E-2</v>
      </c>
      <c r="O6">
        <f>M6*F6</f>
        <v>619.0971428571429</v>
      </c>
    </row>
  </sheetData>
  <mergeCells count="1">
    <mergeCell ref="K3:L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F24"/>
  <sheetViews>
    <sheetView workbookViewId="0">
      <selection activeCell="A2" sqref="A2"/>
    </sheetView>
  </sheetViews>
  <sheetFormatPr baseColWidth="10" defaultColWidth="8.86328125" defaultRowHeight="14.25" x14ac:dyDescent="0.45"/>
  <cols>
    <col min="1" max="1" width="9.3984375" style="21" customWidth="1"/>
    <col min="2" max="2" width="22.3984375" style="21" customWidth="1"/>
    <col min="3" max="4" width="11.265625" style="21" customWidth="1"/>
    <col min="5" max="5" width="9.59765625" style="21" bestFit="1" customWidth="1"/>
    <col min="6" max="6" width="9" style="21" bestFit="1" customWidth="1"/>
    <col min="7" max="7" width="13.86328125" style="21" customWidth="1"/>
    <col min="8" max="8" width="14" style="21" customWidth="1"/>
    <col min="9" max="9" width="9.3984375" style="44" bestFit="1" customWidth="1"/>
    <col min="10" max="10" width="11.73046875" style="21" customWidth="1"/>
    <col min="11" max="11" width="11.59765625" style="21" customWidth="1"/>
    <col min="12" max="12" width="9" style="21" bestFit="1" customWidth="1"/>
    <col min="13" max="13" width="9" style="22" bestFit="1" customWidth="1"/>
    <col min="14" max="14" width="11" style="44" customWidth="1"/>
    <col min="15" max="15" width="11" style="21" customWidth="1"/>
    <col min="16" max="16" width="10.73046875" style="21" customWidth="1"/>
    <col min="17" max="17" width="12.1328125" style="21" customWidth="1"/>
    <col min="18" max="18" width="12.59765625" style="50" customWidth="1"/>
    <col min="19" max="19" width="20.265625" style="21" customWidth="1"/>
    <col min="20" max="20" width="11.59765625" style="21" customWidth="1"/>
    <col min="21" max="21" width="14.59765625" style="47" customWidth="1"/>
    <col min="22" max="22" width="18.3984375" style="21" customWidth="1"/>
    <col min="23" max="23" width="10.73046875" style="21" customWidth="1"/>
    <col min="24" max="24" width="14.3984375" style="21" customWidth="1"/>
    <col min="25" max="25" width="12.86328125" style="21" customWidth="1"/>
    <col min="26" max="26" width="31.73046875" style="21" customWidth="1"/>
    <col min="27" max="27" width="14.73046875" style="44" customWidth="1"/>
    <col min="28" max="28" width="14.73046875" style="21" customWidth="1"/>
    <col min="29" max="29" width="13" style="21" customWidth="1"/>
    <col min="30" max="30" width="17.265625" style="44" customWidth="1"/>
    <col min="31" max="31" width="14.73046875" style="21" customWidth="1"/>
    <col min="32" max="32" width="12" style="21" customWidth="1"/>
    <col min="33" max="16384" width="8.86328125" style="21"/>
  </cols>
  <sheetData>
    <row r="1" spans="1:32" ht="25.5" x14ac:dyDescent="0.75">
      <c r="A1" s="141" t="s">
        <v>309</v>
      </c>
      <c r="B1" s="141"/>
      <c r="C1" s="141"/>
    </row>
    <row r="3" spans="1:32" x14ac:dyDescent="0.45">
      <c r="A3" s="142" t="s">
        <v>0</v>
      </c>
      <c r="B3" s="142"/>
      <c r="C3" s="137" t="s">
        <v>51</v>
      </c>
      <c r="D3" s="137"/>
      <c r="E3" s="137" t="s">
        <v>71</v>
      </c>
      <c r="F3" s="137"/>
      <c r="G3" s="63" t="s">
        <v>255</v>
      </c>
      <c r="H3" s="63" t="s">
        <v>256</v>
      </c>
      <c r="I3" s="70" t="s">
        <v>41</v>
      </c>
      <c r="J3" s="63" t="s">
        <v>238</v>
      </c>
      <c r="K3" s="63" t="s">
        <v>251</v>
      </c>
      <c r="L3" s="137" t="s">
        <v>294</v>
      </c>
      <c r="M3" s="137"/>
      <c r="N3" s="70" t="s">
        <v>248</v>
      </c>
      <c r="O3" s="63" t="s">
        <v>253</v>
      </c>
      <c r="P3" s="137" t="s">
        <v>188</v>
      </c>
      <c r="Q3" s="137"/>
      <c r="R3" s="137"/>
      <c r="S3" s="63" t="s">
        <v>194</v>
      </c>
      <c r="T3" s="63" t="s">
        <v>151</v>
      </c>
      <c r="U3" s="102" t="s">
        <v>198</v>
      </c>
      <c r="V3" s="63" t="s">
        <v>199</v>
      </c>
      <c r="W3" s="63" t="s">
        <v>197</v>
      </c>
      <c r="X3" s="137" t="s">
        <v>221</v>
      </c>
      <c r="Y3" s="137"/>
      <c r="Z3" s="63" t="s">
        <v>222</v>
      </c>
      <c r="AA3" s="70" t="s">
        <v>200</v>
      </c>
      <c r="AB3" s="63" t="s">
        <v>232</v>
      </c>
      <c r="AC3" s="63" t="s">
        <v>234</v>
      </c>
      <c r="AD3" s="70" t="s">
        <v>201</v>
      </c>
      <c r="AE3" s="63" t="s">
        <v>233</v>
      </c>
      <c r="AF3" s="63" t="s">
        <v>235</v>
      </c>
    </row>
    <row r="4" spans="1:32" x14ac:dyDescent="0.45">
      <c r="A4" s="69"/>
      <c r="B4" s="69"/>
      <c r="C4" s="64" t="s">
        <v>78</v>
      </c>
      <c r="D4" s="64" t="s">
        <v>29</v>
      </c>
      <c r="E4" s="64" t="s">
        <v>72</v>
      </c>
      <c r="F4" s="64" t="s">
        <v>135</v>
      </c>
      <c r="G4" s="64" t="s">
        <v>73</v>
      </c>
      <c r="H4" s="64" t="s">
        <v>72</v>
      </c>
      <c r="I4" s="78"/>
      <c r="J4" s="64" t="s">
        <v>29</v>
      </c>
      <c r="K4" s="64" t="s">
        <v>72</v>
      </c>
      <c r="L4" s="64"/>
      <c r="M4" s="83" t="s">
        <v>31</v>
      </c>
      <c r="N4" s="78"/>
      <c r="O4" s="64" t="s">
        <v>29</v>
      </c>
      <c r="P4" s="64" t="s">
        <v>74</v>
      </c>
      <c r="Q4" s="64" t="s">
        <v>136</v>
      </c>
      <c r="R4" s="100" t="s">
        <v>37</v>
      </c>
      <c r="S4" s="64" t="s">
        <v>132</v>
      </c>
      <c r="T4" s="64" t="s">
        <v>152</v>
      </c>
      <c r="U4" s="101" t="s">
        <v>37</v>
      </c>
      <c r="V4" s="64" t="s">
        <v>132</v>
      </c>
      <c r="W4" s="64" t="s">
        <v>152</v>
      </c>
      <c r="X4" s="64" t="s">
        <v>165</v>
      </c>
      <c r="Y4" s="64" t="s">
        <v>36</v>
      </c>
      <c r="Z4" s="64" t="s">
        <v>43</v>
      </c>
      <c r="AA4" s="78" t="s">
        <v>166</v>
      </c>
      <c r="AB4" s="64" t="s">
        <v>231</v>
      </c>
      <c r="AC4" s="64"/>
      <c r="AD4" s="78" t="s">
        <v>166</v>
      </c>
      <c r="AE4" s="64" t="s">
        <v>231</v>
      </c>
      <c r="AF4" s="64"/>
    </row>
    <row r="5" spans="1:32" x14ac:dyDescent="0.45">
      <c r="A5" s="21" t="s">
        <v>61</v>
      </c>
      <c r="B5" s="21" t="s">
        <v>62</v>
      </c>
      <c r="C5" s="22">
        <v>13.2</v>
      </c>
      <c r="D5" s="22">
        <f>C5*0.514</f>
        <v>6.7847999999999997</v>
      </c>
      <c r="E5" s="21">
        <v>7000</v>
      </c>
      <c r="G5" s="21">
        <v>186</v>
      </c>
      <c r="H5" s="21">
        <v>9259</v>
      </c>
      <c r="I5" s="45">
        <f>H5*9.81/G5</f>
        <v>488.33758064516132</v>
      </c>
      <c r="J5" s="22">
        <f>D5*I5</f>
        <v>3313.2728171612903</v>
      </c>
      <c r="K5" s="21">
        <v>5670</v>
      </c>
      <c r="L5" s="21">
        <f>K5/H5</f>
        <v>0.61237714656010367</v>
      </c>
      <c r="M5" s="22">
        <f>L5*100</f>
        <v>61.237714656010368</v>
      </c>
      <c r="N5" s="44">
        <f>I5*L5</f>
        <v>299.0467741935484</v>
      </c>
      <c r="O5" s="21">
        <f>N5*D5</f>
        <v>2028.9725535483872</v>
      </c>
      <c r="P5" s="21">
        <v>0.14000000000000001</v>
      </c>
      <c r="R5" s="50">
        <f>P5*1000000/(1000*1000)</f>
        <v>0.14000000000000001</v>
      </c>
      <c r="S5" s="21">
        <f>1/R5</f>
        <v>7.1428571428571423</v>
      </c>
      <c r="T5" s="21">
        <f>S5*D5</f>
        <v>48.462857142857139</v>
      </c>
      <c r="U5" s="50">
        <f>R5*1.1</f>
        <v>0.15400000000000003</v>
      </c>
      <c r="V5" s="21">
        <f>1/U5</f>
        <v>6.4935064935064926</v>
      </c>
      <c r="W5" s="21">
        <f>V5*D5</f>
        <v>44.05714285714285</v>
      </c>
      <c r="X5" s="21">
        <v>47</v>
      </c>
      <c r="Y5" s="21">
        <f>X5/1852</f>
        <v>2.5377969762419007E-2</v>
      </c>
      <c r="Z5" s="21">
        <f>Y5/(K5*1000)</f>
        <v>4.4758324095977082E-9</v>
      </c>
      <c r="AA5" s="44">
        <f>Z5*3.15*1.1/10^-7</f>
        <v>0.15508759299256059</v>
      </c>
      <c r="AB5" s="21">
        <f>1/AA5</f>
        <v>6.447969052224372</v>
      </c>
      <c r="AC5" s="21">
        <f>D5*AB5</f>
        <v>43.74818042553192</v>
      </c>
      <c r="AD5" s="44">
        <f>AA5</f>
        <v>0.15508759299256059</v>
      </c>
      <c r="AE5" s="21">
        <f>1/AD5</f>
        <v>6.447969052224372</v>
      </c>
      <c r="AF5" s="21">
        <f>D5*AE5</f>
        <v>43.74818042553192</v>
      </c>
    </row>
    <row r="6" spans="1:32" x14ac:dyDescent="0.45">
      <c r="B6" s="21" t="s">
        <v>63</v>
      </c>
      <c r="C6" s="22">
        <v>13.81</v>
      </c>
      <c r="D6" s="22">
        <f t="shared" ref="D6:D21" si="0">C6*0.514</f>
        <v>7.0983400000000003</v>
      </c>
      <c r="E6" s="21">
        <v>20000</v>
      </c>
      <c r="G6" s="21">
        <v>351</v>
      </c>
      <c r="H6" s="21">
        <v>25543</v>
      </c>
      <c r="I6" s="45">
        <f t="shared" ref="I6:I21" si="1">H6*9.81/G6</f>
        <v>713.89410256410258</v>
      </c>
      <c r="J6" s="22">
        <f t="shared" ref="J6:J21" si="2">D6*I6</f>
        <v>5067.4630639948718</v>
      </c>
      <c r="K6" s="21">
        <v>17100</v>
      </c>
      <c r="L6" s="21">
        <f t="shared" ref="L6:L21" si="3">K6/H6</f>
        <v>0.66945934306855104</v>
      </c>
      <c r="M6" s="22">
        <f t="shared" ref="M6:M21" si="4">L6*100</f>
        <v>66.945934306855108</v>
      </c>
      <c r="N6" s="44">
        <f t="shared" ref="N6:N21" si="5">I6*L6</f>
        <v>477.92307692307691</v>
      </c>
      <c r="O6" s="21">
        <f t="shared" ref="O6:O21" si="6">N6*D6</f>
        <v>3392.4604938461539</v>
      </c>
      <c r="P6" s="21">
        <v>8.2000000000000003E-2</v>
      </c>
      <c r="R6" s="50">
        <f t="shared" ref="R6:R17" si="7">P6*1000000/(1000*1000)</f>
        <v>8.2000000000000003E-2</v>
      </c>
      <c r="S6" s="21">
        <f t="shared" ref="S6:S21" si="8">1/R6</f>
        <v>12.195121951219512</v>
      </c>
      <c r="T6" s="21">
        <f t="shared" ref="T6:T21" si="9">S6*D6</f>
        <v>86.565121951219524</v>
      </c>
      <c r="U6" s="50">
        <f t="shared" ref="U6:U21" si="10">R6*1.1</f>
        <v>9.0200000000000016E-2</v>
      </c>
      <c r="V6" s="21">
        <f t="shared" ref="V6:V21" si="11">1/U6</f>
        <v>11.086474501108645</v>
      </c>
      <c r="W6" s="21">
        <f t="shared" ref="W6:W21" si="12">V6*D6</f>
        <v>78.695565410199549</v>
      </c>
      <c r="X6" s="21">
        <v>65</v>
      </c>
      <c r="Y6" s="21">
        <f t="shared" ref="Y6:Y21" si="13">X6/1852</f>
        <v>3.5097192224622029E-2</v>
      </c>
      <c r="Z6" s="21">
        <f t="shared" ref="Z6:Z21" si="14">Y6/(K6*1000)</f>
        <v>2.0524673815568436E-9</v>
      </c>
      <c r="AA6" s="44">
        <f t="shared" ref="AA6:AA21" si="15">Z6*3.15*1.1/10^-7</f>
        <v>7.1117994770944645E-2</v>
      </c>
      <c r="AB6" s="21">
        <f t="shared" ref="AB6:AB21" si="16">1/AA6</f>
        <v>14.061138861138859</v>
      </c>
      <c r="AC6" s="21">
        <f t="shared" ref="AC6:AC21" si="17">D6*AB6</f>
        <v>99.810744423576409</v>
      </c>
      <c r="AD6" s="44">
        <f t="shared" ref="AD6:AD21" si="18">AA6</f>
        <v>7.1117994770944645E-2</v>
      </c>
      <c r="AE6" s="21">
        <f t="shared" ref="AE6:AE21" si="19">1/AD6</f>
        <v>14.061138861138859</v>
      </c>
      <c r="AF6" s="21">
        <f t="shared" ref="AF6:AF21" si="20">D6*AE6</f>
        <v>99.810744423576409</v>
      </c>
    </row>
    <row r="7" spans="1:32" x14ac:dyDescent="0.45">
      <c r="B7" s="21" t="s">
        <v>64</v>
      </c>
      <c r="C7" s="22">
        <v>14.31</v>
      </c>
      <c r="D7" s="22">
        <f t="shared" si="0"/>
        <v>7.3553400000000009</v>
      </c>
      <c r="E7" s="21">
        <v>45000</v>
      </c>
      <c r="G7" s="21">
        <v>682</v>
      </c>
      <c r="H7" s="21">
        <v>53752</v>
      </c>
      <c r="I7" s="45">
        <f t="shared" si="1"/>
        <v>773.17759530791784</v>
      </c>
      <c r="J7" s="22">
        <f t="shared" si="2"/>
        <v>5686.9840938721409</v>
      </c>
      <c r="K7" s="21">
        <v>38475</v>
      </c>
      <c r="L7" s="21">
        <f t="shared" si="3"/>
        <v>0.71578731954159847</v>
      </c>
      <c r="M7" s="22">
        <f t="shared" si="4"/>
        <v>71.578731954159849</v>
      </c>
      <c r="N7" s="44">
        <f t="shared" si="5"/>
        <v>553.43071847507326</v>
      </c>
      <c r="O7" s="21">
        <f t="shared" si="6"/>
        <v>4070.671100828446</v>
      </c>
      <c r="P7" s="21">
        <v>5.6000000000000001E-2</v>
      </c>
      <c r="R7" s="50">
        <f t="shared" si="7"/>
        <v>5.6000000000000001E-2</v>
      </c>
      <c r="S7" s="21">
        <f t="shared" si="8"/>
        <v>17.857142857142858</v>
      </c>
      <c r="T7" s="21">
        <f t="shared" si="9"/>
        <v>131.34535714285715</v>
      </c>
      <c r="U7" s="50">
        <f t="shared" si="10"/>
        <v>6.1600000000000009E-2</v>
      </c>
      <c r="V7" s="21">
        <f t="shared" si="11"/>
        <v>16.233766233766232</v>
      </c>
      <c r="W7" s="21">
        <f t="shared" si="12"/>
        <v>119.40487012987013</v>
      </c>
      <c r="X7" s="21">
        <v>90</v>
      </c>
      <c r="Y7" s="21">
        <f t="shared" si="13"/>
        <v>4.859611231101512E-2</v>
      </c>
      <c r="Z7" s="21">
        <f t="shared" si="14"/>
        <v>1.2630568501888269E-9</v>
      </c>
      <c r="AA7" s="44">
        <f t="shared" si="15"/>
        <v>4.376491985904285E-2</v>
      </c>
      <c r="AB7" s="21">
        <f t="shared" si="16"/>
        <v>22.849350649350651</v>
      </c>
      <c r="AC7" s="21">
        <f t="shared" si="17"/>
        <v>168.06474280519484</v>
      </c>
      <c r="AD7" s="44">
        <f t="shared" si="18"/>
        <v>4.376491985904285E-2</v>
      </c>
      <c r="AE7" s="21">
        <f t="shared" si="19"/>
        <v>22.849350649350651</v>
      </c>
      <c r="AF7" s="21">
        <f t="shared" si="20"/>
        <v>168.06474280519484</v>
      </c>
    </row>
    <row r="8" spans="1:32" x14ac:dyDescent="0.45">
      <c r="B8" s="21" t="s">
        <v>65</v>
      </c>
      <c r="C8" s="22">
        <v>14.62</v>
      </c>
      <c r="D8" s="22">
        <f t="shared" si="0"/>
        <v>7.5146799999999994</v>
      </c>
      <c r="E8" s="21">
        <v>75000</v>
      </c>
      <c r="G8" s="21">
        <v>716</v>
      </c>
      <c r="H8" s="21">
        <v>86189</v>
      </c>
      <c r="I8" s="45">
        <f t="shared" si="1"/>
        <v>1180.8856005586592</v>
      </c>
      <c r="J8" s="22">
        <f t="shared" si="2"/>
        <v>8873.9774048061445</v>
      </c>
      <c r="K8" s="21">
        <v>64125</v>
      </c>
      <c r="L8" s="21">
        <f t="shared" si="3"/>
        <v>0.74400445532492543</v>
      </c>
      <c r="M8" s="22">
        <f t="shared" si="4"/>
        <v>74.40044553249254</v>
      </c>
      <c r="N8" s="44">
        <f t="shared" si="5"/>
        <v>878.58414804469271</v>
      </c>
      <c r="O8" s="21">
        <f t="shared" si="6"/>
        <v>6602.278725628491</v>
      </c>
      <c r="P8" s="21">
        <v>0.04</v>
      </c>
      <c r="R8" s="50">
        <f t="shared" si="7"/>
        <v>0.04</v>
      </c>
      <c r="S8" s="21">
        <f t="shared" si="8"/>
        <v>25</v>
      </c>
      <c r="T8" s="21">
        <f t="shared" si="9"/>
        <v>187.86699999999999</v>
      </c>
      <c r="U8" s="50">
        <f t="shared" si="10"/>
        <v>4.4000000000000004E-2</v>
      </c>
      <c r="V8" s="21">
        <f t="shared" si="11"/>
        <v>22.727272727272727</v>
      </c>
      <c r="W8" s="21">
        <f t="shared" si="12"/>
        <v>170.78818181818181</v>
      </c>
      <c r="X8" s="21">
        <v>99</v>
      </c>
      <c r="Y8" s="21">
        <f t="shared" si="13"/>
        <v>5.3455723542116633E-2</v>
      </c>
      <c r="Z8" s="21">
        <f t="shared" si="14"/>
        <v>8.3361752112462585E-10</v>
      </c>
      <c r="AA8" s="44">
        <f t="shared" si="15"/>
        <v>2.8884847106968287E-2</v>
      </c>
      <c r="AB8" s="21">
        <f t="shared" si="16"/>
        <v>34.620228256591894</v>
      </c>
      <c r="AC8" s="21">
        <f t="shared" si="17"/>
        <v>260.15993687524593</v>
      </c>
      <c r="AD8" s="44">
        <f t="shared" si="18"/>
        <v>2.8884847106968287E-2</v>
      </c>
      <c r="AE8" s="21">
        <f t="shared" si="19"/>
        <v>34.620228256591894</v>
      </c>
      <c r="AF8" s="21">
        <f t="shared" si="20"/>
        <v>260.15993687524593</v>
      </c>
    </row>
    <row r="9" spans="1:32" x14ac:dyDescent="0.45">
      <c r="B9" s="21" t="s">
        <v>140</v>
      </c>
      <c r="C9" s="22">
        <v>14.8</v>
      </c>
      <c r="D9" s="22">
        <f t="shared" si="0"/>
        <v>7.6072000000000006</v>
      </c>
      <c r="E9" s="21">
        <v>100000</v>
      </c>
      <c r="G9" s="21">
        <v>880</v>
      </c>
      <c r="H9" s="21">
        <v>115435</v>
      </c>
      <c r="I9" s="45">
        <f t="shared" si="1"/>
        <v>1286.8378977272728</v>
      </c>
      <c r="J9" s="22">
        <f t="shared" si="2"/>
        <v>9789.2332555909106</v>
      </c>
      <c r="K9" s="21">
        <v>85500</v>
      </c>
      <c r="L9" s="21">
        <f t="shared" si="3"/>
        <v>0.74067657123056263</v>
      </c>
      <c r="M9" s="22">
        <f t="shared" si="4"/>
        <v>74.067657123056264</v>
      </c>
      <c r="N9" s="44">
        <f t="shared" si="5"/>
        <v>953.13068181818187</v>
      </c>
      <c r="O9" s="21">
        <f t="shared" si="6"/>
        <v>7250.6557227272733</v>
      </c>
      <c r="P9" s="21">
        <v>3.7999999999999999E-2</v>
      </c>
      <c r="R9" s="50">
        <f t="shared" si="7"/>
        <v>3.7999999999999999E-2</v>
      </c>
      <c r="S9" s="21">
        <f t="shared" si="8"/>
        <v>26.315789473684212</v>
      </c>
      <c r="T9" s="21">
        <f t="shared" si="9"/>
        <v>200.18947368421055</v>
      </c>
      <c r="U9" s="50">
        <f t="shared" si="10"/>
        <v>4.1800000000000004E-2</v>
      </c>
      <c r="V9" s="21">
        <f t="shared" si="11"/>
        <v>23.923444976076553</v>
      </c>
      <c r="W9" s="21">
        <f t="shared" si="12"/>
        <v>181.99043062200957</v>
      </c>
      <c r="X9" s="21">
        <v>123</v>
      </c>
      <c r="Y9" s="21">
        <f t="shared" si="13"/>
        <v>6.6414686825053998E-2</v>
      </c>
      <c r="Z9" s="21">
        <f t="shared" si="14"/>
        <v>7.7677996286612861E-10</v>
      </c>
      <c r="AA9" s="44">
        <f t="shared" si="15"/>
        <v>2.6915425713311361E-2</v>
      </c>
      <c r="AB9" s="21">
        <f t="shared" si="16"/>
        <v>37.153415690001047</v>
      </c>
      <c r="AC9" s="21">
        <f t="shared" si="17"/>
        <v>282.63346383697598</v>
      </c>
      <c r="AD9" s="44">
        <f t="shared" si="18"/>
        <v>2.6915425713311361E-2</v>
      </c>
      <c r="AE9" s="21">
        <f t="shared" si="19"/>
        <v>37.153415690001047</v>
      </c>
      <c r="AF9" s="21">
        <f t="shared" si="20"/>
        <v>282.63346383697598</v>
      </c>
    </row>
    <row r="10" spans="1:32" x14ac:dyDescent="0.45">
      <c r="B10" s="21" t="s">
        <v>141</v>
      </c>
      <c r="C10" s="22">
        <v>15</v>
      </c>
      <c r="D10" s="22">
        <f t="shared" si="0"/>
        <v>7.71</v>
      </c>
      <c r="E10" s="21">
        <v>250000</v>
      </c>
      <c r="G10" s="21">
        <v>1384</v>
      </c>
      <c r="H10" s="21">
        <v>280222</v>
      </c>
      <c r="I10" s="45">
        <f t="shared" si="1"/>
        <v>1986.2556502890175</v>
      </c>
      <c r="J10" s="22">
        <f t="shared" si="2"/>
        <v>15314.031063728324</v>
      </c>
      <c r="K10" s="21">
        <v>213750</v>
      </c>
      <c r="L10" s="21">
        <f t="shared" si="3"/>
        <v>0.76278807516897318</v>
      </c>
      <c r="M10" s="22">
        <f t="shared" si="4"/>
        <v>76.278807516897317</v>
      </c>
      <c r="N10" s="44">
        <f t="shared" si="5"/>
        <v>1515.0921242774568</v>
      </c>
      <c r="O10" s="21">
        <f t="shared" si="6"/>
        <v>11681.360278179192</v>
      </c>
      <c r="P10" s="21">
        <v>2.3E-2</v>
      </c>
      <c r="R10" s="50">
        <f t="shared" si="7"/>
        <v>2.3E-2</v>
      </c>
      <c r="S10" s="21">
        <f t="shared" si="8"/>
        <v>43.478260869565219</v>
      </c>
      <c r="T10" s="21">
        <f t="shared" si="9"/>
        <v>335.21739130434781</v>
      </c>
      <c r="U10" s="50">
        <f t="shared" si="10"/>
        <v>2.5300000000000003E-2</v>
      </c>
      <c r="V10" s="21">
        <f t="shared" si="11"/>
        <v>39.525691699604735</v>
      </c>
      <c r="W10" s="21">
        <f t="shared" si="12"/>
        <v>304.74308300395251</v>
      </c>
      <c r="X10" s="21">
        <v>183</v>
      </c>
      <c r="Y10" s="21">
        <f t="shared" si="13"/>
        <v>9.8812095032397407E-2</v>
      </c>
      <c r="Z10" s="21">
        <f t="shared" si="14"/>
        <v>4.6227880716911069E-10</v>
      </c>
      <c r="AA10" s="44">
        <f t="shared" si="15"/>
        <v>1.6017960668409686E-2</v>
      </c>
      <c r="AB10" s="21">
        <f t="shared" si="16"/>
        <v>62.429919806968982</v>
      </c>
      <c r="AC10" s="21">
        <f t="shared" si="17"/>
        <v>481.33468171173087</v>
      </c>
      <c r="AD10" s="44">
        <f t="shared" si="18"/>
        <v>1.6017960668409686E-2</v>
      </c>
      <c r="AE10" s="21">
        <f t="shared" si="19"/>
        <v>62.429919806968982</v>
      </c>
      <c r="AF10" s="21">
        <f t="shared" si="20"/>
        <v>481.33468171173087</v>
      </c>
    </row>
    <row r="11" spans="1:32" x14ac:dyDescent="0.45">
      <c r="A11" s="21" t="s">
        <v>66</v>
      </c>
      <c r="B11" s="21" t="s">
        <v>67</v>
      </c>
      <c r="C11" s="22">
        <v>13.9</v>
      </c>
      <c r="D11" s="22">
        <f t="shared" si="0"/>
        <v>7.1446000000000005</v>
      </c>
      <c r="E11" s="21">
        <v>7000</v>
      </c>
      <c r="G11" s="21">
        <v>228</v>
      </c>
      <c r="H11" s="21">
        <v>9599</v>
      </c>
      <c r="I11" s="45">
        <f t="shared" si="1"/>
        <v>413.00960526315788</v>
      </c>
      <c r="J11" s="22">
        <f t="shared" si="2"/>
        <v>2950.7884257631581</v>
      </c>
      <c r="K11" s="21">
        <v>5670</v>
      </c>
      <c r="L11" s="21">
        <f t="shared" si="3"/>
        <v>0.5906865298468591</v>
      </c>
      <c r="M11" s="22">
        <f t="shared" si="4"/>
        <v>59.068652984685912</v>
      </c>
      <c r="N11" s="44">
        <f t="shared" si="5"/>
        <v>243.95921052631581</v>
      </c>
      <c r="O11" s="21">
        <f t="shared" si="6"/>
        <v>1742.9909755263161</v>
      </c>
      <c r="P11" s="21">
        <v>0.16700000000000001</v>
      </c>
      <c r="R11" s="50">
        <f t="shared" si="7"/>
        <v>0.16700000000000001</v>
      </c>
      <c r="S11" s="21">
        <f t="shared" si="8"/>
        <v>5.9880239520958076</v>
      </c>
      <c r="T11" s="21">
        <f t="shared" si="9"/>
        <v>42.782035928143713</v>
      </c>
      <c r="U11" s="50">
        <f t="shared" si="10"/>
        <v>0.18370000000000003</v>
      </c>
      <c r="V11" s="21">
        <f t="shared" si="11"/>
        <v>5.4436581382689155</v>
      </c>
      <c r="W11" s="21">
        <f t="shared" si="12"/>
        <v>38.8927599346761</v>
      </c>
      <c r="X11" s="21">
        <v>64</v>
      </c>
      <c r="Y11" s="21">
        <f t="shared" si="13"/>
        <v>3.4557235421166309E-2</v>
      </c>
      <c r="Z11" s="21">
        <f t="shared" si="14"/>
        <v>6.0947505151968795E-9</v>
      </c>
      <c r="AA11" s="44">
        <f t="shared" si="15"/>
        <v>0.21118310535157186</v>
      </c>
      <c r="AB11" s="21">
        <f t="shared" si="16"/>
        <v>4.7352272727272728</v>
      </c>
      <c r="AC11" s="21">
        <f t="shared" si="17"/>
        <v>33.831304772727279</v>
      </c>
      <c r="AD11" s="44">
        <f t="shared" si="18"/>
        <v>0.21118310535157186</v>
      </c>
      <c r="AE11" s="21">
        <f t="shared" si="19"/>
        <v>4.7352272727272728</v>
      </c>
      <c r="AF11" s="21">
        <f t="shared" si="20"/>
        <v>33.831304772727279</v>
      </c>
    </row>
    <row r="12" spans="1:32" x14ac:dyDescent="0.45">
      <c r="B12" s="21" t="s">
        <v>68</v>
      </c>
      <c r="C12" s="22">
        <v>14.54</v>
      </c>
      <c r="D12" s="22">
        <f t="shared" si="0"/>
        <v>7.47356</v>
      </c>
      <c r="E12" s="21">
        <v>20000</v>
      </c>
      <c r="G12" s="21">
        <v>398</v>
      </c>
      <c r="H12" s="21">
        <v>25911</v>
      </c>
      <c r="I12" s="45">
        <f t="shared" si="1"/>
        <v>638.66057788944727</v>
      </c>
      <c r="J12" s="22">
        <f t="shared" si="2"/>
        <v>4773.0681484914576</v>
      </c>
      <c r="K12" s="21">
        <v>17100</v>
      </c>
      <c r="L12" s="21">
        <f t="shared" si="3"/>
        <v>0.65995137200416809</v>
      </c>
      <c r="M12" s="22">
        <f t="shared" si="4"/>
        <v>65.995137200416806</v>
      </c>
      <c r="N12" s="44">
        <f t="shared" si="5"/>
        <v>421.4849246231156</v>
      </c>
      <c r="O12" s="21">
        <f t="shared" si="6"/>
        <v>3149.992873266332</v>
      </c>
      <c r="P12" s="21">
        <v>9.1999999999999998E-2</v>
      </c>
      <c r="R12" s="50">
        <f t="shared" si="7"/>
        <v>9.1999999999999998E-2</v>
      </c>
      <c r="S12" s="21">
        <f t="shared" si="8"/>
        <v>10.869565217391305</v>
      </c>
      <c r="T12" s="21">
        <f t="shared" si="9"/>
        <v>81.23434782608696</v>
      </c>
      <c r="U12" s="50">
        <f t="shared" si="10"/>
        <v>0.10120000000000001</v>
      </c>
      <c r="V12" s="21">
        <f t="shared" si="11"/>
        <v>9.8814229249011838</v>
      </c>
      <c r="W12" s="21">
        <f t="shared" si="12"/>
        <v>73.849407114624498</v>
      </c>
      <c r="X12" s="21">
        <v>79</v>
      </c>
      <c r="Y12" s="21">
        <f t="shared" si="13"/>
        <v>4.2656587473002161E-2</v>
      </c>
      <c r="Z12" s="21">
        <f t="shared" si="14"/>
        <v>2.4945372791229332E-9</v>
      </c>
      <c r="AA12" s="44">
        <f t="shared" si="15"/>
        <v>8.6435716721609643E-2</v>
      </c>
      <c r="AB12" s="21">
        <f t="shared" si="16"/>
        <v>11.569291468025645</v>
      </c>
      <c r="AC12" s="21">
        <f t="shared" si="17"/>
        <v>86.463793943777731</v>
      </c>
      <c r="AD12" s="44">
        <f t="shared" si="18"/>
        <v>8.6435716721609643E-2</v>
      </c>
      <c r="AE12" s="21">
        <f t="shared" si="19"/>
        <v>11.569291468025645</v>
      </c>
      <c r="AF12" s="21">
        <f t="shared" si="20"/>
        <v>86.463793943777731</v>
      </c>
    </row>
    <row r="13" spans="1:32" x14ac:dyDescent="0.45">
      <c r="B13" s="21" t="s">
        <v>69</v>
      </c>
      <c r="C13" s="22">
        <v>15</v>
      </c>
      <c r="D13" s="22">
        <f t="shared" si="0"/>
        <v>7.71</v>
      </c>
      <c r="E13" s="21">
        <v>45000</v>
      </c>
      <c r="G13" s="21">
        <v>697</v>
      </c>
      <c r="H13" s="21">
        <v>54798</v>
      </c>
      <c r="I13" s="45">
        <f t="shared" si="1"/>
        <v>771.26022955523672</v>
      </c>
      <c r="J13" s="22">
        <f t="shared" si="2"/>
        <v>5946.4163698708753</v>
      </c>
      <c r="K13" s="21">
        <v>38475</v>
      </c>
      <c r="L13" s="21">
        <f t="shared" si="3"/>
        <v>0.70212416511551512</v>
      </c>
      <c r="M13" s="22">
        <f t="shared" si="4"/>
        <v>70.21241651155151</v>
      </c>
      <c r="N13" s="44">
        <f t="shared" si="5"/>
        <v>541.52044476327114</v>
      </c>
      <c r="O13" s="21">
        <f t="shared" si="6"/>
        <v>4175.1226291248204</v>
      </c>
      <c r="P13" s="21">
        <v>6.3E-2</v>
      </c>
      <c r="R13" s="50">
        <f t="shared" si="7"/>
        <v>6.3E-2</v>
      </c>
      <c r="S13" s="21">
        <f t="shared" si="8"/>
        <v>15.873015873015873</v>
      </c>
      <c r="T13" s="21">
        <f t="shared" si="9"/>
        <v>122.38095238095238</v>
      </c>
      <c r="U13" s="50">
        <f t="shared" si="10"/>
        <v>6.93E-2</v>
      </c>
      <c r="V13" s="21">
        <f t="shared" si="11"/>
        <v>14.430014430014429</v>
      </c>
      <c r="W13" s="21">
        <f t="shared" si="12"/>
        <v>111.25541125541125</v>
      </c>
      <c r="X13" s="21">
        <v>107</v>
      </c>
      <c r="Y13" s="21">
        <f t="shared" si="13"/>
        <v>5.7775377969762419E-2</v>
      </c>
      <c r="Z13" s="21">
        <f t="shared" si="14"/>
        <v>1.5016342552244943E-9</v>
      </c>
      <c r="AA13" s="44">
        <f t="shared" si="15"/>
        <v>5.2031626943528732E-2</v>
      </c>
      <c r="AB13" s="21">
        <f t="shared" si="16"/>
        <v>19.219079985435123</v>
      </c>
      <c r="AC13" s="21">
        <f t="shared" si="17"/>
        <v>148.1791066877048</v>
      </c>
      <c r="AD13" s="44">
        <f t="shared" si="18"/>
        <v>5.2031626943528732E-2</v>
      </c>
      <c r="AE13" s="21">
        <f t="shared" si="19"/>
        <v>19.219079985435123</v>
      </c>
      <c r="AF13" s="21">
        <f t="shared" si="20"/>
        <v>148.1791066877048</v>
      </c>
    </row>
    <row r="14" spans="1:32" x14ac:dyDescent="0.45">
      <c r="B14" s="21" t="s">
        <v>70</v>
      </c>
      <c r="C14" s="22">
        <v>15</v>
      </c>
      <c r="D14" s="22">
        <f t="shared" si="0"/>
        <v>7.71</v>
      </c>
      <c r="E14" s="21">
        <v>60000</v>
      </c>
      <c r="G14" s="21">
        <v>856</v>
      </c>
      <c r="H14" s="21">
        <v>71749</v>
      </c>
      <c r="I14" s="45">
        <f t="shared" si="1"/>
        <v>822.2636565420562</v>
      </c>
      <c r="J14" s="22">
        <f t="shared" si="2"/>
        <v>6339.6527919392529</v>
      </c>
      <c r="K14" s="21">
        <v>51300</v>
      </c>
      <c r="L14" s="21">
        <f t="shared" si="3"/>
        <v>0.7149925434500829</v>
      </c>
      <c r="M14" s="22">
        <f t="shared" si="4"/>
        <v>71.499254345008296</v>
      </c>
      <c r="N14" s="44">
        <f t="shared" si="5"/>
        <v>587.91238317757018</v>
      </c>
      <c r="O14" s="21">
        <f t="shared" si="6"/>
        <v>4532.804474299066</v>
      </c>
      <c r="P14" s="21">
        <v>0.05</v>
      </c>
      <c r="R14" s="50">
        <f t="shared" si="7"/>
        <v>0.05</v>
      </c>
      <c r="S14" s="21">
        <f t="shared" si="8"/>
        <v>20</v>
      </c>
      <c r="T14" s="21">
        <f t="shared" si="9"/>
        <v>154.19999999999999</v>
      </c>
      <c r="U14" s="50">
        <f t="shared" si="10"/>
        <v>5.5000000000000007E-2</v>
      </c>
      <c r="V14" s="21">
        <f t="shared" si="11"/>
        <v>18.18181818181818</v>
      </c>
      <c r="W14" s="21">
        <f t="shared" si="12"/>
        <v>140.18181818181816</v>
      </c>
      <c r="X14" s="21">
        <v>113</v>
      </c>
      <c r="Y14" s="21">
        <f t="shared" si="13"/>
        <v>6.1015118790496758E-2</v>
      </c>
      <c r="Z14" s="21">
        <f t="shared" si="14"/>
        <v>1.1893785339278121E-9</v>
      </c>
      <c r="AA14" s="44">
        <f t="shared" si="15"/>
        <v>4.1211966200598693E-2</v>
      </c>
      <c r="AB14" s="21">
        <f t="shared" si="16"/>
        <v>24.264797149752898</v>
      </c>
      <c r="AC14" s="21">
        <f t="shared" si="17"/>
        <v>187.08158602459483</v>
      </c>
      <c r="AD14" s="44">
        <f t="shared" si="18"/>
        <v>4.1211966200598693E-2</v>
      </c>
      <c r="AE14" s="21">
        <f t="shared" si="19"/>
        <v>24.264797149752898</v>
      </c>
      <c r="AF14" s="21">
        <f t="shared" si="20"/>
        <v>187.08158602459483</v>
      </c>
    </row>
    <row r="15" spans="1:32" x14ac:dyDescent="0.45">
      <c r="B15" s="21" t="s">
        <v>138</v>
      </c>
      <c r="C15" s="22">
        <v>15</v>
      </c>
      <c r="D15" s="22">
        <f t="shared" si="0"/>
        <v>7.71</v>
      </c>
      <c r="E15" s="21">
        <v>100000</v>
      </c>
      <c r="G15" s="21">
        <v>888</v>
      </c>
      <c r="H15" s="21">
        <v>117183</v>
      </c>
      <c r="I15" s="45">
        <f t="shared" si="1"/>
        <v>1294.5554391891892</v>
      </c>
      <c r="J15" s="22">
        <f t="shared" si="2"/>
        <v>9981.0224361486489</v>
      </c>
      <c r="K15" s="21">
        <v>85500</v>
      </c>
      <c r="L15" s="21">
        <f t="shared" si="3"/>
        <v>0.72962801771588026</v>
      </c>
      <c r="M15" s="22">
        <f t="shared" si="4"/>
        <v>72.962801771588033</v>
      </c>
      <c r="N15" s="44">
        <f t="shared" si="5"/>
        <v>944.54391891891885</v>
      </c>
      <c r="O15" s="21">
        <f t="shared" si="6"/>
        <v>7282.4336148648645</v>
      </c>
      <c r="P15" s="21">
        <v>3.9E-2</v>
      </c>
      <c r="R15" s="50">
        <f t="shared" si="7"/>
        <v>3.9E-2</v>
      </c>
      <c r="S15" s="21">
        <f t="shared" si="8"/>
        <v>25.641025641025642</v>
      </c>
      <c r="T15" s="21">
        <f t="shared" si="9"/>
        <v>197.69230769230771</v>
      </c>
      <c r="U15" s="50">
        <f t="shared" si="10"/>
        <v>4.2900000000000001E-2</v>
      </c>
      <c r="V15" s="21">
        <f t="shared" si="11"/>
        <v>23.310023310023311</v>
      </c>
      <c r="W15" s="21">
        <f t="shared" si="12"/>
        <v>179.72027972027973</v>
      </c>
      <c r="X15" s="21">
        <v>147</v>
      </c>
      <c r="Y15" s="21">
        <f t="shared" si="13"/>
        <v>7.9373650107991356E-2</v>
      </c>
      <c r="Z15" s="21">
        <f t="shared" si="14"/>
        <v>9.2834678488878779E-10</v>
      </c>
      <c r="AA15" s="44">
        <f t="shared" si="15"/>
        <v>3.21672160963965E-2</v>
      </c>
      <c r="AB15" s="21">
        <f t="shared" si="16"/>
        <v>31.087551903878435</v>
      </c>
      <c r="AC15" s="21">
        <f t="shared" si="17"/>
        <v>239.68502517890272</v>
      </c>
      <c r="AD15" s="44">
        <f t="shared" si="18"/>
        <v>3.21672160963965E-2</v>
      </c>
      <c r="AE15" s="21">
        <f t="shared" si="19"/>
        <v>31.087551903878435</v>
      </c>
      <c r="AF15" s="21">
        <f t="shared" si="20"/>
        <v>239.68502517890272</v>
      </c>
    </row>
    <row r="16" spans="1:32" x14ac:dyDescent="0.45">
      <c r="B16" s="21" t="s">
        <v>139</v>
      </c>
      <c r="C16" s="22">
        <v>15</v>
      </c>
      <c r="D16" s="22">
        <f t="shared" si="0"/>
        <v>7.71</v>
      </c>
      <c r="E16" s="21">
        <v>150000</v>
      </c>
      <c r="G16" s="21">
        <v>1057</v>
      </c>
      <c r="H16" s="21">
        <v>173841</v>
      </c>
      <c r="I16" s="45">
        <f t="shared" si="1"/>
        <v>1613.4155250709557</v>
      </c>
      <c r="J16" s="22">
        <f t="shared" si="2"/>
        <v>12439.433698297069</v>
      </c>
      <c r="K16" s="21">
        <v>128250</v>
      </c>
      <c r="L16" s="21">
        <f t="shared" si="3"/>
        <v>0.73774311008335203</v>
      </c>
      <c r="M16" s="22">
        <f t="shared" si="4"/>
        <v>73.774311008335204</v>
      </c>
      <c r="N16" s="44">
        <f t="shared" si="5"/>
        <v>1190.2861873226113</v>
      </c>
      <c r="O16" s="21">
        <f t="shared" si="6"/>
        <v>9177.1065042573337</v>
      </c>
      <c r="P16" s="21">
        <v>0.03</v>
      </c>
      <c r="R16" s="50">
        <f t="shared" si="7"/>
        <v>0.03</v>
      </c>
      <c r="S16" s="21">
        <f t="shared" si="8"/>
        <v>33.333333333333336</v>
      </c>
      <c r="T16" s="21">
        <f t="shared" si="9"/>
        <v>257</v>
      </c>
      <c r="U16" s="50">
        <f t="shared" si="10"/>
        <v>3.3000000000000002E-2</v>
      </c>
      <c r="V16" s="21">
        <f t="shared" si="11"/>
        <v>30.303030303030301</v>
      </c>
      <c r="W16" s="21">
        <f t="shared" si="12"/>
        <v>233.63636363636363</v>
      </c>
      <c r="X16" s="21">
        <v>171</v>
      </c>
      <c r="Y16" s="21">
        <f t="shared" si="13"/>
        <v>9.2332613390928728E-2</v>
      </c>
      <c r="Z16" s="21">
        <f t="shared" si="14"/>
        <v>7.1994240460763138E-10</v>
      </c>
      <c r="AA16" s="44">
        <f t="shared" si="15"/>
        <v>2.4946004319654429E-2</v>
      </c>
      <c r="AB16" s="21">
        <f t="shared" si="16"/>
        <v>40.086580086580085</v>
      </c>
      <c r="AC16" s="21">
        <f t="shared" si="17"/>
        <v>309.06753246753243</v>
      </c>
      <c r="AD16" s="44">
        <f t="shared" si="18"/>
        <v>2.4946004319654429E-2</v>
      </c>
      <c r="AE16" s="21">
        <f t="shared" si="19"/>
        <v>40.086580086580085</v>
      </c>
      <c r="AF16" s="21">
        <f t="shared" si="20"/>
        <v>309.06753246753243</v>
      </c>
    </row>
    <row r="17" spans="1:32" x14ac:dyDescent="0.45">
      <c r="B17" s="21" t="s">
        <v>142</v>
      </c>
      <c r="C17" s="22">
        <v>15.5</v>
      </c>
      <c r="D17" s="22">
        <f t="shared" si="0"/>
        <v>7.9670000000000005</v>
      </c>
      <c r="E17" s="21">
        <v>250000</v>
      </c>
      <c r="G17" s="21">
        <v>1826</v>
      </c>
      <c r="H17" s="21">
        <v>285967</v>
      </c>
      <c r="I17" s="45">
        <f t="shared" si="1"/>
        <v>1536.328734939759</v>
      </c>
      <c r="J17" s="22">
        <f t="shared" si="2"/>
        <v>12239.931031265061</v>
      </c>
      <c r="K17" s="21">
        <v>213750</v>
      </c>
      <c r="L17" s="21">
        <f t="shared" si="3"/>
        <v>0.74746386820856947</v>
      </c>
      <c r="M17" s="22">
        <f t="shared" si="4"/>
        <v>74.746386820856941</v>
      </c>
      <c r="N17" s="44">
        <f t="shared" si="5"/>
        <v>1148.3502190580502</v>
      </c>
      <c r="O17" s="21">
        <f t="shared" si="6"/>
        <v>9148.9061952354878</v>
      </c>
      <c r="P17" s="21">
        <v>2.5000000000000001E-2</v>
      </c>
      <c r="R17" s="50">
        <f t="shared" si="7"/>
        <v>2.5000000000000001E-2</v>
      </c>
      <c r="S17" s="21">
        <f t="shared" si="8"/>
        <v>40</v>
      </c>
      <c r="T17" s="21">
        <f t="shared" si="9"/>
        <v>318.68</v>
      </c>
      <c r="U17" s="50">
        <f t="shared" si="10"/>
        <v>2.7500000000000004E-2</v>
      </c>
      <c r="V17" s="21">
        <f t="shared" si="11"/>
        <v>36.36363636363636</v>
      </c>
      <c r="W17" s="21">
        <f t="shared" si="12"/>
        <v>289.70909090909089</v>
      </c>
      <c r="X17" s="21">
        <v>217</v>
      </c>
      <c r="Y17" s="21">
        <f t="shared" si="13"/>
        <v>0.117170626349892</v>
      </c>
      <c r="Z17" s="21">
        <f t="shared" si="14"/>
        <v>5.4816667298195088E-10</v>
      </c>
      <c r="AA17" s="44">
        <f t="shared" si="15"/>
        <v>1.8993975218824601E-2</v>
      </c>
      <c r="AB17" s="21">
        <f t="shared" si="16"/>
        <v>52.648273385600568</v>
      </c>
      <c r="AC17" s="21">
        <f t="shared" si="17"/>
        <v>419.44879406307973</v>
      </c>
      <c r="AD17" s="44">
        <f t="shared" si="18"/>
        <v>1.8993975218824601E-2</v>
      </c>
      <c r="AE17" s="21">
        <f t="shared" si="19"/>
        <v>52.648273385600568</v>
      </c>
      <c r="AF17" s="21">
        <f t="shared" si="20"/>
        <v>419.44879406307973</v>
      </c>
    </row>
    <row r="18" spans="1:32" x14ac:dyDescent="0.45">
      <c r="A18" s="21" t="s">
        <v>134</v>
      </c>
      <c r="B18" s="21" t="s">
        <v>143</v>
      </c>
      <c r="C18" s="21">
        <v>20</v>
      </c>
      <c r="D18" s="22">
        <f t="shared" si="0"/>
        <v>10.280000000000001</v>
      </c>
      <c r="E18" s="21">
        <v>32832</v>
      </c>
      <c r="F18" s="21">
        <v>2500</v>
      </c>
      <c r="G18" s="21">
        <v>1137</v>
      </c>
      <c r="H18" s="21">
        <v>43564</v>
      </c>
      <c r="I18" s="45">
        <f t="shared" si="1"/>
        <v>375.86881266490769</v>
      </c>
      <c r="J18" s="22">
        <f t="shared" si="2"/>
        <v>3863.9313941952514</v>
      </c>
      <c r="K18" s="21">
        <v>22408</v>
      </c>
      <c r="L18" s="21">
        <f t="shared" si="3"/>
        <v>0.5143696630245157</v>
      </c>
      <c r="M18" s="22">
        <f t="shared" si="4"/>
        <v>51.436966302451573</v>
      </c>
      <c r="N18" s="44">
        <f t="shared" si="5"/>
        <v>193.33551451187338</v>
      </c>
      <c r="O18" s="21">
        <f t="shared" si="6"/>
        <v>1987.4890891820587</v>
      </c>
      <c r="Q18" s="21">
        <v>0.28499999999999998</v>
      </c>
      <c r="R18" s="50">
        <f>Q18*10^6/(1000*1852)</f>
        <v>0.1538876889848812</v>
      </c>
      <c r="S18" s="21">
        <f t="shared" si="8"/>
        <v>6.4982456140350884</v>
      </c>
      <c r="T18" s="21">
        <f t="shared" si="9"/>
        <v>66.80196491228071</v>
      </c>
      <c r="U18" s="50">
        <f t="shared" si="10"/>
        <v>0.16927645788336934</v>
      </c>
      <c r="V18" s="21">
        <f t="shared" si="11"/>
        <v>5.9074960127591707</v>
      </c>
      <c r="W18" s="21">
        <f t="shared" si="12"/>
        <v>60.729059011164281</v>
      </c>
      <c r="X18" s="21">
        <v>149</v>
      </c>
      <c r="Y18" s="21">
        <f t="shared" si="13"/>
        <v>8.0453563714902809E-2</v>
      </c>
      <c r="Z18" s="21">
        <f t="shared" si="14"/>
        <v>3.590394667748251E-9</v>
      </c>
      <c r="AA18" s="44">
        <f t="shared" si="15"/>
        <v>0.12440717523747692</v>
      </c>
      <c r="AB18" s="21">
        <f t="shared" si="16"/>
        <v>8.0381215801350017</v>
      </c>
      <c r="AC18" s="21">
        <f t="shared" si="17"/>
        <v>82.631889843787832</v>
      </c>
      <c r="AD18" s="44">
        <f t="shared" si="18"/>
        <v>0.12440717523747692</v>
      </c>
      <c r="AE18" s="21">
        <f t="shared" si="19"/>
        <v>8.0381215801350017</v>
      </c>
      <c r="AF18" s="21">
        <f t="shared" si="20"/>
        <v>82.631889843787832</v>
      </c>
    </row>
    <row r="19" spans="1:32" x14ac:dyDescent="0.45">
      <c r="B19" s="21" t="s">
        <v>144</v>
      </c>
      <c r="C19" s="21">
        <v>20.9</v>
      </c>
      <c r="D19" s="22">
        <f t="shared" si="0"/>
        <v>10.742599999999999</v>
      </c>
      <c r="E19" s="21">
        <v>45320</v>
      </c>
      <c r="F19" s="21">
        <v>3500</v>
      </c>
      <c r="G19" s="21">
        <v>1480</v>
      </c>
      <c r="H19" s="21">
        <v>60330</v>
      </c>
      <c r="I19" s="45">
        <f t="shared" si="1"/>
        <v>399.8900675675676</v>
      </c>
      <c r="J19" s="22">
        <f t="shared" si="2"/>
        <v>4295.8590398513516</v>
      </c>
      <c r="K19" s="21">
        <v>31702</v>
      </c>
      <c r="L19" s="21">
        <f t="shared" si="3"/>
        <v>0.52547654566550639</v>
      </c>
      <c r="M19" s="22">
        <f t="shared" si="4"/>
        <v>52.547654566550641</v>
      </c>
      <c r="N19" s="44">
        <f t="shared" si="5"/>
        <v>210.13285135135138</v>
      </c>
      <c r="O19" s="21">
        <f t="shared" si="6"/>
        <v>2257.3731689270271</v>
      </c>
      <c r="Q19" s="21">
        <v>0.24299999999999999</v>
      </c>
      <c r="R19" s="50">
        <f t="shared" ref="R19:R21" si="21">Q19*10^6/(1000*1852)</f>
        <v>0.13120950323974082</v>
      </c>
      <c r="S19" s="21">
        <f t="shared" si="8"/>
        <v>7.6213991769547329</v>
      </c>
      <c r="T19" s="21">
        <f t="shared" si="9"/>
        <v>81.873642798353913</v>
      </c>
      <c r="U19" s="50">
        <f t="shared" si="10"/>
        <v>0.14433045356371491</v>
      </c>
      <c r="V19" s="21">
        <f t="shared" si="11"/>
        <v>6.9285447063224836</v>
      </c>
      <c r="W19" s="21">
        <f t="shared" si="12"/>
        <v>74.430584362139911</v>
      </c>
      <c r="X19" s="21">
        <v>180</v>
      </c>
      <c r="Y19" s="21">
        <f t="shared" si="13"/>
        <v>9.719222462203024E-2</v>
      </c>
      <c r="Z19" s="21">
        <f t="shared" si="14"/>
        <v>3.0658073503889422E-9</v>
      </c>
      <c r="AA19" s="44">
        <f t="shared" si="15"/>
        <v>0.10623022469097687</v>
      </c>
      <c r="AB19" s="21">
        <f t="shared" si="16"/>
        <v>9.413516754850086</v>
      </c>
      <c r="AC19" s="21">
        <f t="shared" si="17"/>
        <v>101.12564509065253</v>
      </c>
      <c r="AD19" s="44">
        <f t="shared" si="18"/>
        <v>0.10623022469097687</v>
      </c>
      <c r="AE19" s="21">
        <f t="shared" si="19"/>
        <v>9.413516754850086</v>
      </c>
      <c r="AF19" s="21">
        <f t="shared" si="20"/>
        <v>101.12564509065253</v>
      </c>
    </row>
    <row r="20" spans="1:32" x14ac:dyDescent="0.45">
      <c r="B20" s="21" t="s">
        <v>145</v>
      </c>
      <c r="C20" s="21">
        <v>21.9</v>
      </c>
      <c r="D20" s="22">
        <f t="shared" si="0"/>
        <v>11.256599999999999</v>
      </c>
      <c r="E20" s="21">
        <v>63797</v>
      </c>
      <c r="F20" s="21">
        <v>5000</v>
      </c>
      <c r="G20" s="21">
        <v>1842</v>
      </c>
      <c r="H20" s="21">
        <v>83620</v>
      </c>
      <c r="I20" s="45">
        <f t="shared" si="1"/>
        <v>445.33778501628666</v>
      </c>
      <c r="J20" s="22">
        <f t="shared" si="2"/>
        <v>5012.9893108143315</v>
      </c>
      <c r="K20" s="21">
        <v>46253</v>
      </c>
      <c r="L20" s="21">
        <f t="shared" si="3"/>
        <v>0.55313322171729251</v>
      </c>
      <c r="M20" s="22">
        <f t="shared" si="4"/>
        <v>55.313322171729254</v>
      </c>
      <c r="N20" s="44">
        <f t="shared" si="5"/>
        <v>246.33112377850165</v>
      </c>
      <c r="O20" s="21">
        <f t="shared" si="6"/>
        <v>2772.8509279250816</v>
      </c>
      <c r="Q20" s="21">
        <v>0.20899999999999999</v>
      </c>
      <c r="R20" s="50">
        <f t="shared" si="21"/>
        <v>0.11285097192224622</v>
      </c>
      <c r="S20" s="21">
        <f t="shared" si="8"/>
        <v>8.8612440191387556</v>
      </c>
      <c r="T20" s="21">
        <f t="shared" si="9"/>
        <v>99.747479425837312</v>
      </c>
      <c r="U20" s="50">
        <f t="shared" si="10"/>
        <v>0.12413606911447085</v>
      </c>
      <c r="V20" s="21">
        <f t="shared" si="11"/>
        <v>8.0556763810352319</v>
      </c>
      <c r="W20" s="21">
        <f t="shared" si="12"/>
        <v>90.679526750761184</v>
      </c>
      <c r="X20" s="21">
        <v>226</v>
      </c>
      <c r="Y20" s="21">
        <f t="shared" si="13"/>
        <v>0.12203023758099352</v>
      </c>
      <c r="Z20" s="21">
        <f t="shared" si="14"/>
        <v>2.6383204890708391E-9</v>
      </c>
      <c r="AA20" s="44">
        <f t="shared" si="15"/>
        <v>9.1417804946304596E-2</v>
      </c>
      <c r="AB20" s="21">
        <f t="shared" si="16"/>
        <v>10.938788134186362</v>
      </c>
      <c r="AC20" s="21">
        <f t="shared" si="17"/>
        <v>123.13356251128219</v>
      </c>
      <c r="AD20" s="44">
        <f t="shared" si="18"/>
        <v>9.1417804946304596E-2</v>
      </c>
      <c r="AE20" s="21">
        <f t="shared" si="19"/>
        <v>10.938788134186362</v>
      </c>
      <c r="AF20" s="21">
        <f t="shared" si="20"/>
        <v>123.13356251128219</v>
      </c>
    </row>
    <row r="21" spans="1:32" x14ac:dyDescent="0.45">
      <c r="B21" s="21" t="s">
        <v>146</v>
      </c>
      <c r="C21" s="21">
        <v>23.5</v>
      </c>
      <c r="D21" s="22">
        <f t="shared" si="0"/>
        <v>12.079000000000001</v>
      </c>
      <c r="E21" s="21">
        <v>163800</v>
      </c>
      <c r="F21" s="21">
        <v>15000</v>
      </c>
      <c r="G21" s="21">
        <v>3449</v>
      </c>
      <c r="H21" s="21">
        <v>212140</v>
      </c>
      <c r="I21" s="45">
        <f t="shared" si="1"/>
        <v>603.3903740214555</v>
      </c>
      <c r="J21" s="22">
        <f t="shared" si="2"/>
        <v>7288.3523278051616</v>
      </c>
      <c r="K21" s="21">
        <v>146601</v>
      </c>
      <c r="L21" s="21">
        <f t="shared" si="3"/>
        <v>0.69105779202413498</v>
      </c>
      <c r="M21" s="22">
        <f t="shared" si="4"/>
        <v>69.105779202413501</v>
      </c>
      <c r="N21" s="44">
        <f t="shared" si="5"/>
        <v>416.97761959988401</v>
      </c>
      <c r="O21" s="21">
        <f t="shared" si="6"/>
        <v>5036.6726671469996</v>
      </c>
      <c r="Q21" s="21">
        <v>0.125</v>
      </c>
      <c r="R21" s="50">
        <f t="shared" si="21"/>
        <v>6.7494600431965437E-2</v>
      </c>
      <c r="S21" s="21">
        <f t="shared" si="8"/>
        <v>14.816000000000001</v>
      </c>
      <c r="T21" s="21">
        <f t="shared" si="9"/>
        <v>178.96246400000001</v>
      </c>
      <c r="U21" s="50">
        <f t="shared" si="10"/>
        <v>7.4244060475161994E-2</v>
      </c>
      <c r="V21" s="21">
        <f t="shared" si="11"/>
        <v>13.469090909090907</v>
      </c>
      <c r="W21" s="21">
        <f t="shared" si="12"/>
        <v>162.69314909090909</v>
      </c>
      <c r="X21" s="21">
        <v>429</v>
      </c>
      <c r="Y21" s="21">
        <f t="shared" si="13"/>
        <v>0.2316414686825054</v>
      </c>
      <c r="Z21" s="21">
        <f t="shared" si="14"/>
        <v>1.5800810955075708E-9</v>
      </c>
      <c r="AA21" s="44">
        <f t="shared" si="15"/>
        <v>5.4749809959337335E-2</v>
      </c>
      <c r="AB21" s="21">
        <f t="shared" si="16"/>
        <v>18.264903581267216</v>
      </c>
      <c r="AC21" s="21">
        <f t="shared" si="17"/>
        <v>220.62177035812672</v>
      </c>
      <c r="AD21" s="44">
        <f t="shared" si="18"/>
        <v>5.4749809959337335E-2</v>
      </c>
      <c r="AE21" s="21">
        <f t="shared" si="19"/>
        <v>18.264903581267216</v>
      </c>
      <c r="AF21" s="21">
        <f t="shared" si="20"/>
        <v>220.62177035812672</v>
      </c>
    </row>
    <row r="22" spans="1:32" x14ac:dyDescent="0.45">
      <c r="A22" s="142"/>
      <c r="B22" s="142"/>
      <c r="D22" s="57"/>
      <c r="I22" s="45"/>
      <c r="J22" s="22"/>
      <c r="U22" s="50"/>
    </row>
    <row r="23" spans="1:32" x14ac:dyDescent="0.45">
      <c r="U23" s="50"/>
    </row>
    <row r="24" spans="1:32" x14ac:dyDescent="0.45">
      <c r="U24" s="50"/>
    </row>
  </sheetData>
  <mergeCells count="8">
    <mergeCell ref="A1:C1"/>
    <mergeCell ref="X3:Y3"/>
    <mergeCell ref="A22:B22"/>
    <mergeCell ref="P3:R3"/>
    <mergeCell ref="A3:B3"/>
    <mergeCell ref="L3:M3"/>
    <mergeCell ref="C3:D3"/>
    <mergeCell ref="E3:F3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Q11"/>
  <sheetViews>
    <sheetView zoomScaleNormal="100" workbookViewId="0">
      <selection activeCell="A2" sqref="A2"/>
    </sheetView>
  </sheetViews>
  <sheetFormatPr baseColWidth="10" defaultColWidth="8.86328125" defaultRowHeight="14.25" x14ac:dyDescent="0.45"/>
  <cols>
    <col min="1" max="1" width="17.59765625" style="21" customWidth="1"/>
    <col min="2" max="3" width="9" style="21" bestFit="1" customWidth="1"/>
    <col min="4" max="4" width="9.265625" style="21" bestFit="1" customWidth="1"/>
    <col min="5" max="5" width="13.1328125" style="21" customWidth="1"/>
    <col min="6" max="6" width="9" style="21" bestFit="1" customWidth="1"/>
    <col min="7" max="7" width="22.59765625" style="21" customWidth="1"/>
    <col min="8" max="8" width="20.86328125" style="21" customWidth="1"/>
    <col min="9" max="10" width="9" style="21" bestFit="1" customWidth="1"/>
    <col min="11" max="11" width="14.73046875" style="21" customWidth="1"/>
    <col min="12" max="12" width="16.3984375" style="21" customWidth="1"/>
    <col min="13" max="13" width="9" style="33" bestFit="1" customWidth="1"/>
    <col min="14" max="14" width="14.86328125" style="21" customWidth="1"/>
    <col min="15" max="15" width="8.86328125" style="44" customWidth="1"/>
    <col min="16" max="16" width="9.73046875" style="21" customWidth="1"/>
    <col min="17" max="17" width="9" style="21" bestFit="1" customWidth="1"/>
    <col min="18" max="18" width="10.265625" style="21" bestFit="1" customWidth="1"/>
    <col min="19" max="20" width="9" style="21" bestFit="1" customWidth="1"/>
    <col min="21" max="21" width="10.86328125" style="44" customWidth="1"/>
    <col min="22" max="22" width="10.86328125" style="21" customWidth="1"/>
    <col min="23" max="28" width="9" style="21" bestFit="1" customWidth="1"/>
    <col min="29" max="29" width="9.86328125" style="21" bestFit="1" customWidth="1"/>
    <col min="30" max="30" width="14.73046875" style="21" customWidth="1"/>
    <col min="31" max="31" width="10.265625" style="44" customWidth="1"/>
    <col min="32" max="32" width="12.86328125" style="21" customWidth="1"/>
    <col min="33" max="33" width="8.3984375" style="21" customWidth="1"/>
    <col min="34" max="34" width="13.265625" style="44" customWidth="1"/>
    <col min="35" max="35" width="16.3984375" style="21" customWidth="1"/>
    <col min="36" max="36" width="10.59765625" style="21" customWidth="1"/>
    <col min="37" max="37" width="33.73046875" style="21" customWidth="1"/>
    <col min="38" max="38" width="14" style="44" customWidth="1"/>
    <col min="39" max="39" width="14" style="21" customWidth="1"/>
    <col min="40" max="40" width="11.265625" style="21" customWidth="1"/>
    <col min="41" max="41" width="16.1328125" style="44" customWidth="1"/>
    <col min="42" max="42" width="17.3984375" style="21" customWidth="1"/>
    <col min="43" max="43" width="12.3984375" style="21" customWidth="1"/>
    <col min="44" max="16384" width="8.86328125" style="21"/>
  </cols>
  <sheetData>
    <row r="1" spans="1:43" ht="25.5" x14ac:dyDescent="0.75">
      <c r="A1" s="141" t="s">
        <v>310</v>
      </c>
      <c r="B1" s="141"/>
      <c r="P1" s="68" t="s">
        <v>310</v>
      </c>
    </row>
    <row r="3" spans="1:43" x14ac:dyDescent="0.45">
      <c r="A3" s="21" t="s">
        <v>0</v>
      </c>
      <c r="B3" s="137" t="s">
        <v>51</v>
      </c>
      <c r="C3" s="137"/>
      <c r="D3" s="137" t="s">
        <v>71</v>
      </c>
      <c r="E3" s="137"/>
      <c r="F3" s="63" t="s">
        <v>257</v>
      </c>
      <c r="G3" s="63" t="s">
        <v>256</v>
      </c>
      <c r="H3" s="63" t="s">
        <v>258</v>
      </c>
      <c r="I3" s="63" t="s">
        <v>87</v>
      </c>
      <c r="J3" s="63" t="s">
        <v>89</v>
      </c>
      <c r="K3" s="63" t="s">
        <v>259</v>
      </c>
      <c r="L3" s="63" t="s">
        <v>50</v>
      </c>
      <c r="M3" s="103" t="s">
        <v>241</v>
      </c>
      <c r="N3" s="63" t="s">
        <v>90</v>
      </c>
      <c r="O3" s="70" t="s">
        <v>41</v>
      </c>
      <c r="P3" s="63" t="s">
        <v>133</v>
      </c>
      <c r="Q3" s="63" t="s">
        <v>92</v>
      </c>
      <c r="R3" s="63" t="s">
        <v>251</v>
      </c>
      <c r="S3" s="137" t="s">
        <v>294</v>
      </c>
      <c r="T3" s="137"/>
      <c r="U3" s="70" t="s">
        <v>248</v>
      </c>
      <c r="V3" s="63" t="s">
        <v>253</v>
      </c>
      <c r="W3" s="137" t="s">
        <v>35</v>
      </c>
      <c r="X3" s="137"/>
      <c r="Y3" s="137"/>
      <c r="Z3" s="137"/>
      <c r="AA3" s="137"/>
      <c r="AB3" s="137"/>
      <c r="AC3" s="137"/>
      <c r="AD3" s="137"/>
      <c r="AE3" s="70" t="s">
        <v>188</v>
      </c>
      <c r="AF3" s="63" t="s">
        <v>194</v>
      </c>
      <c r="AG3" s="63" t="s">
        <v>151</v>
      </c>
      <c r="AH3" s="70" t="s">
        <v>198</v>
      </c>
      <c r="AI3" s="63" t="s">
        <v>199</v>
      </c>
      <c r="AJ3" s="63" t="s">
        <v>197</v>
      </c>
      <c r="AK3" s="63" t="s">
        <v>44</v>
      </c>
      <c r="AL3" s="70" t="s">
        <v>200</v>
      </c>
      <c r="AM3" s="63" t="s">
        <v>232</v>
      </c>
      <c r="AN3" s="63" t="s">
        <v>234</v>
      </c>
      <c r="AO3" s="70" t="s">
        <v>201</v>
      </c>
      <c r="AP3" s="63" t="s">
        <v>233</v>
      </c>
      <c r="AQ3" s="63" t="s">
        <v>235</v>
      </c>
    </row>
    <row r="4" spans="1:43" x14ac:dyDescent="0.45">
      <c r="A4" s="69"/>
      <c r="B4" s="64" t="s">
        <v>49</v>
      </c>
      <c r="C4" s="64" t="s">
        <v>29</v>
      </c>
      <c r="D4" s="64" t="s">
        <v>72</v>
      </c>
      <c r="E4" s="64" t="s">
        <v>30</v>
      </c>
      <c r="F4" s="64" t="s">
        <v>22</v>
      </c>
      <c r="G4" s="64" t="s">
        <v>30</v>
      </c>
      <c r="H4" s="64" t="s">
        <v>83</v>
      </c>
      <c r="I4" s="64" t="s">
        <v>22</v>
      </c>
      <c r="J4" s="64" t="s">
        <v>22</v>
      </c>
      <c r="K4" s="64" t="s">
        <v>88</v>
      </c>
      <c r="L4" s="64"/>
      <c r="M4" s="104"/>
      <c r="N4" s="64" t="s">
        <v>91</v>
      </c>
      <c r="O4" s="78"/>
      <c r="P4" s="64" t="s">
        <v>29</v>
      </c>
      <c r="Q4" s="64" t="s">
        <v>93</v>
      </c>
      <c r="R4" s="64" t="s">
        <v>30</v>
      </c>
      <c r="S4" s="64"/>
      <c r="T4" s="64" t="s">
        <v>31</v>
      </c>
      <c r="U4" s="78"/>
      <c r="V4" s="64" t="s">
        <v>29</v>
      </c>
      <c r="W4" s="64" t="s">
        <v>79</v>
      </c>
      <c r="X4" s="64" t="s">
        <v>80</v>
      </c>
      <c r="Y4" s="64" t="s">
        <v>81</v>
      </c>
      <c r="Z4" s="64" t="s">
        <v>82</v>
      </c>
      <c r="AA4" s="64" t="s">
        <v>36</v>
      </c>
      <c r="AB4" s="64" t="s">
        <v>96</v>
      </c>
      <c r="AC4" s="64" t="s">
        <v>57</v>
      </c>
      <c r="AD4" s="64" t="s">
        <v>97</v>
      </c>
      <c r="AE4" s="78" t="s">
        <v>37</v>
      </c>
      <c r="AF4" s="64" t="s">
        <v>132</v>
      </c>
      <c r="AG4" s="64" t="s">
        <v>152</v>
      </c>
      <c r="AH4" s="78" t="s">
        <v>37</v>
      </c>
      <c r="AI4" s="64" t="s">
        <v>132</v>
      </c>
      <c r="AJ4" s="64" t="s">
        <v>152</v>
      </c>
      <c r="AK4" s="64" t="s">
        <v>166</v>
      </c>
      <c r="AL4" s="78" t="s">
        <v>166</v>
      </c>
      <c r="AM4" s="64" t="s">
        <v>231</v>
      </c>
      <c r="AN4" s="64"/>
      <c r="AO4" s="78" t="s">
        <v>166</v>
      </c>
      <c r="AP4" s="64" t="s">
        <v>231</v>
      </c>
      <c r="AQ4" s="64"/>
    </row>
    <row r="5" spans="1:43" x14ac:dyDescent="0.45">
      <c r="A5" s="21" t="s">
        <v>75</v>
      </c>
      <c r="B5" s="21">
        <v>48.15</v>
      </c>
      <c r="C5" s="22">
        <f>B5*1000/3600</f>
        <v>13.375</v>
      </c>
      <c r="D5" s="21">
        <v>19189</v>
      </c>
      <c r="E5" s="21">
        <f>D5*1000</f>
        <v>19189000</v>
      </c>
      <c r="F5" s="21">
        <v>10.3</v>
      </c>
      <c r="G5" s="21">
        <v>79287000</v>
      </c>
      <c r="H5" s="21">
        <f>G5/$B$9</f>
        <v>77732.352941176476</v>
      </c>
      <c r="I5" s="21">
        <v>301</v>
      </c>
      <c r="J5" s="22">
        <f>I5*1.02</f>
        <v>307.02</v>
      </c>
      <c r="K5" s="21">
        <f>1.025*((H5/F5)+(1.7*I5*F5))</f>
        <v>13137.773892204454</v>
      </c>
      <c r="L5" s="4">
        <f>C5*J5/$B$10</f>
        <v>3602098684.2105265</v>
      </c>
      <c r="M5" s="33">
        <f>0.075/((LOG(L5,10)-2)^2)</f>
        <v>1.313449859154169E-3</v>
      </c>
      <c r="N5" s="4">
        <f>0.5*M5*$B$9*K5*(C5^2)</f>
        <v>1574320.0950253143</v>
      </c>
      <c r="O5" s="44">
        <f>G5*9.81/N5</f>
        <v>494.05802063874012</v>
      </c>
      <c r="P5" s="21">
        <f>O5*C5</f>
        <v>6608.0260260431487</v>
      </c>
      <c r="Q5" s="21">
        <v>3948</v>
      </c>
      <c r="R5" s="21">
        <f>Q5*110</f>
        <v>434280</v>
      </c>
      <c r="S5" s="21">
        <f>R5/G5</f>
        <v>5.4773165840553938E-3</v>
      </c>
      <c r="T5" s="22">
        <f>S5*100</f>
        <v>0.54773165840553939</v>
      </c>
      <c r="U5" s="44">
        <f>S5*O5</f>
        <v>2.7061121899301535</v>
      </c>
      <c r="V5" s="21">
        <f>C5*U5</f>
        <v>36.194250540315799</v>
      </c>
      <c r="W5" s="21">
        <v>6</v>
      </c>
      <c r="Y5" s="22">
        <f>W5/B5</f>
        <v>0.12461059190031153</v>
      </c>
      <c r="Z5" s="22"/>
      <c r="AA5" s="21">
        <f>Y5*1000/1000</f>
        <v>0.12461059190031153</v>
      </c>
      <c r="AC5" s="21">
        <f>AA5*AC9</f>
        <v>1.4704049844236762</v>
      </c>
      <c r="AD5" s="21">
        <f>AC5*3600000</f>
        <v>5293457.9439252345</v>
      </c>
      <c r="AE5" s="44">
        <f>AD5/R5</f>
        <v>12.18904380566739</v>
      </c>
      <c r="AF5" s="21">
        <f>1/AE5</f>
        <v>8.2040889830508459E-2</v>
      </c>
      <c r="AG5" s="21">
        <f>AF5*C5</f>
        <v>1.0972969014830507</v>
      </c>
      <c r="AH5" s="44">
        <f>AE5*1.1</f>
        <v>13.407948186234131</v>
      </c>
      <c r="AI5" s="21">
        <f>1/AH5</f>
        <v>7.4582627118644051E-2</v>
      </c>
      <c r="AJ5" s="21">
        <f>AI5*C5</f>
        <v>0.99754263771186413</v>
      </c>
      <c r="AK5" s="21">
        <f>AA5/(R5*10^-7)</f>
        <v>2.86936059455447</v>
      </c>
      <c r="AL5" s="44">
        <f>AK5*3.15*1.1</f>
        <v>9.9423344601312387</v>
      </c>
      <c r="AM5" s="21">
        <f>1/AL5</f>
        <v>0.10058</v>
      </c>
      <c r="AN5" s="21">
        <f>C5*AM5</f>
        <v>1.3452575</v>
      </c>
      <c r="AO5" s="44">
        <f>AL5</f>
        <v>9.9423344601312387</v>
      </c>
      <c r="AP5" s="21">
        <f>1/AO5</f>
        <v>0.10058</v>
      </c>
      <c r="AQ5" s="21">
        <f>C5*AP5</f>
        <v>1.3452575</v>
      </c>
    </row>
    <row r="6" spans="1:43" x14ac:dyDescent="0.45">
      <c r="A6" s="21" t="s">
        <v>76</v>
      </c>
      <c r="B6" s="21">
        <v>38.89</v>
      </c>
      <c r="C6" s="22">
        <f t="shared" ref="C6:C7" si="0">B6*1000/3600</f>
        <v>10.802777777777777</v>
      </c>
      <c r="D6" s="21">
        <v>8530</v>
      </c>
      <c r="E6" s="21">
        <f t="shared" ref="E6:E7" si="1">D6*1000</f>
        <v>8530000</v>
      </c>
      <c r="F6" s="21">
        <v>7.92</v>
      </c>
      <c r="G6" s="21">
        <v>75388000</v>
      </c>
      <c r="H6" s="21">
        <f>G6/$B$9</f>
        <v>73909.803921568629</v>
      </c>
      <c r="I6" s="21">
        <v>235.6</v>
      </c>
      <c r="J6" s="22">
        <f t="shared" ref="J6:J7" si="2">I6*1.02</f>
        <v>240.31200000000001</v>
      </c>
      <c r="K6" s="21">
        <f>1.025*((H6/F6)+(1.7*I6*F6))</f>
        <v>12816.768458435332</v>
      </c>
      <c r="L6" s="4">
        <f>C6*J6/$B$10</f>
        <v>2277225555.5555558</v>
      </c>
      <c r="M6" s="33">
        <f t="shared" ref="M6:M7" si="3">0.075/((LOG(L6,10)-2)^2)</f>
        <v>1.3855168546919711E-3</v>
      </c>
      <c r="N6" s="4">
        <f>0.5*M6*$B$9*K6*(C6^2)</f>
        <v>1056893.9522585662</v>
      </c>
      <c r="O6" s="44">
        <f t="shared" ref="O6:O7" si="4">G6*9.81/N6</f>
        <v>699.7450202260876</v>
      </c>
      <c r="P6" s="21">
        <f>O6*C6</f>
        <v>7559.1899546090408</v>
      </c>
      <c r="Q6" s="21">
        <v>2930</v>
      </c>
      <c r="R6" s="21">
        <f t="shared" ref="R6:R7" si="5">Q6*110</f>
        <v>322300</v>
      </c>
      <c r="S6" s="21">
        <f t="shared" ref="S6:S7" si="6">R6/G6</f>
        <v>4.2752162147821939E-3</v>
      </c>
      <c r="T6" s="22">
        <f t="shared" ref="T6:T7" si="7">S6*100</f>
        <v>0.42752162147821937</v>
      </c>
      <c r="U6" s="44">
        <f t="shared" ref="U6:U7" si="8">S6*O6</f>
        <v>2.991561256683664</v>
      </c>
      <c r="V6" s="21">
        <f>C6*U6</f>
        <v>32.317171464563245</v>
      </c>
      <c r="X6" s="21">
        <v>1100</v>
      </c>
      <c r="Y6" s="22"/>
      <c r="Z6" s="22">
        <f>X6/B6</f>
        <v>28.284906145538699</v>
      </c>
      <c r="AA6" s="21">
        <f>Z6*3.24/1000</f>
        <v>9.1643095911545389E-2</v>
      </c>
      <c r="AB6" s="21">
        <f>Z6*3.785/1000</f>
        <v>0.10705836976086398</v>
      </c>
      <c r="AC6" s="21">
        <f>AB6*$AC$10</f>
        <v>1.0491720236564672</v>
      </c>
      <c r="AD6" s="21">
        <f t="shared" ref="AD6:AD7" si="9">AC6*3600000</f>
        <v>3777019.285163282</v>
      </c>
      <c r="AE6" s="44">
        <f t="shared" ref="AE6:AE7" si="10">AD6/R6</f>
        <v>11.718955275095507</v>
      </c>
      <c r="AF6" s="21">
        <f t="shared" ref="AF6:AF7" si="11">1/AE6</f>
        <v>8.5331838591887643E-2</v>
      </c>
      <c r="AG6" s="21">
        <f>AF6*C6</f>
        <v>0.92182088967736397</v>
      </c>
      <c r="AH6" s="44">
        <f t="shared" ref="AH6:AH7" si="12">AE6*1.1</f>
        <v>12.890850802605058</v>
      </c>
      <c r="AI6" s="21">
        <f t="shared" ref="AI6:AI7" si="13">1/AH6</f>
        <v>7.7574398719897852E-2</v>
      </c>
      <c r="AJ6" s="21">
        <f>AI6*C6</f>
        <v>0.83801899061578533</v>
      </c>
      <c r="AK6" s="21">
        <f t="shared" ref="AK6:AK7" si="14">AA6/(R6*10^-7)</f>
        <v>2.8434097397314733</v>
      </c>
      <c r="AL6" s="44">
        <f t="shared" ref="AL6:AL7" si="15">AK6*3.15*1.1</f>
        <v>9.8524147481695561</v>
      </c>
      <c r="AM6" s="21">
        <f t="shared" ref="AM6:AM7" si="16">1/AL6</f>
        <v>0.10149796020166389</v>
      </c>
      <c r="AN6" s="21">
        <f t="shared" ref="AN6:AN7" si="17">C6*AM6</f>
        <v>1.0964599089563078</v>
      </c>
      <c r="AO6" s="44">
        <f t="shared" ref="AO6:AO7" si="18">AL6</f>
        <v>9.8524147481695561</v>
      </c>
      <c r="AP6" s="21">
        <f t="shared" ref="AP6:AP7" si="19">1/AO6</f>
        <v>0.10149796020166389</v>
      </c>
      <c r="AQ6" s="21">
        <f t="shared" ref="AQ6:AQ7" si="20">C6*AP6</f>
        <v>1.0964599089563078</v>
      </c>
    </row>
    <row r="7" spans="1:43" x14ac:dyDescent="0.45">
      <c r="A7" s="21" t="s">
        <v>77</v>
      </c>
      <c r="B7" s="21">
        <v>40.74</v>
      </c>
      <c r="C7" s="22">
        <f t="shared" si="0"/>
        <v>11.316666666666666</v>
      </c>
      <c r="D7" s="21">
        <v>11793</v>
      </c>
      <c r="E7" s="21">
        <f t="shared" si="1"/>
        <v>11793000</v>
      </c>
      <c r="F7" s="21">
        <v>8.3000000000000007</v>
      </c>
      <c r="G7" s="21">
        <v>141000000</v>
      </c>
      <c r="H7" s="21">
        <f>G7/$B$9</f>
        <v>138235.29411764705</v>
      </c>
      <c r="I7" s="21">
        <v>306</v>
      </c>
      <c r="J7" s="22">
        <f t="shared" si="2"/>
        <v>312.12</v>
      </c>
      <c r="K7" s="21">
        <f>1.025*((H7/F7)+(1.7*I7*F7))</f>
        <v>21496.827580793757</v>
      </c>
      <c r="L7" s="4">
        <f>C7*J7/$B$10</f>
        <v>3098384210.5263162</v>
      </c>
      <c r="M7" s="33">
        <f t="shared" si="3"/>
        <v>1.3364908340217773E-3</v>
      </c>
      <c r="N7" s="4">
        <f>0.5*M7*$B$9*K7*(C7^2)</f>
        <v>1876495.7348647036</v>
      </c>
      <c r="O7" s="44">
        <f t="shared" si="4"/>
        <v>737.12397758246448</v>
      </c>
      <c r="P7" s="21">
        <f>O7*C7</f>
        <v>8341.7863463082231</v>
      </c>
      <c r="Q7" s="21">
        <v>5530</v>
      </c>
      <c r="R7" s="21">
        <f t="shared" si="5"/>
        <v>608300</v>
      </c>
      <c r="S7" s="21">
        <f t="shared" si="6"/>
        <v>4.3141843971631205E-3</v>
      </c>
      <c r="T7" s="22">
        <f t="shared" si="7"/>
        <v>0.43141843971631205</v>
      </c>
      <c r="U7" s="44">
        <f t="shared" si="8"/>
        <v>3.1800887628610859</v>
      </c>
      <c r="V7" s="21">
        <f>C7*U7</f>
        <v>35.988004499711288</v>
      </c>
      <c r="X7" s="21">
        <v>2800</v>
      </c>
      <c r="Y7" s="22"/>
      <c r="Z7" s="22">
        <f>X7/B7</f>
        <v>68.728522336769757</v>
      </c>
      <c r="AA7" s="21">
        <f>Z7*3.24/1000</f>
        <v>0.22268041237113403</v>
      </c>
      <c r="AB7" s="21">
        <f>Z7*3.785/1000</f>
        <v>0.26013745704467356</v>
      </c>
      <c r="AC7" s="21">
        <f>AB7*$AC$10</f>
        <v>2.5493470790378012</v>
      </c>
      <c r="AD7" s="21">
        <f t="shared" si="9"/>
        <v>9177649.4845360853</v>
      </c>
      <c r="AE7" s="44">
        <f t="shared" si="10"/>
        <v>15.087373803281416</v>
      </c>
      <c r="AF7" s="21">
        <f t="shared" si="11"/>
        <v>6.6280587532238769E-2</v>
      </c>
      <c r="AG7" s="21">
        <f>AF7*C7</f>
        <v>0.75007531557316875</v>
      </c>
      <c r="AH7" s="44">
        <f t="shared" si="12"/>
        <v>16.596111183609558</v>
      </c>
      <c r="AI7" s="21">
        <f t="shared" si="13"/>
        <v>6.0255079574762511E-2</v>
      </c>
      <c r="AJ7" s="21">
        <f>AI7*C7</f>
        <v>0.68188665052106245</v>
      </c>
      <c r="AK7" s="21">
        <f t="shared" si="14"/>
        <v>3.6607005157181334</v>
      </c>
      <c r="AL7" s="44">
        <f t="shared" si="15"/>
        <v>12.684327286963333</v>
      </c>
      <c r="AM7" s="21">
        <f t="shared" si="16"/>
        <v>7.8837448559670772E-2</v>
      </c>
      <c r="AN7" s="21">
        <f t="shared" si="17"/>
        <v>0.89217712620027423</v>
      </c>
      <c r="AO7" s="44">
        <f t="shared" si="18"/>
        <v>12.684327286963333</v>
      </c>
      <c r="AP7" s="21">
        <f t="shared" si="19"/>
        <v>7.8837448559670772E-2</v>
      </c>
      <c r="AQ7" s="21">
        <f t="shared" si="20"/>
        <v>0.89217712620027423</v>
      </c>
    </row>
    <row r="9" spans="1:43" x14ac:dyDescent="0.45">
      <c r="A9" s="30" t="s">
        <v>84</v>
      </c>
      <c r="B9" s="31">
        <v>1020</v>
      </c>
      <c r="Z9" s="142" t="s">
        <v>94</v>
      </c>
      <c r="AA9" s="142"/>
      <c r="AB9" s="142"/>
      <c r="AC9" s="21">
        <v>11.8</v>
      </c>
    </row>
    <row r="10" spans="1:43" x14ac:dyDescent="0.45">
      <c r="A10" s="32" t="s">
        <v>85</v>
      </c>
      <c r="B10" s="21">
        <f>1.14*(10)^-6</f>
        <v>1.1399999999999999E-6</v>
      </c>
      <c r="Z10" s="142" t="s">
        <v>95</v>
      </c>
      <c r="AA10" s="142"/>
      <c r="AB10" s="142"/>
      <c r="AC10" s="21">
        <v>9.8000000000000007</v>
      </c>
    </row>
    <row r="11" spans="1:43" x14ac:dyDescent="0.45">
      <c r="A11" s="30" t="s">
        <v>86</v>
      </c>
      <c r="B11" s="21">
        <v>9.81</v>
      </c>
    </row>
  </sheetData>
  <mergeCells count="7">
    <mergeCell ref="A1:B1"/>
    <mergeCell ref="Z9:AB9"/>
    <mergeCell ref="Z10:AB10"/>
    <mergeCell ref="W3:AD3"/>
    <mergeCell ref="B3:C3"/>
    <mergeCell ref="D3:E3"/>
    <mergeCell ref="S3:T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H12"/>
  <sheetViews>
    <sheetView workbookViewId="0">
      <selection activeCell="A2" sqref="A2"/>
    </sheetView>
  </sheetViews>
  <sheetFormatPr baseColWidth="10" defaultColWidth="8.86328125" defaultRowHeight="14.25" x14ac:dyDescent="0.45"/>
  <cols>
    <col min="1" max="1" width="25.59765625" style="21" customWidth="1"/>
    <col min="2" max="2" width="12.3984375" style="21" customWidth="1"/>
    <col min="3" max="3" width="11.3984375" style="21" customWidth="1"/>
    <col min="4" max="4" width="12.59765625" style="21" customWidth="1"/>
    <col min="5" max="5" width="11.265625" style="21" customWidth="1"/>
    <col min="6" max="6" width="8.86328125" style="21"/>
    <col min="7" max="7" width="9.265625" style="21" bestFit="1" customWidth="1"/>
    <col min="8" max="8" width="8.86328125" style="21"/>
    <col min="9" max="9" width="10.73046875" style="21" customWidth="1"/>
    <col min="10" max="10" width="8.86328125" style="21"/>
    <col min="11" max="11" width="9.265625" style="21" bestFit="1" customWidth="1"/>
    <col min="12" max="12" width="8.86328125" style="44"/>
    <col min="13" max="13" width="10.59765625" style="21" customWidth="1"/>
    <col min="14" max="15" width="8.86328125" style="21"/>
    <col min="16" max="17" width="10.3984375" style="21" customWidth="1"/>
    <col min="18" max="18" width="8.86328125" style="21"/>
    <col min="19" max="19" width="12" style="21" bestFit="1" customWidth="1"/>
    <col min="20" max="20" width="8.86328125" style="34"/>
    <col min="21" max="21" width="8.86328125" style="21"/>
    <col min="22" max="22" width="8.1328125" style="21" customWidth="1"/>
    <col min="23" max="23" width="10.1328125" style="44" customWidth="1"/>
    <col min="24" max="24" width="12" style="21" customWidth="1"/>
    <col min="25" max="25" width="8.3984375" style="21" customWidth="1"/>
    <col min="26" max="26" width="13.3984375" style="44" customWidth="1"/>
    <col min="27" max="27" width="16.3984375" style="21" customWidth="1"/>
    <col min="28" max="28" width="11.1328125" style="21" customWidth="1"/>
    <col min="29" max="29" width="22.73046875" style="45" customWidth="1"/>
    <col min="30" max="30" width="15.86328125" style="22" customWidth="1"/>
    <col min="31" max="31" width="12.73046875" style="22" customWidth="1"/>
    <col min="32" max="32" width="17.1328125" style="45" customWidth="1"/>
    <col min="33" max="33" width="16.1328125" style="22" customWidth="1"/>
    <col min="34" max="34" width="11.265625" style="21" customWidth="1"/>
    <col min="35" max="16384" width="8.86328125" style="21"/>
  </cols>
  <sheetData>
    <row r="1" spans="1:34" ht="25.5" x14ac:dyDescent="0.75">
      <c r="A1" s="68" t="s">
        <v>311</v>
      </c>
      <c r="M1" s="68"/>
    </row>
    <row r="3" spans="1:34" x14ac:dyDescent="0.45">
      <c r="A3" s="21" t="s">
        <v>0</v>
      </c>
      <c r="B3" s="63" t="s">
        <v>51</v>
      </c>
      <c r="C3" s="63" t="s">
        <v>295</v>
      </c>
      <c r="D3" s="63" t="s">
        <v>251</v>
      </c>
      <c r="E3" s="63" t="s">
        <v>22</v>
      </c>
      <c r="F3" s="63" t="s">
        <v>99</v>
      </c>
      <c r="G3" s="63" t="s">
        <v>296</v>
      </c>
      <c r="H3" s="63" t="s">
        <v>108</v>
      </c>
      <c r="I3" s="63" t="s">
        <v>260</v>
      </c>
      <c r="J3" s="63" t="s">
        <v>266</v>
      </c>
      <c r="K3" s="63" t="s">
        <v>255</v>
      </c>
      <c r="L3" s="70" t="s">
        <v>41</v>
      </c>
      <c r="M3" s="63" t="s">
        <v>133</v>
      </c>
      <c r="N3" s="137" t="s">
        <v>246</v>
      </c>
      <c r="O3" s="137"/>
      <c r="P3" s="63" t="s">
        <v>248</v>
      </c>
      <c r="Q3" s="63" t="s">
        <v>253</v>
      </c>
      <c r="R3" s="137" t="s">
        <v>35</v>
      </c>
      <c r="S3" s="137"/>
      <c r="T3" s="137"/>
      <c r="U3" s="137" t="s">
        <v>202</v>
      </c>
      <c r="V3" s="137"/>
      <c r="W3" s="70" t="s">
        <v>188</v>
      </c>
      <c r="X3" s="63" t="s">
        <v>194</v>
      </c>
      <c r="Y3" s="63" t="s">
        <v>151</v>
      </c>
      <c r="Z3" s="70" t="s">
        <v>198</v>
      </c>
      <c r="AA3" s="63" t="s">
        <v>199</v>
      </c>
      <c r="AB3" s="63" t="s">
        <v>197</v>
      </c>
      <c r="AC3" s="77" t="s">
        <v>200</v>
      </c>
      <c r="AD3" s="74" t="s">
        <v>232</v>
      </c>
      <c r="AE3" s="74" t="s">
        <v>234</v>
      </c>
      <c r="AF3" s="77" t="s">
        <v>201</v>
      </c>
      <c r="AG3" s="74" t="s">
        <v>233</v>
      </c>
      <c r="AH3" s="74" t="s">
        <v>235</v>
      </c>
    </row>
    <row r="4" spans="1:34" x14ac:dyDescent="0.45">
      <c r="A4" s="69"/>
      <c r="B4" s="64" t="s">
        <v>29</v>
      </c>
      <c r="C4" s="64" t="s">
        <v>30</v>
      </c>
      <c r="D4" s="64" t="s">
        <v>30</v>
      </c>
      <c r="E4" s="64" t="s">
        <v>30</v>
      </c>
      <c r="F4" s="64"/>
      <c r="G4" s="64" t="s">
        <v>54</v>
      </c>
      <c r="H4" s="64"/>
      <c r="I4" s="64" t="s">
        <v>88</v>
      </c>
      <c r="J4" s="64" t="s">
        <v>54</v>
      </c>
      <c r="K4" s="64" t="s">
        <v>54</v>
      </c>
      <c r="L4" s="78"/>
      <c r="M4" s="64" t="s">
        <v>29</v>
      </c>
      <c r="N4" s="64"/>
      <c r="O4" s="64" t="s">
        <v>31</v>
      </c>
      <c r="P4" s="64"/>
      <c r="Q4" s="64" t="s">
        <v>29</v>
      </c>
      <c r="R4" s="64" t="s">
        <v>109</v>
      </c>
      <c r="S4" s="64" t="s">
        <v>33</v>
      </c>
      <c r="T4" s="105" t="s">
        <v>111</v>
      </c>
      <c r="U4" s="64" t="s">
        <v>110</v>
      </c>
      <c r="V4" s="64" t="s">
        <v>97</v>
      </c>
      <c r="W4" s="78" t="s">
        <v>37</v>
      </c>
      <c r="X4" s="64" t="s">
        <v>132</v>
      </c>
      <c r="Y4" s="64" t="s">
        <v>152</v>
      </c>
      <c r="Z4" s="78" t="s">
        <v>37</v>
      </c>
      <c r="AA4" s="64" t="s">
        <v>132</v>
      </c>
      <c r="AB4" s="64" t="s">
        <v>152</v>
      </c>
      <c r="AC4" s="86" t="s">
        <v>166</v>
      </c>
      <c r="AD4" s="83" t="s">
        <v>231</v>
      </c>
      <c r="AE4" s="83"/>
      <c r="AF4" s="86" t="s">
        <v>166</v>
      </c>
      <c r="AG4" s="83" t="s">
        <v>231</v>
      </c>
      <c r="AH4" s="64"/>
    </row>
    <row r="5" spans="1:34" x14ac:dyDescent="0.45">
      <c r="A5" s="21" t="s">
        <v>100</v>
      </c>
      <c r="B5" s="21">
        <v>27.78</v>
      </c>
      <c r="C5" s="21">
        <v>2460</v>
      </c>
      <c r="D5" s="21">
        <v>440</v>
      </c>
      <c r="E5" s="21">
        <f>C5+D5</f>
        <v>2900</v>
      </c>
      <c r="F5" s="21">
        <v>1.4999999999999999E-2</v>
      </c>
      <c r="G5" s="22">
        <f>F5*E5*9.81</f>
        <v>426.73500000000001</v>
      </c>
      <c r="H5" s="21">
        <v>0.53</v>
      </c>
      <c r="I5" s="22">
        <v>2.97</v>
      </c>
      <c r="J5" s="21">
        <f>0.5*1.225*(B5^2)*H5*I5</f>
        <v>744.05132559450021</v>
      </c>
      <c r="K5" s="21">
        <f>G5+J5</f>
        <v>1170.7863255945003</v>
      </c>
      <c r="L5" s="44">
        <f>E5*9.81/K5</f>
        <v>24.299053873518897</v>
      </c>
      <c r="M5" s="21">
        <f>L5*B5</f>
        <v>675.02771660635494</v>
      </c>
      <c r="N5" s="21">
        <f>D5/E5</f>
        <v>0.15172413793103448</v>
      </c>
      <c r="O5" s="21">
        <f>N5*100</f>
        <v>15.172413793103448</v>
      </c>
      <c r="P5" s="21">
        <f>N5*L5</f>
        <v>3.6867530014994188</v>
      </c>
      <c r="Q5" s="21">
        <f>P5*B5</f>
        <v>102.41799838165386</v>
      </c>
      <c r="R5" s="21">
        <v>14</v>
      </c>
      <c r="S5" s="21">
        <f>R5*1609.34/3.24</f>
        <v>6953.9382716049377</v>
      </c>
      <c r="T5" s="34">
        <f>(R5*1.6*1000)/(120.3*1000000)</f>
        <v>1.8620116375727352E-4</v>
      </c>
      <c r="W5" s="45">
        <f>1/(T5*D5)</f>
        <v>12.205762987012985</v>
      </c>
      <c r="X5" s="22">
        <f>1/W5</f>
        <v>8.1928512053200342E-2</v>
      </c>
      <c r="Y5" s="22">
        <f t="shared" ref="Y5:Y12" si="0">X5*B5</f>
        <v>2.2759740648379054</v>
      </c>
      <c r="Z5" s="45">
        <f>1.1*W5</f>
        <v>13.426339285714285</v>
      </c>
      <c r="AA5" s="21">
        <f>1/Z5</f>
        <v>7.4480465502909404E-2</v>
      </c>
      <c r="AB5" s="21">
        <f t="shared" ref="AB5:AB12" si="1">AA5*B5</f>
        <v>2.0690673316708232</v>
      </c>
      <c r="AC5" s="45">
        <f>3.5*1.1/(S5*D5*10^-7)</f>
        <v>12.58279791715859</v>
      </c>
      <c r="AD5" s="22">
        <f>1/AC5</f>
        <v>7.9473580246913561E-2</v>
      </c>
      <c r="AE5" s="22">
        <f t="shared" ref="AE5:AE12" si="2">B5*AD5</f>
        <v>2.2077760592592588</v>
      </c>
      <c r="AF5" s="45">
        <f>AC5</f>
        <v>12.58279791715859</v>
      </c>
      <c r="AG5" s="22">
        <f>1/AF5</f>
        <v>7.9473580246913561E-2</v>
      </c>
      <c r="AH5" s="21">
        <f t="shared" ref="AH5:AH12" si="3">B5*AG5</f>
        <v>2.2077760592592588</v>
      </c>
    </row>
    <row r="6" spans="1:34" x14ac:dyDescent="0.45">
      <c r="A6" s="21" t="s">
        <v>101</v>
      </c>
      <c r="B6" s="21">
        <v>27.78</v>
      </c>
      <c r="C6" s="21">
        <v>1365.3130000000001</v>
      </c>
      <c r="D6" s="21">
        <v>440</v>
      </c>
      <c r="E6" s="21">
        <f t="shared" ref="E6:E12" si="4">C6+D6</f>
        <v>1805.3130000000001</v>
      </c>
      <c r="F6" s="21">
        <v>1.4999999999999999E-2</v>
      </c>
      <c r="G6" s="22">
        <f t="shared" ref="G6:G12" si="5">F6*E6*9.81</f>
        <v>265.65180795000003</v>
      </c>
      <c r="H6" s="21">
        <v>0.25</v>
      </c>
      <c r="I6" s="22">
        <v>2.1965231104269138</v>
      </c>
      <c r="J6" s="21">
        <f t="shared" ref="J6:J12" si="6">0.5*1.225*(B6^2)*H6*I6</f>
        <v>259.56513754083284</v>
      </c>
      <c r="K6" s="21">
        <f t="shared" ref="K6:K12" si="7">G6+J6</f>
        <v>525.21694549083281</v>
      </c>
      <c r="L6" s="44">
        <f t="shared" ref="L6:L12" si="8">E6*9.81/K6</f>
        <v>33.719628968652756</v>
      </c>
      <c r="M6" s="21">
        <f t="shared" ref="M6:M12" si="9">L6*B6</f>
        <v>936.73129274917358</v>
      </c>
      <c r="N6" s="21">
        <f t="shared" ref="N6:N12" si="10">D6/E6</f>
        <v>0.24372504934047445</v>
      </c>
      <c r="O6" s="21">
        <f t="shared" ref="O6:O12" si="11">N6*100</f>
        <v>24.372504934047445</v>
      </c>
      <c r="P6" s="21">
        <f t="shared" ref="P6:P12" si="12">N6*L6</f>
        <v>8.2183182341273842</v>
      </c>
      <c r="Q6" s="21">
        <f t="shared" ref="Q6:Q12" si="13">P6*B6</f>
        <v>228.30488054405873</v>
      </c>
      <c r="R6" s="21">
        <v>52</v>
      </c>
      <c r="S6" s="21">
        <f t="shared" ref="S6:S10" si="14">R6*1609.34/3.24</f>
        <v>25828.91358024691</v>
      </c>
      <c r="T6" s="34">
        <f>(R6*1.6*1000)/(120.3*1000000)</f>
        <v>6.916043225270158E-4</v>
      </c>
      <c r="W6" s="45">
        <f>1/(T6*D6)</f>
        <v>3.2861669580419579</v>
      </c>
      <c r="X6" s="22">
        <f t="shared" ref="X6:X12" si="15">1/W6</f>
        <v>0.30430590191188694</v>
      </c>
      <c r="Y6" s="22">
        <f t="shared" si="0"/>
        <v>8.4536179551122199</v>
      </c>
      <c r="Z6" s="45">
        <f t="shared" ref="Z6:Z10" si="16">1.1*W6</f>
        <v>3.6147836538461542</v>
      </c>
      <c r="AA6" s="21">
        <f t="shared" ref="AA6:AA12" si="17">1/Z6</f>
        <v>0.2766417290108063</v>
      </c>
      <c r="AB6" s="21">
        <f t="shared" si="1"/>
        <v>7.6851072319201998</v>
      </c>
      <c r="AC6" s="45">
        <f>3.5*1.1/(S6*D6*10^-7)</f>
        <v>3.3876763623119284</v>
      </c>
      <c r="AD6" s="22">
        <f t="shared" ref="AD6:AD12" si="18">1/AC6</f>
        <v>0.29518758377425036</v>
      </c>
      <c r="AE6" s="22">
        <f t="shared" si="2"/>
        <v>8.200311077248676</v>
      </c>
      <c r="AF6" s="45">
        <f t="shared" ref="AF6:AF12" si="19">AC6</f>
        <v>3.3876763623119284</v>
      </c>
      <c r="AG6" s="22">
        <f t="shared" ref="AG6:AG12" si="20">1/AF6</f>
        <v>0.29518758377425036</v>
      </c>
      <c r="AH6" s="21">
        <f t="shared" si="3"/>
        <v>8.200311077248676</v>
      </c>
    </row>
    <row r="7" spans="1:34" x14ac:dyDescent="0.45">
      <c r="A7" s="21" t="s">
        <v>102</v>
      </c>
      <c r="B7" s="21">
        <v>27.78</v>
      </c>
      <c r="C7" s="21">
        <v>1700</v>
      </c>
      <c r="D7" s="21">
        <v>440</v>
      </c>
      <c r="E7" s="21">
        <f t="shared" si="4"/>
        <v>2140</v>
      </c>
      <c r="F7" s="21">
        <v>1.4999999999999999E-2</v>
      </c>
      <c r="G7" s="22">
        <f t="shared" si="5"/>
        <v>314.90100000000001</v>
      </c>
      <c r="H7" s="21">
        <v>0.23</v>
      </c>
      <c r="I7" s="22">
        <v>2.2200000000000002</v>
      </c>
      <c r="J7" s="21">
        <f t="shared" si="6"/>
        <v>241.35226913700006</v>
      </c>
      <c r="K7" s="21">
        <f t="shared" si="7"/>
        <v>556.25326913700007</v>
      </c>
      <c r="L7" s="44">
        <f t="shared" si="8"/>
        <v>37.740722014218889</v>
      </c>
      <c r="M7" s="21">
        <f t="shared" si="9"/>
        <v>1048.4372575550008</v>
      </c>
      <c r="N7" s="21">
        <f t="shared" si="10"/>
        <v>0.20560747663551401</v>
      </c>
      <c r="O7" s="21">
        <f t="shared" si="11"/>
        <v>20.5607476635514</v>
      </c>
      <c r="P7" s="21">
        <f t="shared" si="12"/>
        <v>7.7597746197459392</v>
      </c>
      <c r="Q7" s="21">
        <f t="shared" si="13"/>
        <v>215.5665389365422</v>
      </c>
      <c r="U7" s="21">
        <v>151</v>
      </c>
      <c r="V7" s="21">
        <f>U7*3600/1000</f>
        <v>543.6</v>
      </c>
      <c r="W7" s="45">
        <f>V7/D7</f>
        <v>1.2354545454545456</v>
      </c>
      <c r="X7" s="22">
        <f t="shared" si="15"/>
        <v>0.80941869021339208</v>
      </c>
      <c r="Y7" s="22">
        <f t="shared" si="0"/>
        <v>22.485651214128033</v>
      </c>
      <c r="Z7" s="45">
        <f>2.1*W7</f>
        <v>2.5944545454545458</v>
      </c>
      <c r="AA7" s="21">
        <f t="shared" si="17"/>
        <v>0.3854374715301867</v>
      </c>
      <c r="AB7" s="21">
        <f t="shared" si="1"/>
        <v>10.707452959108586</v>
      </c>
      <c r="AC7" s="45">
        <f>3.15*0.4*Z7/(43000000*10^-7)</f>
        <v>0.7602355179704019</v>
      </c>
      <c r="AD7" s="22">
        <f t="shared" si="18"/>
        <v>1.3153818472855576</v>
      </c>
      <c r="AE7" s="22">
        <f t="shared" si="2"/>
        <v>36.541307717592794</v>
      </c>
      <c r="AF7" s="45">
        <f t="shared" si="19"/>
        <v>0.7602355179704019</v>
      </c>
      <c r="AG7" s="22">
        <f t="shared" si="20"/>
        <v>1.3153818472855576</v>
      </c>
      <c r="AH7" s="21">
        <f t="shared" si="3"/>
        <v>36.541307717592794</v>
      </c>
    </row>
    <row r="8" spans="1:34" x14ac:dyDescent="0.45">
      <c r="A8" s="21" t="s">
        <v>103</v>
      </c>
      <c r="B8" s="21">
        <v>27.78</v>
      </c>
      <c r="C8" s="21">
        <v>2500</v>
      </c>
      <c r="D8" s="21">
        <v>440</v>
      </c>
      <c r="E8" s="21">
        <f t="shared" si="4"/>
        <v>2940</v>
      </c>
      <c r="F8" s="21">
        <v>1.4999999999999999E-2</v>
      </c>
      <c r="G8" s="22">
        <f t="shared" si="5"/>
        <v>432.62100000000004</v>
      </c>
      <c r="H8" s="21">
        <v>0.28000000000000003</v>
      </c>
      <c r="I8" s="22">
        <v>2.65</v>
      </c>
      <c r="J8" s="21">
        <f t="shared" si="6"/>
        <v>350.73126459000008</v>
      </c>
      <c r="K8" s="21">
        <f t="shared" si="7"/>
        <v>783.35226459000012</v>
      </c>
      <c r="L8" s="44">
        <f t="shared" si="8"/>
        <v>36.817918711316096</v>
      </c>
      <c r="M8" s="21">
        <f t="shared" si="9"/>
        <v>1022.8017818003613</v>
      </c>
      <c r="N8" s="21">
        <f t="shared" si="10"/>
        <v>0.14965986394557823</v>
      </c>
      <c r="O8" s="21">
        <f t="shared" si="11"/>
        <v>14.965986394557824</v>
      </c>
      <c r="P8" s="21">
        <f t="shared" si="12"/>
        <v>5.5101647050949261</v>
      </c>
      <c r="Q8" s="21">
        <f t="shared" si="13"/>
        <v>153.07237550753706</v>
      </c>
      <c r="U8" s="21">
        <v>237</v>
      </c>
      <c r="V8" s="21">
        <f>U8*3600/1000</f>
        <v>853.2</v>
      </c>
      <c r="W8" s="45">
        <f>V8/D8</f>
        <v>1.9390909090909092</v>
      </c>
      <c r="X8" s="22">
        <f t="shared" si="15"/>
        <v>0.51570557899671821</v>
      </c>
      <c r="Y8" s="22">
        <f t="shared" si="0"/>
        <v>14.326300984528832</v>
      </c>
      <c r="Z8" s="45">
        <f>2.1*W8</f>
        <v>4.0720909090909094</v>
      </c>
      <c r="AA8" s="21">
        <f t="shared" si="17"/>
        <v>0.24557408523653249</v>
      </c>
      <c r="AB8" s="21">
        <f t="shared" si="1"/>
        <v>6.8220480878708729</v>
      </c>
      <c r="AC8" s="45">
        <f>3.15*0.4*Z8/(43000000*10^-7)</f>
        <v>1.19321733615222</v>
      </c>
      <c r="AD8" s="22">
        <f t="shared" si="18"/>
        <v>0.83807029088657903</v>
      </c>
      <c r="AE8" s="22">
        <f t="shared" si="2"/>
        <v>23.281592680829167</v>
      </c>
      <c r="AF8" s="45">
        <f t="shared" si="19"/>
        <v>1.19321733615222</v>
      </c>
      <c r="AG8" s="22">
        <f t="shared" si="20"/>
        <v>0.83807029088657903</v>
      </c>
      <c r="AH8" s="21">
        <f t="shared" si="3"/>
        <v>23.281592680829167</v>
      </c>
    </row>
    <row r="9" spans="1:34" x14ac:dyDescent="0.45">
      <c r="A9" s="21" t="s">
        <v>104</v>
      </c>
      <c r="B9" s="21">
        <v>16.670000000000002</v>
      </c>
      <c r="C9" s="21">
        <v>2460</v>
      </c>
      <c r="D9" s="21">
        <v>440</v>
      </c>
      <c r="E9" s="21">
        <f t="shared" si="4"/>
        <v>2900</v>
      </c>
      <c r="F9" s="21">
        <v>0.05</v>
      </c>
      <c r="G9" s="22">
        <f t="shared" si="5"/>
        <v>1422.45</v>
      </c>
      <c r="H9" s="21">
        <v>0.53</v>
      </c>
      <c r="I9" s="22">
        <v>2.9699996245259639</v>
      </c>
      <c r="J9" s="21">
        <f t="shared" si="6"/>
        <v>267.92272809123085</v>
      </c>
      <c r="K9" s="21">
        <f t="shared" si="7"/>
        <v>1690.3727280912308</v>
      </c>
      <c r="L9" s="44">
        <f t="shared" si="8"/>
        <v>16.830015964659236</v>
      </c>
      <c r="M9" s="21">
        <f t="shared" si="9"/>
        <v>280.55636613086949</v>
      </c>
      <c r="N9" s="21">
        <f t="shared" si="10"/>
        <v>0.15172413793103448</v>
      </c>
      <c r="O9" s="21">
        <f t="shared" si="11"/>
        <v>15.172413793103448</v>
      </c>
      <c r="P9" s="21">
        <f t="shared" si="12"/>
        <v>2.55351966360347</v>
      </c>
      <c r="Q9" s="21">
        <f t="shared" si="13"/>
        <v>42.567172792269851</v>
      </c>
      <c r="R9" s="21">
        <v>14</v>
      </c>
      <c r="S9" s="21">
        <f t="shared" si="14"/>
        <v>6953.9382716049377</v>
      </c>
      <c r="T9" s="34">
        <f>(R9*1.6*1000)/(120.3*1000000)</f>
        <v>1.8620116375727352E-4</v>
      </c>
      <c r="W9" s="45">
        <f>1/(D9*T9)</f>
        <v>12.205762987012985</v>
      </c>
      <c r="X9" s="22">
        <f t="shared" si="15"/>
        <v>8.1928512053200342E-2</v>
      </c>
      <c r="Y9" s="22">
        <f t="shared" si="0"/>
        <v>1.3657482959268499</v>
      </c>
      <c r="Z9" s="45">
        <f t="shared" si="16"/>
        <v>13.426339285714285</v>
      </c>
      <c r="AA9" s="21">
        <f t="shared" si="17"/>
        <v>7.4480465502909404E-2</v>
      </c>
      <c r="AB9" s="21">
        <f t="shared" si="1"/>
        <v>1.2415893599334999</v>
      </c>
      <c r="AC9" s="45">
        <f>3.5*1.1/(S9*D9*10^-7)</f>
        <v>12.58279791715859</v>
      </c>
      <c r="AD9" s="22">
        <f t="shared" si="18"/>
        <v>7.9473580246913561E-2</v>
      </c>
      <c r="AE9" s="22">
        <f t="shared" si="2"/>
        <v>1.3248245827160492</v>
      </c>
      <c r="AF9" s="45">
        <f t="shared" si="19"/>
        <v>12.58279791715859</v>
      </c>
      <c r="AG9" s="22">
        <f t="shared" si="20"/>
        <v>7.9473580246913561E-2</v>
      </c>
      <c r="AH9" s="21">
        <f t="shared" si="3"/>
        <v>1.3248245827160492</v>
      </c>
    </row>
    <row r="10" spans="1:34" x14ac:dyDescent="0.45">
      <c r="A10" s="21" t="s">
        <v>105</v>
      </c>
      <c r="B10" s="21">
        <v>16.670000000000002</v>
      </c>
      <c r="C10" s="21">
        <v>1365.3130000000001</v>
      </c>
      <c r="D10" s="21">
        <v>440</v>
      </c>
      <c r="E10" s="21">
        <f t="shared" si="4"/>
        <v>1805.3130000000001</v>
      </c>
      <c r="F10" s="21">
        <v>0.05</v>
      </c>
      <c r="G10" s="22">
        <f t="shared" si="5"/>
        <v>885.50602650000008</v>
      </c>
      <c r="H10" s="21">
        <v>0.25</v>
      </c>
      <c r="I10" s="22">
        <v>2.1965231104269138</v>
      </c>
      <c r="J10" s="21">
        <f t="shared" si="6"/>
        <v>93.465875493983035</v>
      </c>
      <c r="K10" s="21">
        <f t="shared" si="7"/>
        <v>978.97190199398312</v>
      </c>
      <c r="L10" s="44">
        <f t="shared" si="8"/>
        <v>18.090529967129587</v>
      </c>
      <c r="M10" s="21">
        <f t="shared" si="9"/>
        <v>301.56913455205023</v>
      </c>
      <c r="N10" s="21">
        <f t="shared" si="10"/>
        <v>0.24372504934047445</v>
      </c>
      <c r="O10" s="21">
        <f t="shared" si="11"/>
        <v>24.372504934047445</v>
      </c>
      <c r="P10" s="21">
        <f t="shared" si="12"/>
        <v>4.4091153088339903</v>
      </c>
      <c r="Q10" s="21">
        <f t="shared" si="13"/>
        <v>73.499952198262619</v>
      </c>
      <c r="R10" s="21">
        <v>52</v>
      </c>
      <c r="S10" s="21">
        <f t="shared" si="14"/>
        <v>25828.91358024691</v>
      </c>
      <c r="T10" s="34">
        <f>(R10*1.6*1000)/(120.3*1000000)</f>
        <v>6.916043225270158E-4</v>
      </c>
      <c r="W10" s="45">
        <f>1/(D10*T10)</f>
        <v>3.2861669580419579</v>
      </c>
      <c r="X10" s="22">
        <f t="shared" si="15"/>
        <v>0.30430590191188694</v>
      </c>
      <c r="Y10" s="22">
        <f t="shared" si="0"/>
        <v>5.072779384871156</v>
      </c>
      <c r="Z10" s="45">
        <f t="shared" si="16"/>
        <v>3.6147836538461542</v>
      </c>
      <c r="AA10" s="21">
        <f t="shared" si="17"/>
        <v>0.2766417290108063</v>
      </c>
      <c r="AB10" s="21">
        <f t="shared" si="1"/>
        <v>4.611617622610142</v>
      </c>
      <c r="AC10" s="45">
        <f>3.5*1.1/(S10*D10*10^-7)</f>
        <v>3.3876763623119284</v>
      </c>
      <c r="AD10" s="22">
        <f t="shared" si="18"/>
        <v>0.29518758377425036</v>
      </c>
      <c r="AE10" s="22">
        <f t="shared" si="2"/>
        <v>4.9207770215167539</v>
      </c>
      <c r="AF10" s="45">
        <f t="shared" si="19"/>
        <v>3.3876763623119284</v>
      </c>
      <c r="AG10" s="22">
        <f t="shared" si="20"/>
        <v>0.29518758377425036</v>
      </c>
      <c r="AH10" s="21">
        <f t="shared" si="3"/>
        <v>4.9207770215167539</v>
      </c>
    </row>
    <row r="11" spans="1:34" x14ac:dyDescent="0.45">
      <c r="A11" s="21" t="s">
        <v>106</v>
      </c>
      <c r="B11" s="21">
        <v>16.670000000000002</v>
      </c>
      <c r="C11" s="21">
        <v>1700</v>
      </c>
      <c r="D11" s="21">
        <v>440</v>
      </c>
      <c r="E11" s="21">
        <f t="shared" si="4"/>
        <v>2140</v>
      </c>
      <c r="F11" s="21">
        <v>0.05</v>
      </c>
      <c r="G11" s="22">
        <f t="shared" si="5"/>
        <v>1049.67</v>
      </c>
      <c r="H11" s="21">
        <v>0.23</v>
      </c>
      <c r="I11" s="22">
        <v>2.2200000000000002</v>
      </c>
      <c r="J11" s="21">
        <f t="shared" si="6"/>
        <v>86.907669308250021</v>
      </c>
      <c r="K11" s="21">
        <f t="shared" si="7"/>
        <v>1136.5776693082501</v>
      </c>
      <c r="L11" s="44">
        <f t="shared" si="8"/>
        <v>18.470713059827329</v>
      </c>
      <c r="M11" s="21">
        <f t="shared" si="9"/>
        <v>307.9067867073216</v>
      </c>
      <c r="N11" s="21">
        <f t="shared" si="10"/>
        <v>0.20560747663551401</v>
      </c>
      <c r="O11" s="21">
        <f t="shared" si="11"/>
        <v>20.5607476635514</v>
      </c>
      <c r="P11" s="21">
        <f t="shared" si="12"/>
        <v>3.7977167038897313</v>
      </c>
      <c r="Q11" s="21">
        <f t="shared" si="13"/>
        <v>63.307937453841824</v>
      </c>
      <c r="U11" s="21">
        <v>151</v>
      </c>
      <c r="V11" s="21">
        <f>U11*3600/1000</f>
        <v>543.6</v>
      </c>
      <c r="W11" s="45">
        <f>V11/D11</f>
        <v>1.2354545454545456</v>
      </c>
      <c r="X11" s="22">
        <f t="shared" si="15"/>
        <v>0.80941869021339208</v>
      </c>
      <c r="Y11" s="22">
        <f t="shared" si="0"/>
        <v>13.493009565857248</v>
      </c>
      <c r="Z11" s="45">
        <f>2.1*W11</f>
        <v>2.5944545454545458</v>
      </c>
      <c r="AA11" s="21">
        <f t="shared" si="17"/>
        <v>0.3854374715301867</v>
      </c>
      <c r="AB11" s="21">
        <f t="shared" si="1"/>
        <v>6.4252426504082134</v>
      </c>
      <c r="AC11" s="45">
        <f>3.15*0.4*Z11/(43000000*10^-7)</f>
        <v>0.7602355179704019</v>
      </c>
      <c r="AD11" s="22">
        <f t="shared" si="18"/>
        <v>1.3153818472855576</v>
      </c>
      <c r="AE11" s="22">
        <f t="shared" si="2"/>
        <v>21.927415394250247</v>
      </c>
      <c r="AF11" s="45">
        <f t="shared" si="19"/>
        <v>0.7602355179704019</v>
      </c>
      <c r="AG11" s="22">
        <f t="shared" si="20"/>
        <v>1.3153818472855576</v>
      </c>
      <c r="AH11" s="21">
        <f t="shared" si="3"/>
        <v>21.927415394250247</v>
      </c>
    </row>
    <row r="12" spans="1:34" x14ac:dyDescent="0.45">
      <c r="A12" s="21" t="s">
        <v>107</v>
      </c>
      <c r="B12" s="21">
        <v>16.670000000000002</v>
      </c>
      <c r="C12" s="21">
        <v>2500</v>
      </c>
      <c r="D12" s="21">
        <v>440</v>
      </c>
      <c r="E12" s="21">
        <f t="shared" si="4"/>
        <v>2940</v>
      </c>
      <c r="F12" s="21">
        <v>0.05</v>
      </c>
      <c r="G12" s="22">
        <f t="shared" si="5"/>
        <v>1442.0700000000002</v>
      </c>
      <c r="H12" s="21">
        <v>0.28000000000000003</v>
      </c>
      <c r="I12" s="22">
        <v>2.65</v>
      </c>
      <c r="J12" s="21">
        <f t="shared" si="6"/>
        <v>126.29355782750002</v>
      </c>
      <c r="K12" s="21">
        <f t="shared" si="7"/>
        <v>1568.3635578275002</v>
      </c>
      <c r="L12" s="44">
        <f t="shared" si="8"/>
        <v>18.389486197926683</v>
      </c>
      <c r="M12" s="21">
        <f t="shared" si="9"/>
        <v>306.55273491943785</v>
      </c>
      <c r="N12" s="21">
        <f t="shared" si="10"/>
        <v>0.14965986394557823</v>
      </c>
      <c r="O12" s="21">
        <f t="shared" si="11"/>
        <v>14.965986394557824</v>
      </c>
      <c r="P12" s="21">
        <f t="shared" si="12"/>
        <v>2.7521680024107962</v>
      </c>
      <c r="Q12" s="21">
        <f t="shared" si="13"/>
        <v>45.878640600187978</v>
      </c>
      <c r="U12" s="21">
        <v>237</v>
      </c>
      <c r="V12" s="21">
        <f>U12*3600/1000</f>
        <v>853.2</v>
      </c>
      <c r="W12" s="45">
        <f>V12/D12</f>
        <v>1.9390909090909092</v>
      </c>
      <c r="X12" s="22">
        <f t="shared" si="15"/>
        <v>0.51570557899671821</v>
      </c>
      <c r="Y12" s="22">
        <f t="shared" si="0"/>
        <v>8.5968120018752927</v>
      </c>
      <c r="Z12" s="45">
        <f>2.1*W12</f>
        <v>4.0720909090909094</v>
      </c>
      <c r="AA12" s="21">
        <f t="shared" si="17"/>
        <v>0.24557408523653249</v>
      </c>
      <c r="AB12" s="21">
        <f t="shared" si="1"/>
        <v>4.093720000892997</v>
      </c>
      <c r="AC12" s="45">
        <f>3.15*0.4*Z12/(43000000*10^-7)</f>
        <v>1.19321733615222</v>
      </c>
      <c r="AD12" s="22">
        <f t="shared" si="18"/>
        <v>0.83807029088657903</v>
      </c>
      <c r="AE12" s="22">
        <f t="shared" si="2"/>
        <v>13.970631749079274</v>
      </c>
      <c r="AF12" s="45">
        <f t="shared" si="19"/>
        <v>1.19321733615222</v>
      </c>
      <c r="AG12" s="22">
        <f t="shared" si="20"/>
        <v>0.83807029088657903</v>
      </c>
      <c r="AH12" s="21">
        <f t="shared" si="3"/>
        <v>13.970631749079274</v>
      </c>
    </row>
  </sheetData>
  <mergeCells count="3">
    <mergeCell ref="N3:O3"/>
    <mergeCell ref="R3:T3"/>
    <mergeCell ref="U3:V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F8"/>
  <sheetViews>
    <sheetView zoomScale="90" workbookViewId="0">
      <selection activeCell="A2" sqref="A2"/>
    </sheetView>
  </sheetViews>
  <sheetFormatPr baseColWidth="10" defaultColWidth="8.86328125" defaultRowHeight="14.25" x14ac:dyDescent="0.45"/>
  <cols>
    <col min="1" max="1" width="19.73046875" style="21" customWidth="1"/>
    <col min="2" max="2" width="14.73046875" style="21" customWidth="1"/>
    <col min="3" max="3" width="11.3984375" style="21" customWidth="1"/>
    <col min="4" max="4" width="10.73046875" style="21" customWidth="1"/>
    <col min="5" max="5" width="10.3984375" style="21" customWidth="1"/>
    <col min="6" max="6" width="8.86328125" style="21"/>
    <col min="7" max="7" width="11" style="21" customWidth="1"/>
    <col min="8" max="8" width="8.86328125" style="21"/>
    <col min="9" max="9" width="8.86328125" style="22"/>
    <col min="10" max="10" width="9.73046875" style="21" customWidth="1"/>
    <col min="11" max="11" width="10.3984375" style="21" customWidth="1"/>
    <col min="12" max="12" width="8.86328125" style="44"/>
    <col min="13" max="13" width="9.265625" style="21" bestFit="1" customWidth="1"/>
    <col min="14" max="15" width="8.86328125" style="21"/>
    <col min="16" max="16" width="8.86328125" style="44"/>
    <col min="17" max="18" width="8.86328125" style="21"/>
    <col min="19" max="19" width="12" style="21" bestFit="1" customWidth="1"/>
    <col min="20" max="20" width="21.86328125" style="21" customWidth="1"/>
    <col min="21" max="21" width="8.86328125" style="44"/>
    <col min="22" max="23" width="8.86328125" style="21"/>
    <col min="24" max="24" width="11.73046875" style="44" customWidth="1"/>
    <col min="25" max="25" width="16.1328125" style="21" customWidth="1"/>
    <col min="26" max="26" width="8.86328125" style="21"/>
    <col min="27" max="27" width="12.3984375" style="44" customWidth="1"/>
    <col min="28" max="28" width="16" style="21" customWidth="1"/>
    <col min="29" max="29" width="12" style="21" customWidth="1"/>
    <col min="30" max="30" width="14.73046875" style="44" customWidth="1"/>
    <col min="31" max="31" width="15.1328125" style="21" customWidth="1"/>
    <col min="32" max="32" width="10.73046875" style="21" customWidth="1"/>
    <col min="33" max="16384" width="8.86328125" style="21"/>
  </cols>
  <sheetData>
    <row r="1" spans="1:32" ht="25.5" x14ac:dyDescent="0.75">
      <c r="A1" s="68" t="s">
        <v>312</v>
      </c>
    </row>
    <row r="3" spans="1:32" x14ac:dyDescent="0.45">
      <c r="A3" s="21" t="s">
        <v>0</v>
      </c>
      <c r="B3" s="63" t="s">
        <v>51</v>
      </c>
      <c r="C3" s="63" t="s">
        <v>98</v>
      </c>
      <c r="D3" s="63" t="s">
        <v>251</v>
      </c>
      <c r="E3" s="63" t="s">
        <v>22</v>
      </c>
      <c r="F3" s="63" t="s">
        <v>99</v>
      </c>
      <c r="G3" s="63" t="s">
        <v>296</v>
      </c>
      <c r="H3" s="63" t="s">
        <v>108</v>
      </c>
      <c r="I3" s="74" t="s">
        <v>260</v>
      </c>
      <c r="J3" s="63" t="s">
        <v>266</v>
      </c>
      <c r="K3" s="63" t="s">
        <v>255</v>
      </c>
      <c r="L3" s="70" t="s">
        <v>41</v>
      </c>
      <c r="M3" s="63" t="s">
        <v>133</v>
      </c>
      <c r="N3" s="137" t="s">
        <v>246</v>
      </c>
      <c r="O3" s="137"/>
      <c r="P3" s="70" t="s">
        <v>248</v>
      </c>
      <c r="Q3" s="63" t="s">
        <v>253</v>
      </c>
      <c r="R3" s="137" t="s">
        <v>221</v>
      </c>
      <c r="S3" s="137"/>
      <c r="T3" s="63" t="s">
        <v>261</v>
      </c>
      <c r="U3" s="70" t="s">
        <v>188</v>
      </c>
      <c r="V3" s="63" t="s">
        <v>194</v>
      </c>
      <c r="W3" s="63" t="s">
        <v>151</v>
      </c>
      <c r="X3" s="70" t="s">
        <v>198</v>
      </c>
      <c r="Y3" s="63" t="s">
        <v>199</v>
      </c>
      <c r="Z3" s="63" t="s">
        <v>197</v>
      </c>
      <c r="AA3" s="70" t="s">
        <v>200</v>
      </c>
      <c r="AB3" s="87" t="s">
        <v>232</v>
      </c>
      <c r="AC3" s="63" t="s">
        <v>234</v>
      </c>
      <c r="AD3" s="70" t="s">
        <v>201</v>
      </c>
      <c r="AE3" s="87" t="s">
        <v>233</v>
      </c>
      <c r="AF3" s="63" t="s">
        <v>235</v>
      </c>
    </row>
    <row r="4" spans="1:32" x14ac:dyDescent="0.45">
      <c r="A4" s="69"/>
      <c r="B4" s="64" t="s">
        <v>29</v>
      </c>
      <c r="C4" s="64" t="s">
        <v>30</v>
      </c>
      <c r="D4" s="64" t="s">
        <v>30</v>
      </c>
      <c r="E4" s="64" t="s">
        <v>30</v>
      </c>
      <c r="F4" s="64"/>
      <c r="G4" s="64" t="s">
        <v>54</v>
      </c>
      <c r="H4" s="64"/>
      <c r="I4" s="83" t="s">
        <v>88</v>
      </c>
      <c r="J4" s="64" t="s">
        <v>54</v>
      </c>
      <c r="K4" s="64" t="s">
        <v>54</v>
      </c>
      <c r="L4" s="78"/>
      <c r="M4" s="64" t="s">
        <v>29</v>
      </c>
      <c r="N4" s="64"/>
      <c r="O4" s="64" t="s">
        <v>31</v>
      </c>
      <c r="P4" s="78"/>
      <c r="Q4" s="64" t="s">
        <v>29</v>
      </c>
      <c r="R4" s="64" t="s">
        <v>218</v>
      </c>
      <c r="S4" s="64" t="s">
        <v>36</v>
      </c>
      <c r="T4" s="64" t="s">
        <v>43</v>
      </c>
      <c r="U4" s="78" t="s">
        <v>37</v>
      </c>
      <c r="V4" s="64" t="s">
        <v>132</v>
      </c>
      <c r="W4" s="64" t="s">
        <v>152</v>
      </c>
      <c r="X4" s="78" t="s">
        <v>37</v>
      </c>
      <c r="Y4" s="64" t="s">
        <v>132</v>
      </c>
      <c r="Z4" s="64" t="s">
        <v>152</v>
      </c>
      <c r="AA4" s="78" t="s">
        <v>166</v>
      </c>
      <c r="AB4" s="89" t="s">
        <v>231</v>
      </c>
      <c r="AC4" s="89"/>
      <c r="AD4" s="78" t="s">
        <v>166</v>
      </c>
      <c r="AE4" s="89" t="s">
        <v>231</v>
      </c>
      <c r="AF4" s="64"/>
    </row>
    <row r="5" spans="1:32" x14ac:dyDescent="0.45">
      <c r="A5" s="21" t="s">
        <v>225</v>
      </c>
      <c r="B5" s="21">
        <v>27.78</v>
      </c>
      <c r="C5" s="21">
        <f>E5-D5</f>
        <v>14000</v>
      </c>
      <c r="D5" s="21">
        <v>27000</v>
      </c>
      <c r="E5" s="21">
        <v>41000</v>
      </c>
      <c r="F5" s="21">
        <v>1.4999999999999999E-2</v>
      </c>
      <c r="G5" s="22">
        <f>F5*E5*9.81</f>
        <v>6033.1500000000005</v>
      </c>
      <c r="H5" s="21">
        <v>0.9</v>
      </c>
      <c r="I5" s="22">
        <f>2.5*3.85</f>
        <v>9.625</v>
      </c>
      <c r="J5" s="21">
        <f>0.5*1.225*(B5^2)*H5*I5</f>
        <v>4094.6220748125006</v>
      </c>
      <c r="K5" s="21">
        <f>J5+G5</f>
        <v>10127.772074812501</v>
      </c>
      <c r="L5" s="44">
        <f>E5*9.81/K5</f>
        <v>39.713571457663974</v>
      </c>
      <c r="M5" s="21">
        <f>L5*B5</f>
        <v>1103.2430150939053</v>
      </c>
      <c r="N5" s="21">
        <f>D5/E5</f>
        <v>0.65853658536585369</v>
      </c>
      <c r="O5" s="21">
        <f>N5*100</f>
        <v>65.853658536585371</v>
      </c>
      <c r="P5" s="44">
        <f>N5*L5</f>
        <v>26.152839740412862</v>
      </c>
      <c r="Q5" s="21">
        <f>P5*B5</f>
        <v>726.5258879886693</v>
      </c>
      <c r="R5" s="21">
        <v>35</v>
      </c>
      <c r="S5" s="21">
        <f>R5*0.84/(100*10^3)</f>
        <v>2.9399999999999999E-4</v>
      </c>
      <c r="T5" s="21">
        <f>S5/D5</f>
        <v>1.0888888888888888E-8</v>
      </c>
      <c r="U5" s="44">
        <f>T5*43*10^6</f>
        <v>0.46822222222222215</v>
      </c>
      <c r="V5" s="21">
        <f>1/U5</f>
        <v>2.1357380161366875</v>
      </c>
      <c r="W5" s="21">
        <f>V5*B5</f>
        <v>59.330802088277181</v>
      </c>
      <c r="X5" s="44">
        <f>1.1*U5</f>
        <v>0.51504444444444442</v>
      </c>
      <c r="Y5" s="21">
        <f>1/X5</f>
        <v>1.9415800146697157</v>
      </c>
      <c r="Z5" s="21">
        <f>Y5*B5</f>
        <v>53.937092807524706</v>
      </c>
      <c r="AA5" s="44">
        <f>3.15*1.1*T5/10^-7</f>
        <v>0.37730000000000002</v>
      </c>
      <c r="AB5" s="21">
        <f>1/AA5</f>
        <v>2.6504108136761197</v>
      </c>
      <c r="AC5" s="21">
        <f>B5*AB5</f>
        <v>73.62841240392261</v>
      </c>
      <c r="AD5" s="44">
        <f>AA5</f>
        <v>0.37730000000000002</v>
      </c>
      <c r="AE5" s="21">
        <f>1/AD5</f>
        <v>2.6504108136761197</v>
      </c>
      <c r="AF5" s="21">
        <f>B5*AE5</f>
        <v>73.62841240392261</v>
      </c>
    </row>
    <row r="6" spans="1:32" x14ac:dyDescent="0.45">
      <c r="A6" s="21" t="s">
        <v>226</v>
      </c>
      <c r="B6" s="21">
        <v>16.670000000000002</v>
      </c>
      <c r="C6" s="21">
        <f>E6-D6</f>
        <v>14000</v>
      </c>
      <c r="D6" s="21">
        <v>27000</v>
      </c>
      <c r="E6" s="21">
        <v>41000</v>
      </c>
      <c r="F6" s="21">
        <v>0.05</v>
      </c>
      <c r="G6" s="22">
        <f>F6*E6*9.81</f>
        <v>20110.5</v>
      </c>
      <c r="H6" s="21">
        <v>0.9</v>
      </c>
      <c r="I6" s="22">
        <f>2.5*3.85</f>
        <v>9.625</v>
      </c>
      <c r="J6" s="21">
        <f>0.5*1.225*(B6^2)*H6*I6</f>
        <v>1474.4177152031252</v>
      </c>
      <c r="K6" s="21">
        <f>J6+G6</f>
        <v>21584.917715203126</v>
      </c>
      <c r="L6" s="44">
        <f>E6*9.81/K6</f>
        <v>18.633844488399756</v>
      </c>
      <c r="M6" s="21">
        <f>L6*B6</f>
        <v>310.62618762162396</v>
      </c>
      <c r="N6" s="21">
        <f>D6/E6</f>
        <v>0.65853658536585369</v>
      </c>
      <c r="O6" s="21">
        <f>N6*100</f>
        <v>65.853658536585371</v>
      </c>
      <c r="P6" s="44">
        <f>N6*L6</f>
        <v>12.271068321629109</v>
      </c>
      <c r="Q6" s="21">
        <f>P6*B6</f>
        <v>204.55870892155727</v>
      </c>
      <c r="R6" s="21">
        <v>35</v>
      </c>
      <c r="S6" s="21">
        <f>R6*0.84/(100*10^3)</f>
        <v>2.9399999999999999E-4</v>
      </c>
      <c r="T6" s="21">
        <f>S6/D6</f>
        <v>1.0888888888888888E-8</v>
      </c>
      <c r="U6" s="44">
        <f>T6*43*10^6</f>
        <v>0.46822222222222215</v>
      </c>
      <c r="V6" s="21">
        <f>1/U6</f>
        <v>2.1357380161366875</v>
      </c>
      <c r="W6" s="21">
        <f>V6*B6</f>
        <v>35.602752728998581</v>
      </c>
      <c r="X6" s="44">
        <f>1.1*U6</f>
        <v>0.51504444444444442</v>
      </c>
      <c r="Y6" s="21">
        <f>1/X6</f>
        <v>1.9415800146697157</v>
      </c>
      <c r="Z6" s="21">
        <f>Y6*B6</f>
        <v>32.366138844544167</v>
      </c>
      <c r="AA6" s="44">
        <f>3.15*1.1*T6/10^-7</f>
        <v>0.37730000000000002</v>
      </c>
      <c r="AB6" s="21">
        <f t="shared" ref="AB6:AB8" si="0">1/AA6</f>
        <v>2.6504108136761197</v>
      </c>
      <c r="AC6" s="21">
        <f t="shared" ref="AC6:AC8" si="1">B6*AB6</f>
        <v>44.18234826398092</v>
      </c>
      <c r="AD6" s="44">
        <f>AA6</f>
        <v>0.37730000000000002</v>
      </c>
      <c r="AE6" s="21">
        <f t="shared" ref="AE6:AE8" si="2">1/AD6</f>
        <v>2.6504108136761197</v>
      </c>
      <c r="AF6" s="21">
        <f t="shared" ref="AF6:AF8" si="3">B6*AE6</f>
        <v>44.18234826398092</v>
      </c>
    </row>
    <row r="7" spans="1:32" x14ac:dyDescent="0.45">
      <c r="A7" s="21" t="s">
        <v>227</v>
      </c>
      <c r="B7" s="21">
        <v>27.78</v>
      </c>
      <c r="C7" s="21">
        <v>14600</v>
      </c>
      <c r="D7" s="21">
        <v>16400</v>
      </c>
      <c r="E7" s="21">
        <v>31000</v>
      </c>
      <c r="F7" s="21">
        <v>1.4999999999999999E-2</v>
      </c>
      <c r="G7" s="22">
        <f>F7*E7*9.81</f>
        <v>4561.6500000000005</v>
      </c>
      <c r="H7" s="21">
        <v>0.75</v>
      </c>
      <c r="I7" s="22">
        <f>3.45*2.49</f>
        <v>8.5905000000000005</v>
      </c>
      <c r="J7" s="21">
        <f>0.5*1.225*(B7^2)*H7*I7</f>
        <v>3045.4416392793755</v>
      </c>
      <c r="K7" s="21">
        <f>J7+G7</f>
        <v>7607.0916392793761</v>
      </c>
      <c r="L7" s="44">
        <f>E7*9.81/K7</f>
        <v>39.977170569330553</v>
      </c>
      <c r="M7" s="21">
        <f>L7*B7</f>
        <v>1110.5657984160027</v>
      </c>
      <c r="N7" s="21">
        <f>D7/E7</f>
        <v>0.52903225806451615</v>
      </c>
      <c r="O7" s="21">
        <f>N7*100</f>
        <v>52.903225806451616</v>
      </c>
      <c r="P7" s="44">
        <f>N7*L7</f>
        <v>21.14921281732326</v>
      </c>
      <c r="Q7" s="21">
        <f>P7*B7</f>
        <v>587.5251320652402</v>
      </c>
      <c r="R7" s="21">
        <v>25</v>
      </c>
      <c r="S7" s="21">
        <f>R7*0.84/(100*10^3)</f>
        <v>2.1000000000000001E-4</v>
      </c>
      <c r="T7" s="21">
        <f>S7/D7</f>
        <v>1.2804878048780489E-8</v>
      </c>
      <c r="U7" s="44">
        <f>T7*43*10^6</f>
        <v>0.55060975609756102</v>
      </c>
      <c r="V7" s="21">
        <f>1/U7</f>
        <v>1.8161683277962346</v>
      </c>
      <c r="W7" s="21">
        <f>V7*B7</f>
        <v>50.453156146179403</v>
      </c>
      <c r="X7" s="44">
        <f>1.1*U7</f>
        <v>0.60567073170731722</v>
      </c>
      <c r="Y7" s="21">
        <f>1/X7</f>
        <v>1.6510621161783949</v>
      </c>
      <c r="Z7" s="21">
        <f>Y7*B7</f>
        <v>45.86650558743581</v>
      </c>
      <c r="AA7" s="44">
        <f>3.15*1.1*T7/10^-7</f>
        <v>0.44368902439024399</v>
      </c>
      <c r="AB7" s="21">
        <f t="shared" si="0"/>
        <v>2.2538308252593962</v>
      </c>
      <c r="AC7" s="21">
        <f t="shared" si="1"/>
        <v>62.611420325706028</v>
      </c>
      <c r="AD7" s="44">
        <f>AA7</f>
        <v>0.44368902439024399</v>
      </c>
      <c r="AE7" s="21">
        <f t="shared" si="2"/>
        <v>2.2538308252593962</v>
      </c>
      <c r="AF7" s="21">
        <f t="shared" si="3"/>
        <v>62.611420325706028</v>
      </c>
    </row>
    <row r="8" spans="1:32" x14ac:dyDescent="0.45">
      <c r="A8" s="21" t="s">
        <v>228</v>
      </c>
      <c r="B8" s="21">
        <v>16.670000000000002</v>
      </c>
      <c r="C8" s="21">
        <v>14600</v>
      </c>
      <c r="D8" s="21">
        <v>16400</v>
      </c>
      <c r="E8" s="21">
        <v>31000</v>
      </c>
      <c r="F8" s="21">
        <v>0.05</v>
      </c>
      <c r="G8" s="22">
        <f>F8*E8*9.81</f>
        <v>15205.5</v>
      </c>
      <c r="H8" s="21">
        <v>0.75</v>
      </c>
      <c r="I8" s="22">
        <f>3.45*2.49</f>
        <v>8.5905000000000005</v>
      </c>
      <c r="J8" s="21">
        <f>0.5*1.225*(B8^2)*H8*I8</f>
        <v>1096.622111034844</v>
      </c>
      <c r="K8" s="21">
        <f>J8+G8</f>
        <v>16302.122111034843</v>
      </c>
      <c r="L8" s="44">
        <f>E8*9.81/K8</f>
        <v>18.654626552830759</v>
      </c>
      <c r="M8" s="21">
        <f>L8*B8</f>
        <v>310.97262463568882</v>
      </c>
      <c r="N8" s="21">
        <f>D8/E8</f>
        <v>0.52903225806451615</v>
      </c>
      <c r="O8" s="21">
        <f>N8*100</f>
        <v>52.903225806451616</v>
      </c>
      <c r="P8" s="44">
        <f>N8*L8</f>
        <v>9.8688992085943372</v>
      </c>
      <c r="Q8" s="21">
        <f>P8*B8</f>
        <v>164.51454980726763</v>
      </c>
      <c r="R8" s="21">
        <v>25</v>
      </c>
      <c r="S8" s="21">
        <f>R8*0.84/(100*10^3)</f>
        <v>2.1000000000000001E-4</v>
      </c>
      <c r="T8" s="21">
        <f>S8/D8</f>
        <v>1.2804878048780489E-8</v>
      </c>
      <c r="U8" s="44">
        <f>T8*43*10^6</f>
        <v>0.55060975609756102</v>
      </c>
      <c r="V8" s="21">
        <f>1/U8</f>
        <v>1.8161683277962346</v>
      </c>
      <c r="W8" s="21">
        <f>V8*B8</f>
        <v>30.275526024363234</v>
      </c>
      <c r="X8" s="44">
        <f>1.1*U8</f>
        <v>0.60567073170731722</v>
      </c>
      <c r="Y8" s="21">
        <f>1/X8</f>
        <v>1.6510621161783949</v>
      </c>
      <c r="Z8" s="21">
        <f>Y8*B8</f>
        <v>27.523205476693846</v>
      </c>
      <c r="AA8" s="44">
        <f>3.15*1.1*T8/10^-7</f>
        <v>0.44368902439024399</v>
      </c>
      <c r="AB8" s="21">
        <f t="shared" si="0"/>
        <v>2.2538308252593962</v>
      </c>
      <c r="AC8" s="21">
        <f t="shared" si="1"/>
        <v>37.571359857074135</v>
      </c>
      <c r="AD8" s="44">
        <f>AA8</f>
        <v>0.44368902439024399</v>
      </c>
      <c r="AE8" s="21">
        <f t="shared" si="2"/>
        <v>2.2538308252593962</v>
      </c>
      <c r="AF8" s="21">
        <f t="shared" si="3"/>
        <v>37.571359857074135</v>
      </c>
    </row>
  </sheetData>
  <mergeCells count="2">
    <mergeCell ref="N3:O3"/>
    <mergeCell ref="R3:S3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F8"/>
  <sheetViews>
    <sheetView zoomScaleNormal="100" workbookViewId="0">
      <selection activeCell="A2" sqref="A2"/>
    </sheetView>
  </sheetViews>
  <sheetFormatPr baseColWidth="10" defaultColWidth="8.86328125" defaultRowHeight="14.25" x14ac:dyDescent="0.45"/>
  <cols>
    <col min="1" max="1" width="23.265625" style="21" customWidth="1"/>
    <col min="2" max="2" width="14.73046875" style="21" customWidth="1"/>
    <col min="3" max="3" width="12.73046875" style="21" customWidth="1"/>
    <col min="4" max="4" width="13.86328125" style="21" customWidth="1"/>
    <col min="5" max="5" width="12.1328125" style="21" customWidth="1"/>
    <col min="6" max="9" width="8.86328125" style="21"/>
    <col min="10" max="10" width="11.265625" style="21" customWidth="1"/>
    <col min="11" max="11" width="12.1328125" style="21" customWidth="1"/>
    <col min="12" max="12" width="8.86328125" style="44"/>
    <col min="13" max="13" width="9.265625" style="21" bestFit="1" customWidth="1"/>
    <col min="14" max="15" width="8.86328125" style="21"/>
    <col min="16" max="16" width="8.86328125" style="44"/>
    <col min="17" max="19" width="8.86328125" style="21"/>
    <col min="20" max="20" width="12" style="21" bestFit="1" customWidth="1"/>
    <col min="21" max="21" width="11.3984375" style="44" customWidth="1"/>
    <col min="22" max="22" width="11.86328125" style="21" customWidth="1"/>
    <col min="23" max="23" width="10.59765625" style="21" customWidth="1"/>
    <col min="24" max="24" width="13" style="44" customWidth="1"/>
    <col min="25" max="25" width="14.86328125" style="21" customWidth="1"/>
    <col min="26" max="26" width="8.86328125" style="21"/>
    <col min="27" max="27" width="13.86328125" style="44" customWidth="1"/>
    <col min="28" max="28" width="13.86328125" style="21" customWidth="1"/>
    <col min="29" max="29" width="11.73046875" style="21" customWidth="1"/>
    <col min="30" max="30" width="15.73046875" style="44" customWidth="1"/>
    <col min="31" max="31" width="16.3984375" style="21" customWidth="1"/>
    <col min="32" max="32" width="11" style="21" customWidth="1"/>
    <col min="33" max="16384" width="8.86328125" style="21"/>
  </cols>
  <sheetData>
    <row r="1" spans="1:32" ht="25.5" x14ac:dyDescent="0.75">
      <c r="A1" s="68" t="s">
        <v>313</v>
      </c>
    </row>
    <row r="3" spans="1:32" x14ac:dyDescent="0.45">
      <c r="A3" s="21" t="s">
        <v>0</v>
      </c>
      <c r="B3" s="63" t="s">
        <v>51</v>
      </c>
      <c r="C3" s="63" t="s">
        <v>98</v>
      </c>
      <c r="D3" s="63" t="s">
        <v>251</v>
      </c>
      <c r="E3" s="63" t="s">
        <v>22</v>
      </c>
      <c r="F3" s="63" t="s">
        <v>99</v>
      </c>
      <c r="G3" s="63" t="s">
        <v>296</v>
      </c>
      <c r="H3" s="63" t="s">
        <v>108</v>
      </c>
      <c r="I3" s="63" t="s">
        <v>260</v>
      </c>
      <c r="J3" s="63" t="s">
        <v>266</v>
      </c>
      <c r="K3" s="63" t="s">
        <v>255</v>
      </c>
      <c r="L3" s="70" t="s">
        <v>41</v>
      </c>
      <c r="M3" s="63" t="s">
        <v>133</v>
      </c>
      <c r="N3" s="137" t="s">
        <v>246</v>
      </c>
      <c r="O3" s="137"/>
      <c r="P3" s="70" t="s">
        <v>248</v>
      </c>
      <c r="Q3" s="63" t="s">
        <v>253</v>
      </c>
      <c r="R3" s="137" t="s">
        <v>35</v>
      </c>
      <c r="S3" s="137"/>
      <c r="T3" s="137"/>
      <c r="U3" s="70" t="s">
        <v>188</v>
      </c>
      <c r="V3" s="63" t="s">
        <v>194</v>
      </c>
      <c r="W3" s="63" t="s">
        <v>151</v>
      </c>
      <c r="X3" s="70" t="s">
        <v>198</v>
      </c>
      <c r="Y3" s="63" t="s">
        <v>199</v>
      </c>
      <c r="Z3" s="63" t="s">
        <v>197</v>
      </c>
      <c r="AA3" s="70" t="s">
        <v>200</v>
      </c>
      <c r="AB3" s="63" t="s">
        <v>232</v>
      </c>
      <c r="AC3" s="63" t="s">
        <v>234</v>
      </c>
      <c r="AD3" s="70" t="s">
        <v>201</v>
      </c>
      <c r="AE3" s="63" t="s">
        <v>233</v>
      </c>
      <c r="AF3" s="63" t="s">
        <v>235</v>
      </c>
    </row>
    <row r="4" spans="1:32" x14ac:dyDescent="0.45">
      <c r="A4" s="69"/>
      <c r="B4" s="64" t="s">
        <v>29</v>
      </c>
      <c r="C4" s="64" t="s">
        <v>30</v>
      </c>
      <c r="D4" s="64" t="s">
        <v>30</v>
      </c>
      <c r="E4" s="64" t="s">
        <v>30</v>
      </c>
      <c r="F4" s="64"/>
      <c r="G4" s="64" t="s">
        <v>54</v>
      </c>
      <c r="H4" s="64"/>
      <c r="I4" s="64" t="s">
        <v>88</v>
      </c>
      <c r="J4" s="64" t="s">
        <v>54</v>
      </c>
      <c r="K4" s="64" t="s">
        <v>54</v>
      </c>
      <c r="L4" s="78"/>
      <c r="M4" s="64" t="s">
        <v>29</v>
      </c>
      <c r="N4" s="64"/>
      <c r="O4" s="64" t="s">
        <v>31</v>
      </c>
      <c r="P4" s="78"/>
      <c r="Q4" s="64" t="s">
        <v>29</v>
      </c>
      <c r="R4" s="64" t="s">
        <v>195</v>
      </c>
      <c r="S4" s="64" t="s">
        <v>169</v>
      </c>
      <c r="T4" s="64" t="s">
        <v>43</v>
      </c>
      <c r="U4" s="78" t="s">
        <v>37</v>
      </c>
      <c r="V4" s="64" t="s">
        <v>132</v>
      </c>
      <c r="W4" s="64" t="s">
        <v>152</v>
      </c>
      <c r="X4" s="78" t="s">
        <v>37</v>
      </c>
      <c r="Y4" s="64" t="s">
        <v>132</v>
      </c>
      <c r="Z4" s="64" t="s">
        <v>152</v>
      </c>
      <c r="AA4" s="78" t="s">
        <v>166</v>
      </c>
      <c r="AB4" s="64" t="s">
        <v>231</v>
      </c>
      <c r="AC4" s="64"/>
      <c r="AD4" s="78" t="s">
        <v>166</v>
      </c>
      <c r="AE4" s="64" t="s">
        <v>231</v>
      </c>
      <c r="AF4" s="64"/>
    </row>
    <row r="5" spans="1:32" x14ac:dyDescent="0.45">
      <c r="A5" s="21" t="s">
        <v>223</v>
      </c>
      <c r="B5" s="21">
        <v>27.78</v>
      </c>
      <c r="C5" s="21">
        <v>13400</v>
      </c>
      <c r="D5" s="21">
        <f>65*100</f>
        <v>6500</v>
      </c>
      <c r="E5" s="21">
        <f>C5+D5</f>
        <v>19900</v>
      </c>
      <c r="F5" s="21">
        <v>1.4999999999999999E-2</v>
      </c>
      <c r="G5" s="21">
        <f>E5*F5*9.81</f>
        <v>2928.2850000000003</v>
      </c>
      <c r="H5" s="21">
        <v>0.33</v>
      </c>
      <c r="I5" s="21">
        <v>9.3840000000000003</v>
      </c>
      <c r="J5" s="21">
        <f>0.5*1.225*(B5^2)*H5*I5</f>
        <v>1463.7688971444002</v>
      </c>
      <c r="K5" s="21">
        <f>G5+J5</f>
        <v>4392.0538971444003</v>
      </c>
      <c r="L5" s="44">
        <f>E5*9.81/K5</f>
        <v>44.448225038159556</v>
      </c>
      <c r="M5" s="21">
        <f>L5*B5</f>
        <v>1234.7716915600724</v>
      </c>
      <c r="N5" s="21">
        <f>D5/E5</f>
        <v>0.32663316582914576</v>
      </c>
      <c r="O5" s="21">
        <f>N5*100</f>
        <v>32.663316582914575</v>
      </c>
      <c r="P5" s="44">
        <f>L5*N5</f>
        <v>14.518264459700358</v>
      </c>
      <c r="Q5" s="21">
        <f>P5*B5</f>
        <v>403.31738669047598</v>
      </c>
      <c r="R5" s="21">
        <v>20.72</v>
      </c>
      <c r="S5" s="21">
        <f>R5*0.84/100</f>
        <v>0.17404799999999998</v>
      </c>
      <c r="T5" s="21">
        <f>S5/(1000*D5)</f>
        <v>2.6776615384615382E-8</v>
      </c>
      <c r="U5" s="44">
        <f>T5*$V$8*10^6</f>
        <v>1.1139071999999999</v>
      </c>
      <c r="V5" s="21">
        <f>1/U5</f>
        <v>0.89774085309799601</v>
      </c>
      <c r="W5" s="21">
        <f>V5*B5</f>
        <v>24.93924089906233</v>
      </c>
      <c r="X5" s="44">
        <f>2.1*U5</f>
        <v>2.3392051199999999</v>
      </c>
      <c r="Y5" s="21">
        <f>1/X5</f>
        <v>0.42749564433237902</v>
      </c>
      <c r="Z5" s="21">
        <f>Y5*B5</f>
        <v>11.875828999553489</v>
      </c>
      <c r="AA5" s="44">
        <f>T5*3.15*1.1/10^-7</f>
        <v>0.927809723076923</v>
      </c>
      <c r="AB5" s="21">
        <f>1/AA5</f>
        <v>1.07780720025618</v>
      </c>
      <c r="AC5" s="21">
        <f>B5*AB5</f>
        <v>29.941484023116683</v>
      </c>
      <c r="AD5" s="44">
        <f>AA5</f>
        <v>0.927809723076923</v>
      </c>
      <c r="AE5" s="21">
        <f>1/AD5</f>
        <v>1.07780720025618</v>
      </c>
      <c r="AF5" s="21">
        <f>B5*AE5</f>
        <v>29.941484023116683</v>
      </c>
    </row>
    <row r="6" spans="1:32" x14ac:dyDescent="0.45">
      <c r="A6" s="21" t="s">
        <v>224</v>
      </c>
      <c r="B6" s="21">
        <v>16.670000000000002</v>
      </c>
      <c r="C6" s="21">
        <v>13400</v>
      </c>
      <c r="D6" s="21">
        <f>65*100</f>
        <v>6500</v>
      </c>
      <c r="E6" s="21">
        <f>C6+D6</f>
        <v>19900</v>
      </c>
      <c r="F6" s="21">
        <v>0.05</v>
      </c>
      <c r="G6" s="21">
        <f>E6*F6*9.81</f>
        <v>9760.9500000000007</v>
      </c>
      <c r="H6" s="21">
        <v>0.33</v>
      </c>
      <c r="I6" s="21">
        <v>9.3840000000000003</v>
      </c>
      <c r="J6" s="21">
        <f>0.5*1.225*(B6^2)*H6*I6</f>
        <v>527.08327007490016</v>
      </c>
      <c r="K6" s="21">
        <f>G6+J6</f>
        <v>10288.0332700749</v>
      </c>
      <c r="L6" s="44">
        <f>E6*9.81/K6</f>
        <v>18.975346878770225</v>
      </c>
      <c r="M6" s="21">
        <f>L6*B6</f>
        <v>316.31903246909968</v>
      </c>
      <c r="N6" s="21">
        <f>D6/E6</f>
        <v>0.32663316582914576</v>
      </c>
      <c r="O6" s="21">
        <f>N6*100</f>
        <v>32.663316582914575</v>
      </c>
      <c r="P6" s="44">
        <f>L6*N6</f>
        <v>6.1979776237189181</v>
      </c>
      <c r="Q6" s="21">
        <f>P6*B6</f>
        <v>103.32028698739438</v>
      </c>
      <c r="R6" s="21">
        <v>20.72</v>
      </c>
      <c r="S6" s="21">
        <f>R6*0.84/100</f>
        <v>0.17404799999999998</v>
      </c>
      <c r="T6" s="21">
        <f>S6/(1000*D6)</f>
        <v>2.6776615384615382E-8</v>
      </c>
      <c r="U6" s="44">
        <f>T6*$V$8*10^6</f>
        <v>1.1139071999999999</v>
      </c>
      <c r="V6" s="21">
        <f>1/U6</f>
        <v>0.89774085309799601</v>
      </c>
      <c r="W6" s="21">
        <f>V6*B6</f>
        <v>14.965340021143595</v>
      </c>
      <c r="X6" s="44">
        <f>2.1*U6</f>
        <v>2.3392051199999999</v>
      </c>
      <c r="Y6" s="21">
        <f>1/X6</f>
        <v>0.42749564433237902</v>
      </c>
      <c r="Z6" s="21">
        <f>Y6*B6</f>
        <v>7.1263523910207587</v>
      </c>
      <c r="AA6" s="44">
        <f>T6*3.15*1.1/10^-7</f>
        <v>0.927809723076923</v>
      </c>
      <c r="AB6" s="21">
        <f>1/AA6</f>
        <v>1.07780720025618</v>
      </c>
      <c r="AC6" s="21">
        <f>B6*AB6</f>
        <v>17.967046028270524</v>
      </c>
      <c r="AD6" s="44">
        <f>AA6</f>
        <v>0.927809723076923</v>
      </c>
      <c r="AE6" s="21">
        <f>1/AD6</f>
        <v>1.07780720025618</v>
      </c>
      <c r="AF6" s="21">
        <f>B6*AE6</f>
        <v>17.967046028270524</v>
      </c>
    </row>
    <row r="8" spans="1:32" x14ac:dyDescent="0.45">
      <c r="T8" s="142" t="s">
        <v>196</v>
      </c>
      <c r="U8" s="142"/>
      <c r="V8" s="21">
        <v>41.6</v>
      </c>
    </row>
  </sheetData>
  <mergeCells count="3">
    <mergeCell ref="N3:O3"/>
    <mergeCell ref="R3:T3"/>
    <mergeCell ref="T8:U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Z8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10.3984375" customWidth="1"/>
    <col min="4" max="4" width="13.86328125" bestFit="1" customWidth="1"/>
    <col min="5" max="5" width="12.73046875" customWidth="1"/>
    <col min="6" max="6" width="8.86328125" style="46"/>
    <col min="7" max="7" width="9.265625" style="21" bestFit="1" customWidth="1"/>
    <col min="9" max="9" width="11.73046875" customWidth="1"/>
    <col min="12" max="12" width="10.3984375" style="46" customWidth="1"/>
    <col min="13" max="13" width="10.3984375" customWidth="1"/>
    <col min="14" max="14" width="13.59765625" customWidth="1"/>
    <col min="15" max="15" width="11.265625" style="46" customWidth="1"/>
    <col min="16" max="16" width="16.265625" customWidth="1"/>
    <col min="17" max="17" width="8.3984375" customWidth="1"/>
    <col min="18" max="18" width="13" style="46" customWidth="1"/>
    <col min="19" max="19" width="16" customWidth="1"/>
    <col min="20" max="20" width="11.86328125" customWidth="1"/>
    <col min="21" max="21" width="13.73046875" style="46" customWidth="1"/>
    <col min="22" max="23" width="13.73046875" customWidth="1"/>
    <col min="24" max="24" width="16.1328125" style="46" customWidth="1"/>
    <col min="25" max="25" width="16.1328125" customWidth="1"/>
    <col min="26" max="26" width="11.265625" customWidth="1"/>
  </cols>
  <sheetData>
    <row r="1" spans="1:26" ht="25.5" x14ac:dyDescent="0.75">
      <c r="A1" s="59" t="s">
        <v>314</v>
      </c>
    </row>
    <row r="3" spans="1:26" x14ac:dyDescent="0.45">
      <c r="A3" t="s">
        <v>0</v>
      </c>
      <c r="B3" s="139" t="s">
        <v>51</v>
      </c>
      <c r="C3" s="139"/>
      <c r="D3" s="87" t="s">
        <v>255</v>
      </c>
      <c r="E3" s="87" t="s">
        <v>262</v>
      </c>
      <c r="F3" s="88" t="s">
        <v>41</v>
      </c>
      <c r="G3" s="63" t="s">
        <v>133</v>
      </c>
      <c r="H3" s="87" t="s">
        <v>92</v>
      </c>
      <c r="I3" s="87" t="s">
        <v>251</v>
      </c>
      <c r="J3" s="139" t="s">
        <v>263</v>
      </c>
      <c r="K3" s="139"/>
      <c r="L3" s="88" t="s">
        <v>248</v>
      </c>
      <c r="M3" s="87" t="s">
        <v>253</v>
      </c>
      <c r="N3" s="87"/>
      <c r="O3" s="88" t="s">
        <v>188</v>
      </c>
      <c r="P3" s="87" t="s">
        <v>194</v>
      </c>
      <c r="Q3" s="87" t="s">
        <v>151</v>
      </c>
      <c r="R3" s="88" t="s">
        <v>198</v>
      </c>
      <c r="S3" s="87" t="s">
        <v>199</v>
      </c>
      <c r="T3" s="87" t="s">
        <v>197</v>
      </c>
      <c r="U3" s="88" t="s">
        <v>200</v>
      </c>
      <c r="V3" s="87" t="s">
        <v>232</v>
      </c>
      <c r="W3" s="87" t="s">
        <v>234</v>
      </c>
      <c r="X3" s="88" t="s">
        <v>201</v>
      </c>
      <c r="Y3" s="87" t="s">
        <v>233</v>
      </c>
      <c r="Z3" s="87" t="s">
        <v>235</v>
      </c>
    </row>
    <row r="4" spans="1:26" x14ac:dyDescent="0.45">
      <c r="A4" s="61"/>
      <c r="B4" s="89" t="s">
        <v>49</v>
      </c>
      <c r="C4" s="89" t="s">
        <v>29</v>
      </c>
      <c r="D4" s="89" t="s">
        <v>54</v>
      </c>
      <c r="E4" s="89" t="s">
        <v>30</v>
      </c>
      <c r="F4" s="90"/>
      <c r="G4" s="64" t="s">
        <v>29</v>
      </c>
      <c r="H4" s="89" t="s">
        <v>93</v>
      </c>
      <c r="I4" s="89" t="s">
        <v>30</v>
      </c>
      <c r="J4" s="89"/>
      <c r="K4" s="89" t="s">
        <v>31</v>
      </c>
      <c r="L4" s="90"/>
      <c r="M4" s="89" t="s">
        <v>29</v>
      </c>
      <c r="N4" s="89" t="s">
        <v>171</v>
      </c>
      <c r="O4" s="90" t="s">
        <v>37</v>
      </c>
      <c r="P4" s="89" t="s">
        <v>132</v>
      </c>
      <c r="Q4" s="89" t="s">
        <v>152</v>
      </c>
      <c r="R4" s="90" t="s">
        <v>37</v>
      </c>
      <c r="S4" s="89" t="s">
        <v>132</v>
      </c>
      <c r="T4" s="89" t="s">
        <v>152</v>
      </c>
      <c r="U4" s="90" t="s">
        <v>166</v>
      </c>
      <c r="V4" s="89" t="s">
        <v>231</v>
      </c>
      <c r="W4" s="89"/>
      <c r="X4" s="90" t="s">
        <v>166</v>
      </c>
      <c r="Y4" s="89" t="s">
        <v>231</v>
      </c>
      <c r="Z4" s="89"/>
    </row>
    <row r="5" spans="1:26" x14ac:dyDescent="0.45">
      <c r="A5" t="s">
        <v>112</v>
      </c>
      <c r="B5">
        <v>320</v>
      </c>
      <c r="C5" s="1">
        <f>B5*1000/3600</f>
        <v>88.888888888888886</v>
      </c>
      <c r="D5">
        <v>70000</v>
      </c>
      <c r="E5">
        <v>520040</v>
      </c>
      <c r="F5" s="48">
        <f>E5*9.81/D5</f>
        <v>72.87989142857144</v>
      </c>
      <c r="G5" s="22">
        <f>F5*C5</f>
        <v>6478.2125714285721</v>
      </c>
      <c r="H5">
        <v>441</v>
      </c>
      <c r="I5">
        <f>H5*110.7</f>
        <v>48818.700000000004</v>
      </c>
      <c r="J5">
        <f>I5/E5</f>
        <v>9.3874894238904702E-2</v>
      </c>
      <c r="K5" s="1">
        <f>J5*100</f>
        <v>9.3874894238904698</v>
      </c>
      <c r="L5" s="48">
        <f>F5*J5</f>
        <v>6.8415921000000015</v>
      </c>
      <c r="M5" s="1">
        <f>L5*C5</f>
        <v>608.14152000000013</v>
      </c>
      <c r="N5">
        <v>60</v>
      </c>
      <c r="O5" s="48">
        <f>N5*3600/(1000*110.7)</f>
        <v>1.9512195121951219</v>
      </c>
      <c r="P5" s="1">
        <f>1/O5</f>
        <v>0.51250000000000007</v>
      </c>
      <c r="Q5" s="1">
        <f>P5*C5</f>
        <v>45.555555555555557</v>
      </c>
      <c r="R5" s="49">
        <f>O5*2.1</f>
        <v>4.0975609756097562</v>
      </c>
      <c r="S5" s="2">
        <f>1/R5</f>
        <v>0.24404761904761904</v>
      </c>
      <c r="T5">
        <f>S5*C5</f>
        <v>21.693121693121693</v>
      </c>
      <c r="U5" s="49">
        <f>3.15*0.4*R5/(43*10^6*10^-7)</f>
        <v>1.2006806579693705</v>
      </c>
      <c r="V5" s="2">
        <f>1/U5</f>
        <v>0.83286092214663632</v>
      </c>
      <c r="W5" s="2">
        <f>C5*V5</f>
        <v>74.032081968589893</v>
      </c>
      <c r="X5" s="49">
        <f>U5</f>
        <v>1.2006806579693705</v>
      </c>
      <c r="Y5" s="2">
        <f>1/X5</f>
        <v>0.83286092214663632</v>
      </c>
      <c r="Z5">
        <f>C5*Y5</f>
        <v>74.032081968589893</v>
      </c>
    </row>
    <row r="6" spans="1:26" x14ac:dyDescent="0.45">
      <c r="A6" t="s">
        <v>113</v>
      </c>
      <c r="B6">
        <v>300</v>
      </c>
      <c r="C6" s="1">
        <f>B6*1000/3600</f>
        <v>83.333333333333329</v>
      </c>
      <c r="D6">
        <v>52000</v>
      </c>
      <c r="E6">
        <v>390000</v>
      </c>
      <c r="F6" s="48">
        <f>E6*9.81/D6</f>
        <v>73.575000000000003</v>
      </c>
      <c r="G6" s="22">
        <f>F6*C6</f>
        <v>6131.25</v>
      </c>
      <c r="H6">
        <v>508</v>
      </c>
      <c r="I6">
        <f>H6*110.7</f>
        <v>56235.6</v>
      </c>
      <c r="J6">
        <f>I6/E6</f>
        <v>0.14419384615384614</v>
      </c>
      <c r="K6" s="1">
        <f>J6*100</f>
        <v>14.419384615384615</v>
      </c>
      <c r="L6" s="48">
        <f>F6*J6</f>
        <v>10.609062230769231</v>
      </c>
      <c r="M6" s="1">
        <f>L6*C6</f>
        <v>884.08851923076918</v>
      </c>
      <c r="N6">
        <v>60</v>
      </c>
      <c r="O6" s="48">
        <f>N6*3600/(1000*110.7)</f>
        <v>1.9512195121951219</v>
      </c>
      <c r="P6" s="1">
        <f>1/O6</f>
        <v>0.51250000000000007</v>
      </c>
      <c r="Q6" s="1">
        <f>P6*C6</f>
        <v>42.708333333333336</v>
      </c>
      <c r="R6" s="49">
        <f>O6*2.1</f>
        <v>4.0975609756097562</v>
      </c>
      <c r="S6" s="2">
        <f>1/R6</f>
        <v>0.24404761904761904</v>
      </c>
      <c r="T6">
        <f>S6*C6</f>
        <v>20.337301587301585</v>
      </c>
      <c r="U6" s="49">
        <f>3.15*0.4*R6/(43*10^6*10^-7)</f>
        <v>1.2006806579693705</v>
      </c>
      <c r="V6" s="2">
        <f>1/U6</f>
        <v>0.83286092214663632</v>
      </c>
      <c r="W6" s="2">
        <f>C6*V6</f>
        <v>69.405076845553026</v>
      </c>
      <c r="X6" s="49">
        <f>U6</f>
        <v>1.2006806579693705</v>
      </c>
      <c r="Y6" s="2">
        <f>1/X6</f>
        <v>0.83286092214663632</v>
      </c>
      <c r="Z6">
        <f>C6*Y6</f>
        <v>69.405076845553026</v>
      </c>
    </row>
    <row r="8" spans="1:26" x14ac:dyDescent="0.45">
      <c r="P8" s="139"/>
      <c r="Q8" s="139"/>
    </row>
  </sheetData>
  <mergeCells count="3">
    <mergeCell ref="B3:C3"/>
    <mergeCell ref="J3:K3"/>
    <mergeCell ref="P8:Q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03"/>
  <sheetViews>
    <sheetView workbookViewId="0">
      <selection activeCell="E2" sqref="E2"/>
    </sheetView>
  </sheetViews>
  <sheetFormatPr baseColWidth="10" defaultColWidth="9.1328125" defaultRowHeight="14.25" x14ac:dyDescent="0.45"/>
  <cols>
    <col min="1" max="1" width="12.59765625" customWidth="1"/>
    <col min="9" max="9" width="10.1328125" customWidth="1"/>
    <col min="11" max="11" width="8.86328125" style="1"/>
    <col min="18" max="18" width="11" customWidth="1"/>
    <col min="27" max="27" width="9.3984375" customWidth="1"/>
    <col min="30" max="30" width="9.73046875" customWidth="1"/>
    <col min="33" max="33" width="10.59765625" customWidth="1"/>
    <col min="36" max="36" width="9.86328125" customWidth="1"/>
    <col min="45" max="45" width="9.3984375" customWidth="1"/>
    <col min="48" max="48" width="10.59765625" customWidth="1"/>
    <col min="51" max="51" width="10" customWidth="1"/>
    <col min="54" max="54" width="15.3984375" customWidth="1"/>
  </cols>
  <sheetData>
    <row r="1" spans="1:65" x14ac:dyDescent="0.45">
      <c r="A1" t="s">
        <v>149</v>
      </c>
      <c r="B1" t="s">
        <v>148</v>
      </c>
      <c r="C1" t="s">
        <v>147</v>
      </c>
      <c r="D1" s="2" t="s">
        <v>158</v>
      </c>
      <c r="E1" s="2" t="s">
        <v>159</v>
      </c>
      <c r="F1" t="s">
        <v>5</v>
      </c>
      <c r="G1" t="s">
        <v>148</v>
      </c>
      <c r="H1" t="s">
        <v>147</v>
      </c>
      <c r="I1" t="s">
        <v>150</v>
      </c>
      <c r="J1" t="s">
        <v>148</v>
      </c>
      <c r="L1" t="s">
        <v>9</v>
      </c>
      <c r="M1" t="s">
        <v>148</v>
      </c>
      <c r="N1" t="s">
        <v>147</v>
      </c>
      <c r="O1" t="s">
        <v>7</v>
      </c>
      <c r="P1" t="s">
        <v>148</v>
      </c>
      <c r="Q1" t="s">
        <v>147</v>
      </c>
      <c r="R1" t="s">
        <v>4</v>
      </c>
      <c r="S1" t="s">
        <v>148</v>
      </c>
      <c r="T1" t="s">
        <v>147</v>
      </c>
      <c r="U1" t="s">
        <v>8</v>
      </c>
      <c r="V1" t="s">
        <v>148</v>
      </c>
      <c r="W1" t="s">
        <v>147</v>
      </c>
      <c r="X1" t="s">
        <v>6</v>
      </c>
      <c r="Y1" t="s">
        <v>148</v>
      </c>
      <c r="Z1" t="s">
        <v>147</v>
      </c>
      <c r="AA1" t="s">
        <v>3</v>
      </c>
      <c r="AB1" t="s">
        <v>148</v>
      </c>
      <c r="AC1" t="s">
        <v>147</v>
      </c>
      <c r="AD1" t="s">
        <v>10</v>
      </c>
      <c r="AE1" t="s">
        <v>148</v>
      </c>
      <c r="AF1" t="s">
        <v>147</v>
      </c>
      <c r="AG1" t="s">
        <v>15</v>
      </c>
      <c r="AH1" t="s">
        <v>148</v>
      </c>
      <c r="AI1" t="s">
        <v>147</v>
      </c>
      <c r="AJ1" t="s">
        <v>2</v>
      </c>
      <c r="AK1" t="s">
        <v>148</v>
      </c>
      <c r="AL1" t="s">
        <v>147</v>
      </c>
      <c r="AM1" t="s">
        <v>13</v>
      </c>
      <c r="AN1" t="s">
        <v>148</v>
      </c>
      <c r="AO1" t="s">
        <v>147</v>
      </c>
      <c r="AP1" t="s">
        <v>1</v>
      </c>
      <c r="AQ1" t="s">
        <v>148</v>
      </c>
      <c r="AR1" t="s">
        <v>147</v>
      </c>
      <c r="AS1" t="s">
        <v>12</v>
      </c>
      <c r="AT1" t="s">
        <v>148</v>
      </c>
      <c r="AU1" t="s">
        <v>147</v>
      </c>
      <c r="AV1" t="s">
        <v>39</v>
      </c>
      <c r="AW1" t="s">
        <v>148</v>
      </c>
      <c r="AX1" t="s">
        <v>147</v>
      </c>
      <c r="AY1" t="s">
        <v>38</v>
      </c>
      <c r="AZ1" t="s">
        <v>148</v>
      </c>
      <c r="BA1" t="s">
        <v>147</v>
      </c>
      <c r="BB1" t="s">
        <v>55</v>
      </c>
      <c r="BC1" t="s">
        <v>148</v>
      </c>
      <c r="BD1" t="s">
        <v>147</v>
      </c>
      <c r="BE1" t="s">
        <v>58</v>
      </c>
      <c r="BF1" t="s">
        <v>148</v>
      </c>
      <c r="BG1" t="s">
        <v>147</v>
      </c>
      <c r="BH1" t="s">
        <v>229</v>
      </c>
      <c r="BI1" t="s">
        <v>148</v>
      </c>
      <c r="BJ1" t="s">
        <v>147</v>
      </c>
      <c r="BK1" t="s">
        <v>230</v>
      </c>
      <c r="BL1" t="s">
        <v>148</v>
      </c>
      <c r="BM1" t="s">
        <v>147</v>
      </c>
    </row>
    <row r="2" spans="1:65" x14ac:dyDescent="0.45">
      <c r="A2" s="1">
        <v>6062.8176689675984</v>
      </c>
      <c r="B2">
        <v>10</v>
      </c>
      <c r="C2" s="2">
        <f>$A$2/B2</f>
        <v>606.28176689675979</v>
      </c>
      <c r="D2" s="3">
        <f>1/B2</f>
        <v>0.1</v>
      </c>
      <c r="E2" s="3">
        <f>1/($A$2*D2)</f>
        <v>1.649398109262758E-3</v>
      </c>
      <c r="F2">
        <v>5753.0630459272079</v>
      </c>
      <c r="G2">
        <v>10</v>
      </c>
      <c r="H2" s="1">
        <f>$F$2/G2</f>
        <v>575.30630459272083</v>
      </c>
      <c r="I2" s="1">
        <v>5398.7226303293155</v>
      </c>
      <c r="J2">
        <v>10</v>
      </c>
      <c r="K2" s="1">
        <f>$I$2/J2</f>
        <v>539.87226303293153</v>
      </c>
      <c r="L2">
        <v>5247.1700595193597</v>
      </c>
      <c r="M2">
        <v>10</v>
      </c>
      <c r="N2" s="1">
        <f>$L$2/M2</f>
        <v>524.71700595193602</v>
      </c>
      <c r="O2">
        <v>5042.7089653453986</v>
      </c>
      <c r="P2">
        <v>10</v>
      </c>
      <c r="Q2" s="1">
        <f>$O$2/P2</f>
        <v>504.27089653453987</v>
      </c>
      <c r="R2" s="1">
        <v>4892.7184588545751</v>
      </c>
      <c r="S2">
        <v>10</v>
      </c>
      <c r="T2" s="1">
        <f>$R$2/S2</f>
        <v>489.27184588545754</v>
      </c>
      <c r="U2">
        <v>4747.3689550344443</v>
      </c>
      <c r="V2">
        <v>10</v>
      </c>
      <c r="W2" s="1">
        <f>$U$2/V2</f>
        <v>474.73689550344443</v>
      </c>
      <c r="X2">
        <v>4719.8280672886413</v>
      </c>
      <c r="Y2">
        <v>10</v>
      </c>
      <c r="Z2" s="1">
        <f>$X$2/Y2</f>
        <v>471.98280672886415</v>
      </c>
      <c r="AA2">
        <v>4557.2827574142711</v>
      </c>
      <c r="AB2">
        <v>10</v>
      </c>
      <c r="AC2" s="1">
        <f>$AA$2/AB2</f>
        <v>455.72827574142713</v>
      </c>
      <c r="AD2" s="1">
        <v>4407.3926424871561</v>
      </c>
      <c r="AE2">
        <v>10</v>
      </c>
      <c r="AF2" s="1">
        <f>$AD$2/AE2</f>
        <v>440.73926424871559</v>
      </c>
      <c r="AG2">
        <v>4283.4474542527141</v>
      </c>
      <c r="AH2">
        <v>10</v>
      </c>
      <c r="AI2" s="1">
        <f>$AG$2/AH2</f>
        <v>428.34474542527141</v>
      </c>
      <c r="AJ2">
        <v>4246.5824786509056</v>
      </c>
      <c r="AK2">
        <v>10</v>
      </c>
      <c r="AL2" s="1">
        <f>$AJ$2/AK2</f>
        <v>424.65824786509057</v>
      </c>
      <c r="AM2">
        <v>4202.9027381114211</v>
      </c>
      <c r="AN2">
        <v>10</v>
      </c>
      <c r="AO2" s="1">
        <f>$AM$2/AN2</f>
        <v>420.29027381114213</v>
      </c>
      <c r="AP2">
        <v>4059.7956923008846</v>
      </c>
      <c r="AQ2">
        <v>10</v>
      </c>
      <c r="AR2" s="1">
        <f>$AP$2/AQ2</f>
        <v>405.97956923008849</v>
      </c>
      <c r="AS2">
        <v>3744.6807864539892</v>
      </c>
      <c r="AT2">
        <v>10</v>
      </c>
      <c r="AU2" s="1">
        <f>$AS$2/AT2</f>
        <v>374.46807864539892</v>
      </c>
      <c r="AV2">
        <v>227.79672442103418</v>
      </c>
      <c r="AW2">
        <v>1</v>
      </c>
      <c r="AX2" s="1">
        <f>$AV$2/AW2</f>
        <v>227.79672442103418</v>
      </c>
      <c r="AY2" s="1">
        <v>214.48959877088782</v>
      </c>
      <c r="AZ2" s="1">
        <v>1</v>
      </c>
      <c r="BA2" s="1">
        <f>$AY$2/AZ2</f>
        <v>214.48959877088782</v>
      </c>
      <c r="BB2">
        <v>1342.2348595667347</v>
      </c>
      <c r="BC2">
        <v>10</v>
      </c>
      <c r="BD2" s="1">
        <f t="shared" ref="BD2:BD33" si="0">$BB$2/BC2</f>
        <v>134.22348595667347</v>
      </c>
      <c r="BE2">
        <v>3113.45</v>
      </c>
      <c r="BF2">
        <v>10</v>
      </c>
      <c r="BG2" s="1">
        <f>$BE$2/BF2</f>
        <v>311.34499999999997</v>
      </c>
      <c r="BH2">
        <v>4719.8280672886413</v>
      </c>
      <c r="BI2">
        <v>10</v>
      </c>
      <c r="BJ2" s="1">
        <f>$BH$2/BI2</f>
        <v>471.98280672886415</v>
      </c>
      <c r="BK2">
        <v>5398.7226303293155</v>
      </c>
      <c r="BL2">
        <v>10</v>
      </c>
      <c r="BM2" s="1">
        <f>$BK$2/BL2</f>
        <v>539.87226303293153</v>
      </c>
    </row>
    <row r="3" spans="1:65" x14ac:dyDescent="0.45">
      <c r="B3">
        <v>20</v>
      </c>
      <c r="C3" s="2">
        <f t="shared" ref="C3:C66" si="1">$A$2/B3</f>
        <v>303.1408834483799</v>
      </c>
      <c r="D3" s="3">
        <f t="shared" ref="D3:D66" si="2">1/B3</f>
        <v>0.05</v>
      </c>
      <c r="E3" s="3">
        <f t="shared" ref="E3:E66" si="3">1/($A$2*D3)</f>
        <v>3.2987962185255159E-3</v>
      </c>
      <c r="G3">
        <v>20</v>
      </c>
      <c r="H3" s="1">
        <f t="shared" ref="H3:H66" si="4">$F$2/G3</f>
        <v>287.65315229636042</v>
      </c>
      <c r="I3" s="1"/>
      <c r="J3">
        <v>20</v>
      </c>
      <c r="K3" s="1">
        <f t="shared" ref="K3:K66" si="5">$I$2/J3</f>
        <v>269.93613151646576</v>
      </c>
      <c r="M3">
        <v>20</v>
      </c>
      <c r="N3" s="1">
        <f t="shared" ref="N3:N66" si="6">$L$2/M3</f>
        <v>262.35850297596801</v>
      </c>
      <c r="P3">
        <v>20</v>
      </c>
      <c r="Q3" s="1">
        <f t="shared" ref="Q3:Q66" si="7">$O$2/P3</f>
        <v>252.13544826726994</v>
      </c>
      <c r="S3">
        <v>20</v>
      </c>
      <c r="T3" s="1">
        <f t="shared" ref="T3:T66" si="8">$R$2/S3</f>
        <v>244.63592294272877</v>
      </c>
      <c r="V3">
        <v>20</v>
      </c>
      <c r="W3" s="1">
        <f t="shared" ref="W3:W66" si="9">$U$2/V3</f>
        <v>237.36844775172221</v>
      </c>
      <c r="Y3">
        <v>20</v>
      </c>
      <c r="Z3" s="1">
        <f t="shared" ref="Z3:Z66" si="10">$X$2/Y3</f>
        <v>235.99140336443207</v>
      </c>
      <c r="AB3">
        <v>20</v>
      </c>
      <c r="AC3" s="1">
        <f t="shared" ref="AC3:AC66" si="11">$AA$2/AB3</f>
        <v>227.86413787071356</v>
      </c>
      <c r="AD3" s="1"/>
      <c r="AE3">
        <v>20</v>
      </c>
      <c r="AF3" s="1">
        <f t="shared" ref="AF3:AF66" si="12">$AD$2/AE3</f>
        <v>220.36963212435779</v>
      </c>
      <c r="AH3">
        <v>20</v>
      </c>
      <c r="AI3" s="1">
        <f t="shared" ref="AI3:AI66" si="13">$AG$2/AH3</f>
        <v>214.17237271263571</v>
      </c>
      <c r="AK3">
        <v>20</v>
      </c>
      <c r="AL3" s="1">
        <f t="shared" ref="AL3:AL66" si="14">$AJ$2/AK3</f>
        <v>212.32912393254529</v>
      </c>
      <c r="AN3">
        <v>20</v>
      </c>
      <c r="AO3" s="1">
        <f t="shared" ref="AO3:AO66" si="15">$AM$2/AN3</f>
        <v>210.14513690557106</v>
      </c>
      <c r="AQ3">
        <v>20</v>
      </c>
      <c r="AR3" s="1">
        <f t="shared" ref="AR3:AR66" si="16">$AP$2/AQ3</f>
        <v>202.98978461504424</v>
      </c>
      <c r="AT3">
        <v>20</v>
      </c>
      <c r="AU3" s="1">
        <f t="shared" ref="AU3:AU66" si="17">$AS$2/AT3</f>
        <v>187.23403932269946</v>
      </c>
      <c r="AW3">
        <v>10</v>
      </c>
      <c r="AX3" s="1">
        <f>$AV$2/AW3</f>
        <v>22.779672442103418</v>
      </c>
      <c r="AZ3">
        <v>10</v>
      </c>
      <c r="BA3" s="1">
        <f>$AY$2/AZ3</f>
        <v>21.448959877088782</v>
      </c>
      <c r="BC3">
        <v>20</v>
      </c>
      <c r="BD3" s="1">
        <f t="shared" si="0"/>
        <v>67.111742978336736</v>
      </c>
      <c r="BF3">
        <v>20</v>
      </c>
      <c r="BG3" s="1">
        <f t="shared" ref="BG3:BG66" si="18">$BE$2/BF3</f>
        <v>155.67249999999999</v>
      </c>
      <c r="BI3">
        <v>20</v>
      </c>
      <c r="BJ3" s="1">
        <f t="shared" ref="BJ3:BJ66" si="19">$BH$2/BI3</f>
        <v>235.99140336443207</v>
      </c>
      <c r="BL3">
        <v>20</v>
      </c>
      <c r="BM3" s="1">
        <f t="shared" ref="BM3:BM66" si="20">$BK$2/BL3</f>
        <v>269.93613151646576</v>
      </c>
    </row>
    <row r="4" spans="1:65" x14ac:dyDescent="0.45">
      <c r="B4">
        <v>30</v>
      </c>
      <c r="C4" s="2">
        <f t="shared" si="1"/>
        <v>202.09392229891995</v>
      </c>
      <c r="D4" s="3">
        <f t="shared" si="2"/>
        <v>3.3333333333333333E-2</v>
      </c>
      <c r="E4" s="3">
        <f t="shared" si="3"/>
        <v>4.9481943277882743E-3</v>
      </c>
      <c r="G4">
        <v>30</v>
      </c>
      <c r="H4" s="1">
        <f t="shared" si="4"/>
        <v>191.76876819757359</v>
      </c>
      <c r="I4" s="1"/>
      <c r="J4">
        <v>30</v>
      </c>
      <c r="K4" s="1">
        <f t="shared" si="5"/>
        <v>179.95742101097719</v>
      </c>
      <c r="M4">
        <v>30</v>
      </c>
      <c r="N4" s="1">
        <f t="shared" si="6"/>
        <v>174.90566865064531</v>
      </c>
      <c r="P4">
        <v>30</v>
      </c>
      <c r="Q4" s="1">
        <f t="shared" si="7"/>
        <v>168.09029884484661</v>
      </c>
      <c r="S4">
        <v>30</v>
      </c>
      <c r="T4" s="1">
        <f t="shared" si="8"/>
        <v>163.0906152951525</v>
      </c>
      <c r="V4">
        <v>30</v>
      </c>
      <c r="W4" s="1">
        <f t="shared" si="9"/>
        <v>158.24563183448149</v>
      </c>
      <c r="Y4">
        <v>30</v>
      </c>
      <c r="Z4" s="1">
        <f t="shared" si="10"/>
        <v>157.3276022429547</v>
      </c>
      <c r="AB4">
        <v>30</v>
      </c>
      <c r="AC4" s="1">
        <f t="shared" si="11"/>
        <v>151.90942524714237</v>
      </c>
      <c r="AD4" s="1"/>
      <c r="AE4">
        <v>30</v>
      </c>
      <c r="AF4" s="1">
        <f t="shared" si="12"/>
        <v>146.9130880829052</v>
      </c>
      <c r="AH4">
        <v>30</v>
      </c>
      <c r="AI4" s="1">
        <f t="shared" si="13"/>
        <v>142.78158180842379</v>
      </c>
      <c r="AK4">
        <v>30</v>
      </c>
      <c r="AL4" s="1">
        <f t="shared" si="14"/>
        <v>141.55274928836351</v>
      </c>
      <c r="AN4">
        <v>30</v>
      </c>
      <c r="AO4" s="1">
        <f t="shared" si="15"/>
        <v>140.09675793704736</v>
      </c>
      <c r="AQ4">
        <v>30</v>
      </c>
      <c r="AR4" s="1">
        <f t="shared" si="16"/>
        <v>135.32652307669616</v>
      </c>
      <c r="AT4">
        <v>30</v>
      </c>
      <c r="AU4" s="1">
        <f t="shared" si="17"/>
        <v>124.82269288179964</v>
      </c>
      <c r="AW4">
        <v>20</v>
      </c>
      <c r="AX4" s="1">
        <f t="shared" ref="AX4:AX67" si="21">$AV$2/AW4</f>
        <v>11.389836221051709</v>
      </c>
      <c r="AZ4">
        <v>20</v>
      </c>
      <c r="BA4" s="1">
        <f t="shared" ref="BA4:BA67" si="22">$AY$2/AZ4</f>
        <v>10.724479938544391</v>
      </c>
      <c r="BC4">
        <v>30</v>
      </c>
      <c r="BD4" s="1">
        <f t="shared" si="0"/>
        <v>44.741161985557824</v>
      </c>
      <c r="BF4">
        <v>30</v>
      </c>
      <c r="BG4" s="1">
        <f t="shared" si="18"/>
        <v>103.78166666666667</v>
      </c>
      <c r="BI4">
        <v>30</v>
      </c>
      <c r="BJ4" s="1">
        <f t="shared" si="19"/>
        <v>157.3276022429547</v>
      </c>
      <c r="BL4">
        <v>30</v>
      </c>
      <c r="BM4" s="1">
        <f t="shared" si="20"/>
        <v>179.95742101097719</v>
      </c>
    </row>
    <row r="5" spans="1:65" x14ac:dyDescent="0.45">
      <c r="B5">
        <v>40</v>
      </c>
      <c r="C5" s="2">
        <f t="shared" si="1"/>
        <v>151.57044172418995</v>
      </c>
      <c r="D5" s="3">
        <f t="shared" si="2"/>
        <v>2.5000000000000001E-2</v>
      </c>
      <c r="E5" s="3">
        <f t="shared" si="3"/>
        <v>6.5975924370510319E-3</v>
      </c>
      <c r="G5">
        <v>40</v>
      </c>
      <c r="H5" s="1">
        <f t="shared" si="4"/>
        <v>143.82657614818021</v>
      </c>
      <c r="I5" s="1"/>
      <c r="J5">
        <v>40</v>
      </c>
      <c r="K5" s="1">
        <f t="shared" si="5"/>
        <v>134.96806575823288</v>
      </c>
      <c r="M5">
        <v>40</v>
      </c>
      <c r="N5" s="1">
        <f t="shared" si="6"/>
        <v>131.179251487984</v>
      </c>
      <c r="P5">
        <v>40</v>
      </c>
      <c r="Q5" s="1">
        <f t="shared" si="7"/>
        <v>126.06772413363497</v>
      </c>
      <c r="S5">
        <v>40</v>
      </c>
      <c r="T5" s="1">
        <f t="shared" si="8"/>
        <v>122.31796147136438</v>
      </c>
      <c r="V5">
        <v>40</v>
      </c>
      <c r="W5" s="1">
        <f t="shared" si="9"/>
        <v>118.68422387586111</v>
      </c>
      <c r="Y5">
        <v>40</v>
      </c>
      <c r="Z5" s="1">
        <f t="shared" si="10"/>
        <v>117.99570168221604</v>
      </c>
      <c r="AB5">
        <v>40</v>
      </c>
      <c r="AC5" s="1">
        <f t="shared" si="11"/>
        <v>113.93206893535678</v>
      </c>
      <c r="AD5" s="1"/>
      <c r="AE5">
        <v>40</v>
      </c>
      <c r="AF5" s="1">
        <f t="shared" si="12"/>
        <v>110.1848160621789</v>
      </c>
      <c r="AH5">
        <v>40</v>
      </c>
      <c r="AI5" s="1">
        <f t="shared" si="13"/>
        <v>107.08618635631785</v>
      </c>
      <c r="AK5">
        <v>40</v>
      </c>
      <c r="AL5" s="1">
        <f t="shared" si="14"/>
        <v>106.16456196627264</v>
      </c>
      <c r="AN5">
        <v>40</v>
      </c>
      <c r="AO5" s="1">
        <f t="shared" si="15"/>
        <v>105.07256845278553</v>
      </c>
      <c r="AQ5">
        <v>40</v>
      </c>
      <c r="AR5" s="1">
        <f t="shared" si="16"/>
        <v>101.49489230752212</v>
      </c>
      <c r="AT5">
        <v>40</v>
      </c>
      <c r="AU5" s="1">
        <f t="shared" si="17"/>
        <v>93.61701966134973</v>
      </c>
      <c r="AW5">
        <v>30</v>
      </c>
      <c r="AX5" s="1">
        <f t="shared" si="21"/>
        <v>7.5932241473678062</v>
      </c>
      <c r="AZ5">
        <v>30</v>
      </c>
      <c r="BA5" s="1">
        <f t="shared" si="22"/>
        <v>7.1496532923629275</v>
      </c>
      <c r="BC5">
        <v>40</v>
      </c>
      <c r="BD5" s="1">
        <f t="shared" si="0"/>
        <v>33.555871489168368</v>
      </c>
      <c r="BF5">
        <v>40</v>
      </c>
      <c r="BG5" s="1">
        <f t="shared" si="18"/>
        <v>77.836249999999993</v>
      </c>
      <c r="BI5">
        <v>40</v>
      </c>
      <c r="BJ5" s="1">
        <f t="shared" si="19"/>
        <v>117.99570168221604</v>
      </c>
      <c r="BL5">
        <v>40</v>
      </c>
      <c r="BM5" s="1">
        <f t="shared" si="20"/>
        <v>134.96806575823288</v>
      </c>
    </row>
    <row r="6" spans="1:65" x14ac:dyDescent="0.45">
      <c r="B6">
        <v>50</v>
      </c>
      <c r="C6" s="2">
        <f t="shared" si="1"/>
        <v>121.25635337935196</v>
      </c>
      <c r="D6" s="3">
        <f t="shared" si="2"/>
        <v>0.02</v>
      </c>
      <c r="E6" s="3">
        <f t="shared" si="3"/>
        <v>8.246990546313792E-3</v>
      </c>
      <c r="G6">
        <v>50</v>
      </c>
      <c r="H6" s="1">
        <f t="shared" si="4"/>
        <v>115.06126091854416</v>
      </c>
      <c r="I6" s="1"/>
      <c r="J6">
        <v>50</v>
      </c>
      <c r="K6" s="1">
        <f t="shared" si="5"/>
        <v>107.97445260658631</v>
      </c>
      <c r="M6">
        <v>50</v>
      </c>
      <c r="N6" s="1">
        <f t="shared" si="6"/>
        <v>104.94340119038719</v>
      </c>
      <c r="P6">
        <v>50</v>
      </c>
      <c r="Q6" s="1">
        <f t="shared" si="7"/>
        <v>100.85417930690797</v>
      </c>
      <c r="S6">
        <v>50</v>
      </c>
      <c r="T6" s="1">
        <f t="shared" si="8"/>
        <v>97.854369177091499</v>
      </c>
      <c r="V6">
        <v>50</v>
      </c>
      <c r="W6" s="1">
        <f t="shared" si="9"/>
        <v>94.947379100688892</v>
      </c>
      <c r="Y6">
        <v>50</v>
      </c>
      <c r="Z6" s="1">
        <f t="shared" si="10"/>
        <v>94.396561345772824</v>
      </c>
      <c r="AB6">
        <v>50</v>
      </c>
      <c r="AC6" s="1">
        <f t="shared" si="11"/>
        <v>91.145655148285428</v>
      </c>
      <c r="AD6" s="1"/>
      <c r="AE6">
        <v>50</v>
      </c>
      <c r="AF6" s="1">
        <f t="shared" si="12"/>
        <v>88.147852849743117</v>
      </c>
      <c r="AH6">
        <v>50</v>
      </c>
      <c r="AI6" s="1">
        <f t="shared" si="13"/>
        <v>85.66894908505428</v>
      </c>
      <c r="AK6">
        <v>50</v>
      </c>
      <c r="AL6" s="1">
        <f t="shared" si="14"/>
        <v>84.931649573018106</v>
      </c>
      <c r="AN6">
        <v>50</v>
      </c>
      <c r="AO6" s="1">
        <f t="shared" si="15"/>
        <v>84.058054762228423</v>
      </c>
      <c r="AQ6">
        <v>50</v>
      </c>
      <c r="AR6" s="1">
        <f t="shared" si="16"/>
        <v>81.195913846017689</v>
      </c>
      <c r="AT6">
        <v>50</v>
      </c>
      <c r="AU6" s="1">
        <f t="shared" si="17"/>
        <v>74.893615729079784</v>
      </c>
      <c r="AW6">
        <v>40</v>
      </c>
      <c r="AX6" s="1">
        <f t="shared" si="21"/>
        <v>5.6949181105258546</v>
      </c>
      <c r="AZ6">
        <v>40</v>
      </c>
      <c r="BA6" s="1">
        <f t="shared" si="22"/>
        <v>5.3622399692721956</v>
      </c>
      <c r="BC6">
        <v>50</v>
      </c>
      <c r="BD6" s="1">
        <f t="shared" si="0"/>
        <v>26.844697191334696</v>
      </c>
      <c r="BF6">
        <v>50</v>
      </c>
      <c r="BG6" s="1">
        <f t="shared" si="18"/>
        <v>62.268999999999998</v>
      </c>
      <c r="BI6">
        <v>50</v>
      </c>
      <c r="BJ6" s="1">
        <f t="shared" si="19"/>
        <v>94.396561345772824</v>
      </c>
      <c r="BL6">
        <v>50</v>
      </c>
      <c r="BM6" s="1">
        <f t="shared" si="20"/>
        <v>107.97445260658631</v>
      </c>
    </row>
    <row r="7" spans="1:65" x14ac:dyDescent="0.45">
      <c r="B7">
        <v>60</v>
      </c>
      <c r="C7" s="2">
        <f t="shared" si="1"/>
        <v>101.04696114945997</v>
      </c>
      <c r="D7" s="3">
        <f t="shared" si="2"/>
        <v>1.6666666666666666E-2</v>
      </c>
      <c r="E7" s="3">
        <f t="shared" si="3"/>
        <v>9.8963886555765487E-3</v>
      </c>
      <c r="G7">
        <v>60</v>
      </c>
      <c r="H7" s="1">
        <f t="shared" si="4"/>
        <v>95.884384098786796</v>
      </c>
      <c r="I7" s="1"/>
      <c r="J7">
        <v>60</v>
      </c>
      <c r="K7" s="1">
        <f t="shared" si="5"/>
        <v>89.978710505488593</v>
      </c>
      <c r="M7">
        <v>60</v>
      </c>
      <c r="N7" s="1">
        <f t="shared" si="6"/>
        <v>87.452834325322655</v>
      </c>
      <c r="P7">
        <v>60</v>
      </c>
      <c r="Q7" s="1">
        <f t="shared" si="7"/>
        <v>84.045149422423307</v>
      </c>
      <c r="S7">
        <v>60</v>
      </c>
      <c r="T7" s="1">
        <f t="shared" si="8"/>
        <v>81.545307647576251</v>
      </c>
      <c r="V7">
        <v>60</v>
      </c>
      <c r="W7" s="1">
        <f t="shared" si="9"/>
        <v>79.122815917240743</v>
      </c>
      <c r="Y7">
        <v>60</v>
      </c>
      <c r="Z7" s="1">
        <f t="shared" si="10"/>
        <v>78.663801121477348</v>
      </c>
      <c r="AB7">
        <v>60</v>
      </c>
      <c r="AC7" s="1">
        <f t="shared" si="11"/>
        <v>75.954712623571183</v>
      </c>
      <c r="AD7" s="1"/>
      <c r="AE7">
        <v>60</v>
      </c>
      <c r="AF7" s="1">
        <f t="shared" si="12"/>
        <v>73.456544041452602</v>
      </c>
      <c r="AH7">
        <v>60</v>
      </c>
      <c r="AI7" s="1">
        <f t="shared" si="13"/>
        <v>71.390790904211897</v>
      </c>
      <c r="AK7">
        <v>60</v>
      </c>
      <c r="AL7" s="1">
        <f t="shared" si="14"/>
        <v>70.776374644181757</v>
      </c>
      <c r="AN7">
        <v>60</v>
      </c>
      <c r="AO7" s="1">
        <f t="shared" si="15"/>
        <v>70.048378968523679</v>
      </c>
      <c r="AQ7">
        <v>60</v>
      </c>
      <c r="AR7" s="1">
        <f t="shared" si="16"/>
        <v>67.663261538348081</v>
      </c>
      <c r="AT7">
        <v>60</v>
      </c>
      <c r="AU7" s="1">
        <f t="shared" si="17"/>
        <v>62.41134644089982</v>
      </c>
      <c r="AW7">
        <v>50</v>
      </c>
      <c r="AX7" s="1">
        <f t="shared" si="21"/>
        <v>4.555934488420684</v>
      </c>
      <c r="AZ7">
        <v>50</v>
      </c>
      <c r="BA7" s="1">
        <f t="shared" si="22"/>
        <v>4.2897919754177565</v>
      </c>
      <c r="BC7">
        <v>60</v>
      </c>
      <c r="BD7" s="1">
        <f t="shared" si="0"/>
        <v>22.370580992778912</v>
      </c>
      <c r="BF7">
        <v>60</v>
      </c>
      <c r="BG7" s="1">
        <f t="shared" si="18"/>
        <v>51.890833333333333</v>
      </c>
      <c r="BI7">
        <v>60</v>
      </c>
      <c r="BJ7" s="1">
        <f t="shared" si="19"/>
        <v>78.663801121477348</v>
      </c>
      <c r="BL7">
        <v>60</v>
      </c>
      <c r="BM7" s="1">
        <f t="shared" si="20"/>
        <v>89.978710505488593</v>
      </c>
    </row>
    <row r="8" spans="1:65" x14ac:dyDescent="0.45">
      <c r="B8">
        <v>70</v>
      </c>
      <c r="C8" s="2">
        <f t="shared" si="1"/>
        <v>86.611680985251411</v>
      </c>
      <c r="D8" s="3">
        <f t="shared" si="2"/>
        <v>1.4285714285714285E-2</v>
      </c>
      <c r="E8" s="3">
        <f t="shared" si="3"/>
        <v>1.1545786764839309E-2</v>
      </c>
      <c r="G8">
        <v>70</v>
      </c>
      <c r="H8" s="1">
        <f t="shared" si="4"/>
        <v>82.186614941817254</v>
      </c>
      <c r="I8" s="1"/>
      <c r="J8">
        <v>70</v>
      </c>
      <c r="K8" s="1">
        <f t="shared" si="5"/>
        <v>77.12460900470451</v>
      </c>
      <c r="M8">
        <v>70</v>
      </c>
      <c r="N8" s="1">
        <f t="shared" si="6"/>
        <v>74.959572278848</v>
      </c>
      <c r="P8">
        <v>70</v>
      </c>
      <c r="Q8" s="1">
        <f t="shared" si="7"/>
        <v>72.038699504934272</v>
      </c>
      <c r="S8">
        <v>70</v>
      </c>
      <c r="T8" s="1">
        <f t="shared" si="8"/>
        <v>69.895977983636783</v>
      </c>
      <c r="V8">
        <v>70</v>
      </c>
      <c r="W8" s="1">
        <f t="shared" si="9"/>
        <v>67.819556500492055</v>
      </c>
      <c r="Y8">
        <v>70</v>
      </c>
      <c r="Z8" s="1">
        <f t="shared" si="10"/>
        <v>67.426115246980586</v>
      </c>
      <c r="AB8">
        <v>70</v>
      </c>
      <c r="AC8" s="1">
        <f t="shared" si="11"/>
        <v>65.10403939163244</v>
      </c>
      <c r="AD8" s="1"/>
      <c r="AE8">
        <v>70</v>
      </c>
      <c r="AF8" s="1">
        <f t="shared" si="12"/>
        <v>62.962752035530798</v>
      </c>
      <c r="AH8">
        <v>70</v>
      </c>
      <c r="AI8" s="1">
        <f t="shared" si="13"/>
        <v>61.192106489324487</v>
      </c>
      <c r="AK8">
        <v>70</v>
      </c>
      <c r="AL8" s="1">
        <f t="shared" si="14"/>
        <v>60.665463980727225</v>
      </c>
      <c r="AN8">
        <v>70</v>
      </c>
      <c r="AO8" s="1">
        <f t="shared" si="15"/>
        <v>60.041467687306017</v>
      </c>
      <c r="AQ8">
        <v>70</v>
      </c>
      <c r="AR8" s="1">
        <f t="shared" si="16"/>
        <v>57.997081318584065</v>
      </c>
      <c r="AT8">
        <v>70</v>
      </c>
      <c r="AU8" s="1">
        <f t="shared" si="17"/>
        <v>53.495439806485557</v>
      </c>
      <c r="AW8">
        <v>60</v>
      </c>
      <c r="AX8" s="1">
        <f t="shared" si="21"/>
        <v>3.7966120736839031</v>
      </c>
      <c r="AZ8">
        <v>60</v>
      </c>
      <c r="BA8" s="1">
        <f t="shared" si="22"/>
        <v>3.5748266461814637</v>
      </c>
      <c r="BC8">
        <v>70</v>
      </c>
      <c r="BD8" s="1">
        <f t="shared" si="0"/>
        <v>19.174783708096211</v>
      </c>
      <c r="BF8">
        <v>70</v>
      </c>
      <c r="BG8" s="1">
        <f t="shared" si="18"/>
        <v>44.47785714285714</v>
      </c>
      <c r="BI8">
        <v>70</v>
      </c>
      <c r="BJ8" s="1">
        <f t="shared" si="19"/>
        <v>67.426115246980586</v>
      </c>
      <c r="BL8">
        <v>70</v>
      </c>
      <c r="BM8" s="1">
        <f t="shared" si="20"/>
        <v>77.12460900470451</v>
      </c>
    </row>
    <row r="9" spans="1:65" x14ac:dyDescent="0.45">
      <c r="B9">
        <v>80</v>
      </c>
      <c r="C9" s="2">
        <f t="shared" si="1"/>
        <v>75.785220862094974</v>
      </c>
      <c r="D9" s="3">
        <f t="shared" si="2"/>
        <v>1.2500000000000001E-2</v>
      </c>
      <c r="E9" s="3">
        <f t="shared" si="3"/>
        <v>1.3195184874102064E-2</v>
      </c>
      <c r="G9">
        <v>80</v>
      </c>
      <c r="H9" s="1">
        <f t="shared" si="4"/>
        <v>71.913288074090104</v>
      </c>
      <c r="I9" s="1"/>
      <c r="J9">
        <v>80</v>
      </c>
      <c r="K9" s="1">
        <f t="shared" si="5"/>
        <v>67.484032879116441</v>
      </c>
      <c r="M9">
        <v>80</v>
      </c>
      <c r="N9" s="1">
        <f t="shared" si="6"/>
        <v>65.589625743992002</v>
      </c>
      <c r="P9">
        <v>80</v>
      </c>
      <c r="Q9" s="1">
        <f t="shared" si="7"/>
        <v>63.033862066817484</v>
      </c>
      <c r="S9">
        <v>80</v>
      </c>
      <c r="T9" s="1">
        <f t="shared" si="8"/>
        <v>61.158980735682192</v>
      </c>
      <c r="V9">
        <v>80</v>
      </c>
      <c r="W9" s="1">
        <f t="shared" si="9"/>
        <v>59.342111937930554</v>
      </c>
      <c r="Y9">
        <v>80</v>
      </c>
      <c r="Z9" s="1">
        <f t="shared" si="10"/>
        <v>58.997850841108018</v>
      </c>
      <c r="AB9">
        <v>80</v>
      </c>
      <c r="AC9" s="1">
        <f t="shared" si="11"/>
        <v>56.966034467678391</v>
      </c>
      <c r="AD9" s="1"/>
      <c r="AE9">
        <v>80</v>
      </c>
      <c r="AF9" s="1">
        <f t="shared" si="12"/>
        <v>55.092408031089448</v>
      </c>
      <c r="AH9">
        <v>80</v>
      </c>
      <c r="AI9" s="1">
        <f t="shared" si="13"/>
        <v>53.543093178158927</v>
      </c>
      <c r="AK9">
        <v>80</v>
      </c>
      <c r="AL9" s="1">
        <f t="shared" si="14"/>
        <v>53.082280983136322</v>
      </c>
      <c r="AN9">
        <v>80</v>
      </c>
      <c r="AO9" s="1">
        <f t="shared" si="15"/>
        <v>52.536284226392766</v>
      </c>
      <c r="AQ9">
        <v>80</v>
      </c>
      <c r="AR9" s="1">
        <f t="shared" si="16"/>
        <v>50.747446153761061</v>
      </c>
      <c r="AT9">
        <v>80</v>
      </c>
      <c r="AU9" s="1">
        <f t="shared" si="17"/>
        <v>46.808509830674865</v>
      </c>
      <c r="AW9">
        <v>70</v>
      </c>
      <c r="AX9" s="1">
        <f t="shared" si="21"/>
        <v>3.2542389203004882</v>
      </c>
      <c r="AZ9">
        <v>70</v>
      </c>
      <c r="BA9" s="1">
        <f t="shared" si="22"/>
        <v>3.0641371252983975</v>
      </c>
      <c r="BC9">
        <v>80</v>
      </c>
      <c r="BD9" s="1">
        <f t="shared" si="0"/>
        <v>16.777935744584184</v>
      </c>
      <c r="BF9">
        <v>80</v>
      </c>
      <c r="BG9" s="1">
        <f t="shared" si="18"/>
        <v>38.918124999999996</v>
      </c>
      <c r="BI9">
        <v>80</v>
      </c>
      <c r="BJ9" s="1">
        <f t="shared" si="19"/>
        <v>58.997850841108018</v>
      </c>
      <c r="BL9">
        <v>80</v>
      </c>
      <c r="BM9" s="1">
        <f t="shared" si="20"/>
        <v>67.484032879116441</v>
      </c>
    </row>
    <row r="10" spans="1:65" x14ac:dyDescent="0.45">
      <c r="B10">
        <v>90</v>
      </c>
      <c r="C10" s="2">
        <f t="shared" si="1"/>
        <v>67.36464076630665</v>
      </c>
      <c r="D10" s="3">
        <f t="shared" si="2"/>
        <v>1.1111111111111112E-2</v>
      </c>
      <c r="E10" s="3">
        <f t="shared" si="3"/>
        <v>1.4844582983364824E-2</v>
      </c>
      <c r="G10">
        <v>90</v>
      </c>
      <c r="H10" s="1">
        <f t="shared" si="4"/>
        <v>63.922922732524533</v>
      </c>
      <c r="I10" s="1"/>
      <c r="J10">
        <v>90</v>
      </c>
      <c r="K10" s="1">
        <f t="shared" si="5"/>
        <v>59.985807003659062</v>
      </c>
      <c r="M10">
        <v>90</v>
      </c>
      <c r="N10" s="1">
        <f t="shared" si="6"/>
        <v>58.301889550215108</v>
      </c>
      <c r="P10">
        <v>90</v>
      </c>
      <c r="Q10" s="1">
        <f t="shared" si="7"/>
        <v>56.030099614948874</v>
      </c>
      <c r="S10">
        <v>90</v>
      </c>
      <c r="T10" s="1">
        <f t="shared" si="8"/>
        <v>54.363538431717501</v>
      </c>
      <c r="V10">
        <v>90</v>
      </c>
      <c r="W10" s="1">
        <f t="shared" si="9"/>
        <v>52.748543944827162</v>
      </c>
      <c r="Y10">
        <v>90</v>
      </c>
      <c r="Z10" s="1">
        <f t="shared" si="10"/>
        <v>52.442534080984906</v>
      </c>
      <c r="AB10">
        <v>90</v>
      </c>
      <c r="AC10" s="1">
        <f t="shared" si="11"/>
        <v>50.636475082380791</v>
      </c>
      <c r="AD10" s="1"/>
      <c r="AE10">
        <v>90</v>
      </c>
      <c r="AF10" s="1">
        <f t="shared" si="12"/>
        <v>48.971029360968402</v>
      </c>
      <c r="AH10">
        <v>90</v>
      </c>
      <c r="AI10" s="1">
        <f t="shared" si="13"/>
        <v>47.593860602807936</v>
      </c>
      <c r="AK10">
        <v>90</v>
      </c>
      <c r="AL10" s="1">
        <f t="shared" si="14"/>
        <v>47.184249762787843</v>
      </c>
      <c r="AN10">
        <v>90</v>
      </c>
      <c r="AO10" s="1">
        <f t="shared" si="15"/>
        <v>46.698919312349126</v>
      </c>
      <c r="AQ10">
        <v>90</v>
      </c>
      <c r="AR10" s="1">
        <f t="shared" si="16"/>
        <v>45.108841025565383</v>
      </c>
      <c r="AT10">
        <v>90</v>
      </c>
      <c r="AU10" s="1">
        <f t="shared" si="17"/>
        <v>41.607564293933216</v>
      </c>
      <c r="AW10">
        <v>80</v>
      </c>
      <c r="AX10" s="1">
        <f t="shared" si="21"/>
        <v>2.8474590552629273</v>
      </c>
      <c r="AZ10">
        <v>80</v>
      </c>
      <c r="BA10" s="1">
        <f t="shared" si="22"/>
        <v>2.6811199846360978</v>
      </c>
      <c r="BC10">
        <v>90</v>
      </c>
      <c r="BD10" s="1">
        <f t="shared" si="0"/>
        <v>14.913720661852608</v>
      </c>
      <c r="BF10">
        <v>90</v>
      </c>
      <c r="BG10" s="1">
        <f t="shared" si="18"/>
        <v>34.593888888888884</v>
      </c>
      <c r="BI10">
        <v>90</v>
      </c>
      <c r="BJ10" s="1">
        <f t="shared" si="19"/>
        <v>52.442534080984906</v>
      </c>
      <c r="BL10">
        <v>90</v>
      </c>
      <c r="BM10" s="1">
        <f t="shared" si="20"/>
        <v>59.985807003659062</v>
      </c>
    </row>
    <row r="11" spans="1:65" x14ac:dyDescent="0.45">
      <c r="B11">
        <v>100</v>
      </c>
      <c r="C11" s="2">
        <f t="shared" si="1"/>
        <v>60.628176689675982</v>
      </c>
      <c r="D11" s="3">
        <f t="shared" si="2"/>
        <v>0.01</v>
      </c>
      <c r="E11" s="3">
        <f t="shared" si="3"/>
        <v>1.6493981092627584E-2</v>
      </c>
      <c r="G11">
        <v>100</v>
      </c>
      <c r="H11" s="1">
        <f t="shared" si="4"/>
        <v>57.530630459272082</v>
      </c>
      <c r="I11" s="1"/>
      <c r="J11">
        <v>100</v>
      </c>
      <c r="K11" s="1">
        <f t="shared" si="5"/>
        <v>53.987226303293156</v>
      </c>
      <c r="M11">
        <v>100</v>
      </c>
      <c r="N11" s="1">
        <f t="shared" si="6"/>
        <v>52.471700595193596</v>
      </c>
      <c r="P11">
        <v>100</v>
      </c>
      <c r="Q11" s="1">
        <f t="shared" si="7"/>
        <v>50.427089653453983</v>
      </c>
      <c r="S11">
        <v>100</v>
      </c>
      <c r="T11" s="1">
        <f t="shared" si="8"/>
        <v>48.927184588545749</v>
      </c>
      <c r="V11">
        <v>100</v>
      </c>
      <c r="W11" s="1">
        <f t="shared" si="9"/>
        <v>47.473689550344446</v>
      </c>
      <c r="Y11">
        <v>100</v>
      </c>
      <c r="Z11" s="1">
        <f t="shared" si="10"/>
        <v>47.198280672886412</v>
      </c>
      <c r="AB11">
        <v>100</v>
      </c>
      <c r="AC11" s="1">
        <f t="shared" si="11"/>
        <v>45.572827574142714</v>
      </c>
      <c r="AD11" s="1"/>
      <c r="AE11">
        <v>100</v>
      </c>
      <c r="AF11" s="1">
        <f t="shared" si="12"/>
        <v>44.073926424871559</v>
      </c>
      <c r="AH11">
        <v>100</v>
      </c>
      <c r="AI11" s="1">
        <f t="shared" si="13"/>
        <v>42.83447454252714</v>
      </c>
      <c r="AK11">
        <v>100</v>
      </c>
      <c r="AL11" s="1">
        <f t="shared" si="14"/>
        <v>42.465824786509053</v>
      </c>
      <c r="AN11">
        <v>100</v>
      </c>
      <c r="AO11" s="1">
        <f t="shared" si="15"/>
        <v>42.029027381114211</v>
      </c>
      <c r="AQ11">
        <v>100</v>
      </c>
      <c r="AR11" s="1">
        <f t="shared" si="16"/>
        <v>40.597956923008844</v>
      </c>
      <c r="AT11">
        <v>100</v>
      </c>
      <c r="AU11" s="1">
        <f t="shared" si="17"/>
        <v>37.446807864539892</v>
      </c>
      <c r="AW11">
        <v>90</v>
      </c>
      <c r="AX11" s="1">
        <f t="shared" si="21"/>
        <v>2.5310747157892686</v>
      </c>
      <c r="AZ11">
        <v>90</v>
      </c>
      <c r="BA11" s="1">
        <f t="shared" si="22"/>
        <v>2.383217764120976</v>
      </c>
      <c r="BC11">
        <v>100</v>
      </c>
      <c r="BD11" s="1">
        <f t="shared" si="0"/>
        <v>13.422348595667348</v>
      </c>
      <c r="BF11">
        <v>100</v>
      </c>
      <c r="BG11" s="1">
        <f t="shared" si="18"/>
        <v>31.134499999999999</v>
      </c>
      <c r="BI11">
        <v>100</v>
      </c>
      <c r="BJ11" s="1">
        <f t="shared" si="19"/>
        <v>47.198280672886412</v>
      </c>
      <c r="BL11">
        <v>100</v>
      </c>
      <c r="BM11" s="1">
        <f t="shared" si="20"/>
        <v>53.987226303293156</v>
      </c>
    </row>
    <row r="12" spans="1:65" x14ac:dyDescent="0.45">
      <c r="B12">
        <v>110</v>
      </c>
      <c r="C12" s="2">
        <f t="shared" si="1"/>
        <v>55.116524263341802</v>
      </c>
      <c r="D12" s="3">
        <f t="shared" si="2"/>
        <v>9.0909090909090905E-3</v>
      </c>
      <c r="E12" s="3">
        <f t="shared" si="3"/>
        <v>1.8143379201890342E-2</v>
      </c>
      <c r="G12">
        <v>110</v>
      </c>
      <c r="H12" s="1">
        <f t="shared" si="4"/>
        <v>52.3005731447928</v>
      </c>
      <c r="I12" s="1"/>
      <c r="J12">
        <v>110</v>
      </c>
      <c r="K12" s="1">
        <f t="shared" si="5"/>
        <v>49.079296639357416</v>
      </c>
      <c r="M12">
        <v>110</v>
      </c>
      <c r="N12" s="1">
        <f t="shared" si="6"/>
        <v>47.701545995630546</v>
      </c>
      <c r="P12">
        <v>110</v>
      </c>
      <c r="Q12" s="1">
        <f t="shared" si="7"/>
        <v>45.842808775867262</v>
      </c>
      <c r="S12">
        <v>110</v>
      </c>
      <c r="T12" s="1">
        <f t="shared" si="8"/>
        <v>44.479258716859775</v>
      </c>
      <c r="V12">
        <v>110</v>
      </c>
      <c r="W12" s="1">
        <f t="shared" si="9"/>
        <v>43.157899591222218</v>
      </c>
      <c r="Y12">
        <v>110</v>
      </c>
      <c r="Z12" s="1">
        <f t="shared" si="10"/>
        <v>42.907527884442196</v>
      </c>
      <c r="AB12">
        <v>110</v>
      </c>
      <c r="AC12" s="1">
        <f t="shared" si="11"/>
        <v>41.429843249220646</v>
      </c>
      <c r="AD12" s="1"/>
      <c r="AE12">
        <v>110</v>
      </c>
      <c r="AF12" s="1">
        <f t="shared" si="12"/>
        <v>40.067205840792326</v>
      </c>
      <c r="AH12">
        <v>110</v>
      </c>
      <c r="AI12" s="1">
        <f t="shared" si="13"/>
        <v>38.940431402297399</v>
      </c>
      <c r="AK12">
        <v>110</v>
      </c>
      <c r="AL12" s="1">
        <f t="shared" si="14"/>
        <v>38.605295260462775</v>
      </c>
      <c r="AN12">
        <v>110</v>
      </c>
      <c r="AO12" s="1">
        <f t="shared" si="15"/>
        <v>38.208206710103831</v>
      </c>
      <c r="AQ12">
        <v>110</v>
      </c>
      <c r="AR12" s="1">
        <f t="shared" si="16"/>
        <v>36.90723356637168</v>
      </c>
      <c r="AT12">
        <v>110</v>
      </c>
      <c r="AU12" s="1">
        <f t="shared" si="17"/>
        <v>34.042552604127174</v>
      </c>
      <c r="AW12">
        <v>100</v>
      </c>
      <c r="AX12" s="1">
        <f t="shared" si="21"/>
        <v>2.277967244210342</v>
      </c>
      <c r="AZ12">
        <v>100</v>
      </c>
      <c r="BA12" s="1">
        <f t="shared" si="22"/>
        <v>2.1448959877088782</v>
      </c>
      <c r="BC12">
        <v>110</v>
      </c>
      <c r="BD12" s="1">
        <f t="shared" si="0"/>
        <v>12.202135086970316</v>
      </c>
      <c r="BF12">
        <v>110</v>
      </c>
      <c r="BG12" s="1">
        <f t="shared" si="18"/>
        <v>28.304090909090906</v>
      </c>
      <c r="BI12">
        <v>110</v>
      </c>
      <c r="BJ12" s="1">
        <f t="shared" si="19"/>
        <v>42.907527884442196</v>
      </c>
      <c r="BL12">
        <v>110</v>
      </c>
      <c r="BM12" s="1">
        <f t="shared" si="20"/>
        <v>49.079296639357416</v>
      </c>
    </row>
    <row r="13" spans="1:65" x14ac:dyDescent="0.45">
      <c r="B13">
        <v>120</v>
      </c>
      <c r="C13" s="2">
        <f t="shared" si="1"/>
        <v>50.523480574729987</v>
      </c>
      <c r="D13" s="3">
        <f t="shared" si="2"/>
        <v>8.3333333333333332E-3</v>
      </c>
      <c r="E13" s="3">
        <f t="shared" si="3"/>
        <v>1.9792777311153097E-2</v>
      </c>
      <c r="G13">
        <v>120</v>
      </c>
      <c r="H13" s="1">
        <f t="shared" si="4"/>
        <v>47.942192049393398</v>
      </c>
      <c r="I13" s="1"/>
      <c r="J13">
        <v>120</v>
      </c>
      <c r="K13" s="1">
        <f t="shared" si="5"/>
        <v>44.989355252744296</v>
      </c>
      <c r="M13">
        <v>120</v>
      </c>
      <c r="N13" s="1">
        <f t="shared" si="6"/>
        <v>43.726417162661328</v>
      </c>
      <c r="P13">
        <v>120</v>
      </c>
      <c r="Q13" s="1">
        <f t="shared" si="7"/>
        <v>42.022574711211654</v>
      </c>
      <c r="S13">
        <v>120</v>
      </c>
      <c r="T13" s="1">
        <f t="shared" si="8"/>
        <v>40.772653823788126</v>
      </c>
      <c r="V13">
        <v>120</v>
      </c>
      <c r="W13" s="1">
        <f t="shared" si="9"/>
        <v>39.561407958620372</v>
      </c>
      <c r="Y13">
        <v>120</v>
      </c>
      <c r="Z13" s="1">
        <f t="shared" si="10"/>
        <v>39.331900560738674</v>
      </c>
      <c r="AB13">
        <v>120</v>
      </c>
      <c r="AC13" s="1">
        <f t="shared" si="11"/>
        <v>37.977356311785591</v>
      </c>
      <c r="AD13" s="1"/>
      <c r="AE13">
        <v>120</v>
      </c>
      <c r="AF13" s="1">
        <f t="shared" si="12"/>
        <v>36.728272020726301</v>
      </c>
      <c r="AH13">
        <v>120</v>
      </c>
      <c r="AI13" s="1">
        <f t="shared" si="13"/>
        <v>35.695395452105949</v>
      </c>
      <c r="AK13">
        <v>120</v>
      </c>
      <c r="AL13" s="1">
        <f t="shared" si="14"/>
        <v>35.388187322090879</v>
      </c>
      <c r="AN13">
        <v>120</v>
      </c>
      <c r="AO13" s="1">
        <f t="shared" si="15"/>
        <v>35.024189484261839</v>
      </c>
      <c r="AQ13">
        <v>120</v>
      </c>
      <c r="AR13" s="1">
        <f t="shared" si="16"/>
        <v>33.831630769174041</v>
      </c>
      <c r="AT13">
        <v>120</v>
      </c>
      <c r="AU13" s="1">
        <f t="shared" si="17"/>
        <v>31.20567322044991</v>
      </c>
      <c r="AW13">
        <v>110</v>
      </c>
      <c r="AX13" s="1">
        <f t="shared" si="21"/>
        <v>2.0708793129184926</v>
      </c>
      <c r="AZ13">
        <v>110</v>
      </c>
      <c r="BA13" s="1">
        <f t="shared" si="22"/>
        <v>1.9499054433717076</v>
      </c>
      <c r="BC13">
        <v>120</v>
      </c>
      <c r="BD13" s="1">
        <f t="shared" si="0"/>
        <v>11.185290496389456</v>
      </c>
      <c r="BF13">
        <v>120</v>
      </c>
      <c r="BG13" s="1">
        <f t="shared" si="18"/>
        <v>25.945416666666667</v>
      </c>
      <c r="BI13">
        <v>120</v>
      </c>
      <c r="BJ13" s="1">
        <f t="shared" si="19"/>
        <v>39.331900560738674</v>
      </c>
      <c r="BL13">
        <v>120</v>
      </c>
      <c r="BM13" s="1">
        <f t="shared" si="20"/>
        <v>44.989355252744296</v>
      </c>
    </row>
    <row r="14" spans="1:65" x14ac:dyDescent="0.45">
      <c r="B14">
        <v>130</v>
      </c>
      <c r="C14" s="2">
        <f t="shared" si="1"/>
        <v>46.637058992058449</v>
      </c>
      <c r="D14" s="3">
        <f t="shared" si="2"/>
        <v>7.6923076923076927E-3</v>
      </c>
      <c r="E14" s="3">
        <f t="shared" si="3"/>
        <v>2.1442175420415856E-2</v>
      </c>
      <c r="G14">
        <v>130</v>
      </c>
      <c r="H14" s="1">
        <f t="shared" si="4"/>
        <v>44.254331122516987</v>
      </c>
      <c r="I14" s="1"/>
      <c r="J14">
        <v>130</v>
      </c>
      <c r="K14" s="1">
        <f t="shared" si="5"/>
        <v>41.528635617917814</v>
      </c>
      <c r="M14">
        <v>130</v>
      </c>
      <c r="N14" s="1">
        <f t="shared" si="6"/>
        <v>40.362846611687381</v>
      </c>
      <c r="P14">
        <v>130</v>
      </c>
      <c r="Q14" s="1">
        <f t="shared" si="7"/>
        <v>38.79006896419537</v>
      </c>
      <c r="S14">
        <v>130</v>
      </c>
      <c r="T14" s="1">
        <f t="shared" si="8"/>
        <v>37.636295837342885</v>
      </c>
      <c r="V14">
        <v>130</v>
      </c>
      <c r="W14" s="1">
        <f t="shared" si="9"/>
        <v>36.518222731034186</v>
      </c>
      <c r="Y14">
        <v>130</v>
      </c>
      <c r="Z14" s="1">
        <f t="shared" si="10"/>
        <v>36.306369748374166</v>
      </c>
      <c r="AB14">
        <v>130</v>
      </c>
      <c r="AC14" s="1">
        <f t="shared" si="11"/>
        <v>35.05602121087901</v>
      </c>
      <c r="AD14" s="1"/>
      <c r="AE14">
        <v>130</v>
      </c>
      <c r="AF14" s="1">
        <f t="shared" si="12"/>
        <v>33.903020326824276</v>
      </c>
      <c r="AH14">
        <v>130</v>
      </c>
      <c r="AI14" s="1">
        <f t="shared" si="13"/>
        <v>32.949595801943957</v>
      </c>
      <c r="AK14">
        <v>130</v>
      </c>
      <c r="AL14" s="1">
        <f t="shared" si="14"/>
        <v>32.666019066545431</v>
      </c>
      <c r="AN14">
        <v>130</v>
      </c>
      <c r="AO14" s="1">
        <f t="shared" si="15"/>
        <v>32.330021062395545</v>
      </c>
      <c r="AQ14">
        <v>130</v>
      </c>
      <c r="AR14" s="1">
        <f t="shared" si="16"/>
        <v>31.229197633083729</v>
      </c>
      <c r="AT14">
        <v>130</v>
      </c>
      <c r="AU14" s="1">
        <f t="shared" si="17"/>
        <v>28.805236818876839</v>
      </c>
      <c r="AW14">
        <v>120</v>
      </c>
      <c r="AX14" s="1">
        <f t="shared" si="21"/>
        <v>1.8983060368419515</v>
      </c>
      <c r="AZ14">
        <v>120</v>
      </c>
      <c r="BA14" s="1">
        <f t="shared" si="22"/>
        <v>1.7874133230907319</v>
      </c>
      <c r="BC14">
        <v>130</v>
      </c>
      <c r="BD14" s="1">
        <f t="shared" si="0"/>
        <v>10.324883535128729</v>
      </c>
      <c r="BF14">
        <v>130</v>
      </c>
      <c r="BG14" s="1">
        <f t="shared" si="18"/>
        <v>23.949615384615385</v>
      </c>
      <c r="BI14">
        <v>130</v>
      </c>
      <c r="BJ14" s="1">
        <f t="shared" si="19"/>
        <v>36.306369748374166</v>
      </c>
      <c r="BL14">
        <v>130</v>
      </c>
      <c r="BM14" s="1">
        <f t="shared" si="20"/>
        <v>41.528635617917814</v>
      </c>
    </row>
    <row r="15" spans="1:65" x14ac:dyDescent="0.45">
      <c r="B15">
        <v>140</v>
      </c>
      <c r="C15" s="2">
        <f t="shared" si="1"/>
        <v>43.305840492625705</v>
      </c>
      <c r="D15" s="3">
        <f t="shared" si="2"/>
        <v>7.1428571428571426E-3</v>
      </c>
      <c r="E15" s="3">
        <f t="shared" si="3"/>
        <v>2.3091573529678618E-2</v>
      </c>
      <c r="G15">
        <v>140</v>
      </c>
      <c r="H15" s="1">
        <f t="shared" si="4"/>
        <v>41.093307470908627</v>
      </c>
      <c r="I15" s="1"/>
      <c r="J15">
        <v>140</v>
      </c>
      <c r="K15" s="1">
        <f t="shared" si="5"/>
        <v>38.562304502352255</v>
      </c>
      <c r="M15">
        <v>140</v>
      </c>
      <c r="N15" s="1">
        <f t="shared" si="6"/>
        <v>37.479786139424</v>
      </c>
      <c r="P15">
        <v>140</v>
      </c>
      <c r="Q15" s="1">
        <f t="shared" si="7"/>
        <v>36.019349752467136</v>
      </c>
      <c r="S15">
        <v>140</v>
      </c>
      <c r="T15" s="1">
        <f t="shared" si="8"/>
        <v>34.947988991818391</v>
      </c>
      <c r="V15">
        <v>140</v>
      </c>
      <c r="W15" s="1">
        <f t="shared" si="9"/>
        <v>33.909778250246028</v>
      </c>
      <c r="Y15">
        <v>140</v>
      </c>
      <c r="Z15" s="1">
        <f t="shared" si="10"/>
        <v>33.713057623490293</v>
      </c>
      <c r="AB15">
        <v>140</v>
      </c>
      <c r="AC15" s="1">
        <f t="shared" si="11"/>
        <v>32.55201969581622</v>
      </c>
      <c r="AD15" s="1"/>
      <c r="AE15">
        <v>140</v>
      </c>
      <c r="AF15" s="1">
        <f t="shared" si="12"/>
        <v>31.481376017765399</v>
      </c>
      <c r="AH15">
        <v>140</v>
      </c>
      <c r="AI15" s="1">
        <f t="shared" si="13"/>
        <v>30.596053244662244</v>
      </c>
      <c r="AK15">
        <v>140</v>
      </c>
      <c r="AL15" s="1">
        <f t="shared" si="14"/>
        <v>30.332731990363612</v>
      </c>
      <c r="AN15">
        <v>140</v>
      </c>
      <c r="AO15" s="1">
        <f t="shared" si="15"/>
        <v>30.020733843653009</v>
      </c>
      <c r="AQ15">
        <v>140</v>
      </c>
      <c r="AR15" s="1">
        <f t="shared" si="16"/>
        <v>28.998540659292033</v>
      </c>
      <c r="AT15">
        <v>140</v>
      </c>
      <c r="AU15" s="1">
        <f t="shared" si="17"/>
        <v>26.747719903242778</v>
      </c>
      <c r="AW15">
        <v>130</v>
      </c>
      <c r="AX15" s="1">
        <f t="shared" si="21"/>
        <v>1.7522824955464169</v>
      </c>
      <c r="AZ15">
        <v>130</v>
      </c>
      <c r="BA15" s="1">
        <f t="shared" si="22"/>
        <v>1.649919990545291</v>
      </c>
      <c r="BC15">
        <v>140</v>
      </c>
      <c r="BD15" s="1">
        <f t="shared" si="0"/>
        <v>9.5873918540481053</v>
      </c>
      <c r="BF15">
        <v>140</v>
      </c>
      <c r="BG15" s="1">
        <f t="shared" si="18"/>
        <v>22.23892857142857</v>
      </c>
      <c r="BI15">
        <v>140</v>
      </c>
      <c r="BJ15" s="1">
        <f t="shared" si="19"/>
        <v>33.713057623490293</v>
      </c>
      <c r="BL15">
        <v>140</v>
      </c>
      <c r="BM15" s="1">
        <f t="shared" si="20"/>
        <v>38.562304502352255</v>
      </c>
    </row>
    <row r="16" spans="1:65" x14ac:dyDescent="0.45">
      <c r="B16">
        <v>150</v>
      </c>
      <c r="C16" s="2">
        <f t="shared" si="1"/>
        <v>40.418784459783986</v>
      </c>
      <c r="D16" s="3">
        <f t="shared" si="2"/>
        <v>6.6666666666666671E-3</v>
      </c>
      <c r="E16" s="3">
        <f t="shared" si="3"/>
        <v>2.4740971638941373E-2</v>
      </c>
      <c r="G16">
        <v>150</v>
      </c>
      <c r="H16" s="1">
        <f t="shared" si="4"/>
        <v>38.353753639514721</v>
      </c>
      <c r="I16" s="1"/>
      <c r="J16">
        <v>150</v>
      </c>
      <c r="K16" s="1">
        <f t="shared" si="5"/>
        <v>35.991484202195437</v>
      </c>
      <c r="M16">
        <v>150</v>
      </c>
      <c r="N16" s="1">
        <f t="shared" si="6"/>
        <v>34.981133730129066</v>
      </c>
      <c r="P16">
        <v>150</v>
      </c>
      <c r="Q16" s="1">
        <f t="shared" si="7"/>
        <v>33.618059768969324</v>
      </c>
      <c r="S16">
        <v>150</v>
      </c>
      <c r="T16" s="1">
        <f t="shared" si="8"/>
        <v>32.618123059030502</v>
      </c>
      <c r="V16">
        <v>150</v>
      </c>
      <c r="W16" s="1">
        <f t="shared" si="9"/>
        <v>31.649126366896294</v>
      </c>
      <c r="Y16">
        <v>150</v>
      </c>
      <c r="Z16" s="1">
        <f t="shared" si="10"/>
        <v>31.46552044859094</v>
      </c>
      <c r="AB16">
        <v>150</v>
      </c>
      <c r="AC16" s="1">
        <f t="shared" si="11"/>
        <v>30.381885049428476</v>
      </c>
      <c r="AD16" s="1"/>
      <c r="AE16">
        <v>150</v>
      </c>
      <c r="AF16" s="1">
        <f t="shared" si="12"/>
        <v>29.38261761658104</v>
      </c>
      <c r="AH16">
        <v>150</v>
      </c>
      <c r="AI16" s="1">
        <f t="shared" si="13"/>
        <v>28.556316361684761</v>
      </c>
      <c r="AK16">
        <v>150</v>
      </c>
      <c r="AL16" s="1">
        <f t="shared" si="14"/>
        <v>28.310549857672704</v>
      </c>
      <c r="AN16">
        <v>150</v>
      </c>
      <c r="AO16" s="1">
        <f t="shared" si="15"/>
        <v>28.019351587409474</v>
      </c>
      <c r="AQ16">
        <v>150</v>
      </c>
      <c r="AR16" s="1">
        <f t="shared" si="16"/>
        <v>27.06530461533923</v>
      </c>
      <c r="AT16">
        <v>150</v>
      </c>
      <c r="AU16" s="1">
        <f t="shared" si="17"/>
        <v>24.964538576359928</v>
      </c>
      <c r="AW16">
        <v>140</v>
      </c>
      <c r="AX16" s="1">
        <f t="shared" si="21"/>
        <v>1.6271194601502441</v>
      </c>
      <c r="AZ16">
        <v>140</v>
      </c>
      <c r="BA16" s="1">
        <f t="shared" si="22"/>
        <v>1.5320685626491988</v>
      </c>
      <c r="BC16">
        <v>150</v>
      </c>
      <c r="BD16" s="1">
        <f t="shared" si="0"/>
        <v>8.948232397111564</v>
      </c>
      <c r="BF16">
        <v>150</v>
      </c>
      <c r="BG16" s="1">
        <f t="shared" si="18"/>
        <v>20.75633333333333</v>
      </c>
      <c r="BI16">
        <v>150</v>
      </c>
      <c r="BJ16" s="1">
        <f t="shared" si="19"/>
        <v>31.46552044859094</v>
      </c>
      <c r="BL16">
        <v>150</v>
      </c>
      <c r="BM16" s="1">
        <f t="shared" si="20"/>
        <v>35.991484202195437</v>
      </c>
    </row>
    <row r="17" spans="2:65" x14ac:dyDescent="0.45">
      <c r="B17">
        <v>160</v>
      </c>
      <c r="C17" s="2">
        <f t="shared" si="1"/>
        <v>37.892610431047487</v>
      </c>
      <c r="D17" s="3">
        <f t="shared" si="2"/>
        <v>6.2500000000000003E-3</v>
      </c>
      <c r="E17" s="3">
        <f t="shared" si="3"/>
        <v>2.6390369748204127E-2</v>
      </c>
      <c r="G17">
        <v>160</v>
      </c>
      <c r="H17" s="1">
        <f t="shared" si="4"/>
        <v>35.956644037045052</v>
      </c>
      <c r="I17" s="1"/>
      <c r="J17">
        <v>160</v>
      </c>
      <c r="K17" s="1">
        <f t="shared" si="5"/>
        <v>33.74201643955822</v>
      </c>
      <c r="M17">
        <v>160</v>
      </c>
      <c r="N17" s="1">
        <f t="shared" si="6"/>
        <v>32.794812871996001</v>
      </c>
      <c r="P17">
        <v>160</v>
      </c>
      <c r="Q17" s="1">
        <f t="shared" si="7"/>
        <v>31.516931033408742</v>
      </c>
      <c r="S17">
        <v>160</v>
      </c>
      <c r="T17" s="1">
        <f t="shared" si="8"/>
        <v>30.579490367841096</v>
      </c>
      <c r="V17">
        <v>160</v>
      </c>
      <c r="W17" s="1">
        <f t="shared" si="9"/>
        <v>29.671055968965277</v>
      </c>
      <c r="Y17">
        <v>160</v>
      </c>
      <c r="Z17" s="1">
        <f t="shared" si="10"/>
        <v>29.498925420554009</v>
      </c>
      <c r="AB17">
        <v>160</v>
      </c>
      <c r="AC17" s="1">
        <f t="shared" si="11"/>
        <v>28.483017233839195</v>
      </c>
      <c r="AD17" s="1"/>
      <c r="AE17">
        <v>160</v>
      </c>
      <c r="AF17" s="1">
        <f t="shared" si="12"/>
        <v>27.546204015544724</v>
      </c>
      <c r="AH17">
        <v>160</v>
      </c>
      <c r="AI17" s="1">
        <f t="shared" si="13"/>
        <v>26.771546589079463</v>
      </c>
      <c r="AK17">
        <v>160</v>
      </c>
      <c r="AL17" s="1">
        <f t="shared" si="14"/>
        <v>26.541140491568161</v>
      </c>
      <c r="AN17">
        <v>160</v>
      </c>
      <c r="AO17" s="1">
        <f t="shared" si="15"/>
        <v>26.268142113196383</v>
      </c>
      <c r="AQ17">
        <v>160</v>
      </c>
      <c r="AR17" s="1">
        <f t="shared" si="16"/>
        <v>25.37372307688053</v>
      </c>
      <c r="AT17">
        <v>160</v>
      </c>
      <c r="AU17" s="1">
        <f t="shared" si="17"/>
        <v>23.404254915337432</v>
      </c>
      <c r="AW17">
        <v>150</v>
      </c>
      <c r="AX17" s="1">
        <f t="shared" si="21"/>
        <v>1.5186448294735613</v>
      </c>
      <c r="AZ17">
        <v>150</v>
      </c>
      <c r="BA17" s="1">
        <f t="shared" si="22"/>
        <v>1.4299306584725855</v>
      </c>
      <c r="BC17">
        <v>160</v>
      </c>
      <c r="BD17" s="1">
        <f t="shared" si="0"/>
        <v>8.388967872292092</v>
      </c>
      <c r="BF17">
        <v>160</v>
      </c>
      <c r="BG17" s="1">
        <f t="shared" si="18"/>
        <v>19.459062499999998</v>
      </c>
      <c r="BI17">
        <v>160</v>
      </c>
      <c r="BJ17" s="1">
        <f t="shared" si="19"/>
        <v>29.498925420554009</v>
      </c>
      <c r="BL17">
        <v>160</v>
      </c>
      <c r="BM17" s="1">
        <f t="shared" si="20"/>
        <v>33.74201643955822</v>
      </c>
    </row>
    <row r="18" spans="2:65" x14ac:dyDescent="0.45">
      <c r="B18">
        <v>170</v>
      </c>
      <c r="C18" s="2">
        <f t="shared" si="1"/>
        <v>35.663633346868224</v>
      </c>
      <c r="D18" s="3">
        <f t="shared" si="2"/>
        <v>5.8823529411764705E-3</v>
      </c>
      <c r="E18" s="3">
        <f t="shared" si="3"/>
        <v>2.8039767857466893E-2</v>
      </c>
      <c r="G18">
        <v>170</v>
      </c>
      <c r="H18" s="1">
        <f t="shared" si="4"/>
        <v>33.841547328983573</v>
      </c>
      <c r="I18" s="1"/>
      <c r="J18">
        <v>170</v>
      </c>
      <c r="K18" s="1">
        <f t="shared" si="5"/>
        <v>31.757191943113622</v>
      </c>
      <c r="M18">
        <v>170</v>
      </c>
      <c r="N18" s="1">
        <f t="shared" si="6"/>
        <v>30.86570623246682</v>
      </c>
      <c r="P18">
        <v>170</v>
      </c>
      <c r="Q18" s="1">
        <f t="shared" si="7"/>
        <v>29.662993913796463</v>
      </c>
      <c r="S18">
        <v>170</v>
      </c>
      <c r="T18" s="1">
        <f t="shared" si="8"/>
        <v>28.780696816791618</v>
      </c>
      <c r="V18">
        <v>170</v>
      </c>
      <c r="W18" s="1">
        <f t="shared" si="9"/>
        <v>27.925699735496732</v>
      </c>
      <c r="Y18">
        <v>170</v>
      </c>
      <c r="Z18" s="1">
        <f t="shared" si="10"/>
        <v>27.763694513462596</v>
      </c>
      <c r="AB18">
        <v>170</v>
      </c>
      <c r="AC18" s="1">
        <f t="shared" si="11"/>
        <v>26.807545631848654</v>
      </c>
      <c r="AD18" s="1"/>
      <c r="AE18">
        <v>170</v>
      </c>
      <c r="AF18" s="1">
        <f t="shared" si="12"/>
        <v>25.925839073453858</v>
      </c>
      <c r="AH18">
        <v>170</v>
      </c>
      <c r="AI18" s="1">
        <f t="shared" si="13"/>
        <v>25.196749730898318</v>
      </c>
      <c r="AK18">
        <v>170</v>
      </c>
      <c r="AL18" s="1">
        <f t="shared" si="14"/>
        <v>24.979896933240621</v>
      </c>
      <c r="AN18">
        <v>170</v>
      </c>
      <c r="AO18" s="1">
        <f t="shared" si="15"/>
        <v>24.722957283008359</v>
      </c>
      <c r="AQ18">
        <v>170</v>
      </c>
      <c r="AR18" s="1">
        <f t="shared" si="16"/>
        <v>23.881151131181674</v>
      </c>
      <c r="AT18">
        <v>170</v>
      </c>
      <c r="AU18" s="1">
        <f t="shared" si="17"/>
        <v>22.027534037964642</v>
      </c>
      <c r="AW18">
        <v>160</v>
      </c>
      <c r="AX18" s="1">
        <f t="shared" si="21"/>
        <v>1.4237295276314637</v>
      </c>
      <c r="AZ18">
        <v>160</v>
      </c>
      <c r="BA18" s="1">
        <f t="shared" si="22"/>
        <v>1.3405599923180489</v>
      </c>
      <c r="BC18">
        <v>170</v>
      </c>
      <c r="BD18" s="1">
        <f t="shared" si="0"/>
        <v>7.8954991739219693</v>
      </c>
      <c r="BF18">
        <v>170</v>
      </c>
      <c r="BG18" s="1">
        <f t="shared" si="18"/>
        <v>18.314411764705881</v>
      </c>
      <c r="BI18">
        <v>170</v>
      </c>
      <c r="BJ18" s="1">
        <f t="shared" si="19"/>
        <v>27.763694513462596</v>
      </c>
      <c r="BL18">
        <v>170</v>
      </c>
      <c r="BM18" s="1">
        <f t="shared" si="20"/>
        <v>31.757191943113622</v>
      </c>
    </row>
    <row r="19" spans="2:65" x14ac:dyDescent="0.45">
      <c r="B19">
        <v>180</v>
      </c>
      <c r="C19" s="2">
        <f t="shared" si="1"/>
        <v>33.682320383153325</v>
      </c>
      <c r="D19" s="3">
        <f t="shared" si="2"/>
        <v>5.5555555555555558E-3</v>
      </c>
      <c r="E19" s="3">
        <f t="shared" si="3"/>
        <v>2.9689165966729648E-2</v>
      </c>
      <c r="G19">
        <v>180</v>
      </c>
      <c r="H19" s="1">
        <f t="shared" si="4"/>
        <v>31.961461366262267</v>
      </c>
      <c r="I19" s="1"/>
      <c r="J19">
        <v>180</v>
      </c>
      <c r="K19" s="1">
        <f t="shared" si="5"/>
        <v>29.992903501829531</v>
      </c>
      <c r="M19">
        <v>180</v>
      </c>
      <c r="N19" s="1">
        <f t="shared" si="6"/>
        <v>29.150944775107554</v>
      </c>
      <c r="P19">
        <v>180</v>
      </c>
      <c r="Q19" s="1">
        <f t="shared" si="7"/>
        <v>28.015049807474437</v>
      </c>
      <c r="S19">
        <v>180</v>
      </c>
      <c r="T19" s="1">
        <f t="shared" si="8"/>
        <v>27.18176921585875</v>
      </c>
      <c r="V19">
        <v>180</v>
      </c>
      <c r="W19" s="1">
        <f t="shared" si="9"/>
        <v>26.374271972413581</v>
      </c>
      <c r="Y19">
        <v>180</v>
      </c>
      <c r="Z19" s="1">
        <f t="shared" si="10"/>
        <v>26.221267040492453</v>
      </c>
      <c r="AB19">
        <v>180</v>
      </c>
      <c r="AC19" s="1">
        <f t="shared" si="11"/>
        <v>25.318237541190395</v>
      </c>
      <c r="AD19" s="1"/>
      <c r="AE19">
        <v>180</v>
      </c>
      <c r="AF19" s="1">
        <f t="shared" si="12"/>
        <v>24.485514680484201</v>
      </c>
      <c r="AH19">
        <v>180</v>
      </c>
      <c r="AI19" s="1">
        <f t="shared" si="13"/>
        <v>23.796930301403968</v>
      </c>
      <c r="AK19">
        <v>180</v>
      </c>
      <c r="AL19" s="1">
        <f t="shared" si="14"/>
        <v>23.592124881393921</v>
      </c>
      <c r="AN19">
        <v>180</v>
      </c>
      <c r="AO19" s="1">
        <f t="shared" si="15"/>
        <v>23.349459656174563</v>
      </c>
      <c r="AQ19">
        <v>180</v>
      </c>
      <c r="AR19" s="1">
        <f t="shared" si="16"/>
        <v>22.554420512782691</v>
      </c>
      <c r="AT19">
        <v>180</v>
      </c>
      <c r="AU19" s="1">
        <f t="shared" si="17"/>
        <v>20.803782146966608</v>
      </c>
      <c r="AW19">
        <v>170</v>
      </c>
      <c r="AX19" s="1">
        <f t="shared" si="21"/>
        <v>1.3399807318884365</v>
      </c>
      <c r="AZ19">
        <v>170</v>
      </c>
      <c r="BA19" s="1">
        <f t="shared" si="22"/>
        <v>1.261703522181693</v>
      </c>
      <c r="BC19">
        <v>180</v>
      </c>
      <c r="BD19" s="1">
        <f t="shared" si="0"/>
        <v>7.456860330926304</v>
      </c>
      <c r="BF19">
        <v>180</v>
      </c>
      <c r="BG19" s="1">
        <f t="shared" si="18"/>
        <v>17.296944444444442</v>
      </c>
      <c r="BI19">
        <v>180</v>
      </c>
      <c r="BJ19" s="1">
        <f t="shared" si="19"/>
        <v>26.221267040492453</v>
      </c>
      <c r="BL19">
        <v>180</v>
      </c>
      <c r="BM19" s="1">
        <f t="shared" si="20"/>
        <v>29.992903501829531</v>
      </c>
    </row>
    <row r="20" spans="2:65" x14ac:dyDescent="0.45">
      <c r="B20">
        <v>190</v>
      </c>
      <c r="C20" s="2">
        <f t="shared" si="1"/>
        <v>31.909566678776834</v>
      </c>
      <c r="D20" s="3">
        <f t="shared" si="2"/>
        <v>5.263157894736842E-3</v>
      </c>
      <c r="E20" s="3">
        <f t="shared" si="3"/>
        <v>3.1338564075992406E-2</v>
      </c>
      <c r="G20">
        <v>190</v>
      </c>
      <c r="H20" s="1">
        <f t="shared" si="4"/>
        <v>30.279279189090566</v>
      </c>
      <c r="I20" s="1"/>
      <c r="J20">
        <v>190</v>
      </c>
      <c r="K20" s="1">
        <f t="shared" si="5"/>
        <v>28.414329633312185</v>
      </c>
      <c r="M20">
        <v>190</v>
      </c>
      <c r="N20" s="1">
        <f t="shared" si="6"/>
        <v>27.616684523786105</v>
      </c>
      <c r="P20">
        <v>190</v>
      </c>
      <c r="Q20" s="1">
        <f t="shared" si="7"/>
        <v>26.540573501817889</v>
      </c>
      <c r="S20">
        <v>190</v>
      </c>
      <c r="T20" s="1">
        <f t="shared" si="8"/>
        <v>25.751149783445133</v>
      </c>
      <c r="V20">
        <v>190</v>
      </c>
      <c r="W20" s="1">
        <f t="shared" si="9"/>
        <v>24.986152394918129</v>
      </c>
      <c r="Y20">
        <v>190</v>
      </c>
      <c r="Z20" s="1">
        <f t="shared" si="10"/>
        <v>24.841200354150743</v>
      </c>
      <c r="AB20">
        <v>190</v>
      </c>
      <c r="AC20" s="1">
        <f t="shared" si="11"/>
        <v>23.985698723233007</v>
      </c>
      <c r="AD20" s="1"/>
      <c r="AE20">
        <v>190</v>
      </c>
      <c r="AF20" s="1">
        <f t="shared" si="12"/>
        <v>23.196803381511348</v>
      </c>
      <c r="AH20">
        <v>190</v>
      </c>
      <c r="AI20" s="1">
        <f t="shared" si="13"/>
        <v>22.544460285540602</v>
      </c>
      <c r="AK20">
        <v>190</v>
      </c>
      <c r="AL20" s="1">
        <f t="shared" si="14"/>
        <v>22.350434098162662</v>
      </c>
      <c r="AN20">
        <v>190</v>
      </c>
      <c r="AO20" s="1">
        <f t="shared" si="15"/>
        <v>22.120540726902217</v>
      </c>
      <c r="AQ20">
        <v>190</v>
      </c>
      <c r="AR20" s="1">
        <f t="shared" si="16"/>
        <v>21.367345748952026</v>
      </c>
      <c r="AT20">
        <v>190</v>
      </c>
      <c r="AU20" s="1">
        <f t="shared" si="17"/>
        <v>19.70884624449468</v>
      </c>
      <c r="AW20">
        <v>180</v>
      </c>
      <c r="AX20" s="1">
        <f t="shared" si="21"/>
        <v>1.2655373578946343</v>
      </c>
      <c r="AZ20">
        <v>180</v>
      </c>
      <c r="BA20" s="1">
        <f t="shared" si="22"/>
        <v>1.191608882060488</v>
      </c>
      <c r="BC20">
        <v>190</v>
      </c>
      <c r="BD20" s="1">
        <f t="shared" si="0"/>
        <v>7.0643939977196561</v>
      </c>
      <c r="BF20">
        <v>190</v>
      </c>
      <c r="BG20" s="1">
        <f t="shared" si="18"/>
        <v>16.38657894736842</v>
      </c>
      <c r="BI20">
        <v>190</v>
      </c>
      <c r="BJ20" s="1">
        <f t="shared" si="19"/>
        <v>24.841200354150743</v>
      </c>
      <c r="BL20">
        <v>190</v>
      </c>
      <c r="BM20" s="1">
        <f t="shared" si="20"/>
        <v>28.414329633312185</v>
      </c>
    </row>
    <row r="21" spans="2:65" x14ac:dyDescent="0.45">
      <c r="B21">
        <v>200</v>
      </c>
      <c r="C21" s="2">
        <f t="shared" si="1"/>
        <v>30.314088344837991</v>
      </c>
      <c r="D21" s="3">
        <f t="shared" si="2"/>
        <v>5.0000000000000001E-3</v>
      </c>
      <c r="E21" s="3">
        <f t="shared" si="3"/>
        <v>3.2987962185255168E-2</v>
      </c>
      <c r="G21">
        <v>200</v>
      </c>
      <c r="H21" s="1">
        <f t="shared" si="4"/>
        <v>28.765315229636041</v>
      </c>
      <c r="I21" s="1"/>
      <c r="J21">
        <v>200</v>
      </c>
      <c r="K21" s="1">
        <f t="shared" si="5"/>
        <v>26.993613151646578</v>
      </c>
      <c r="M21">
        <v>200</v>
      </c>
      <c r="N21" s="1">
        <f t="shared" si="6"/>
        <v>26.235850297596798</v>
      </c>
      <c r="P21">
        <v>200</v>
      </c>
      <c r="Q21" s="1">
        <f t="shared" si="7"/>
        <v>25.213544826726991</v>
      </c>
      <c r="S21">
        <v>200</v>
      </c>
      <c r="T21" s="1">
        <f t="shared" si="8"/>
        <v>24.463592294272875</v>
      </c>
      <c r="V21">
        <v>200</v>
      </c>
      <c r="W21" s="1">
        <f t="shared" si="9"/>
        <v>23.736844775172223</v>
      </c>
      <c r="Y21">
        <v>200</v>
      </c>
      <c r="Z21" s="1">
        <f t="shared" si="10"/>
        <v>23.599140336443206</v>
      </c>
      <c r="AB21">
        <v>200</v>
      </c>
      <c r="AC21" s="1">
        <f t="shared" si="11"/>
        <v>22.786413787071357</v>
      </c>
      <c r="AD21" s="1"/>
      <c r="AE21">
        <v>200</v>
      </c>
      <c r="AF21" s="1">
        <f t="shared" si="12"/>
        <v>22.036963212435779</v>
      </c>
      <c r="AH21">
        <v>200</v>
      </c>
      <c r="AI21" s="1">
        <f t="shared" si="13"/>
        <v>21.41723727126357</v>
      </c>
      <c r="AK21">
        <v>200</v>
      </c>
      <c r="AL21" s="1">
        <f t="shared" si="14"/>
        <v>21.232912393254527</v>
      </c>
      <c r="AN21">
        <v>200</v>
      </c>
      <c r="AO21" s="1">
        <f t="shared" si="15"/>
        <v>21.014513690557106</v>
      </c>
      <c r="AQ21">
        <v>200</v>
      </c>
      <c r="AR21" s="1">
        <f t="shared" si="16"/>
        <v>20.298978461504422</v>
      </c>
      <c r="AT21">
        <v>200</v>
      </c>
      <c r="AU21" s="1">
        <f t="shared" si="17"/>
        <v>18.723403932269946</v>
      </c>
      <c r="AW21">
        <v>190</v>
      </c>
      <c r="AX21" s="1">
        <f t="shared" si="21"/>
        <v>1.1989301285317588</v>
      </c>
      <c r="AZ21">
        <v>190</v>
      </c>
      <c r="BA21" s="1">
        <f t="shared" si="22"/>
        <v>1.1288926251099358</v>
      </c>
      <c r="BC21">
        <v>200</v>
      </c>
      <c r="BD21" s="1">
        <f t="shared" si="0"/>
        <v>6.7111742978336739</v>
      </c>
      <c r="BF21">
        <v>200</v>
      </c>
      <c r="BG21" s="1">
        <f t="shared" si="18"/>
        <v>15.56725</v>
      </c>
      <c r="BI21">
        <v>200</v>
      </c>
      <c r="BJ21" s="1">
        <f t="shared" si="19"/>
        <v>23.599140336443206</v>
      </c>
      <c r="BL21">
        <v>200</v>
      </c>
      <c r="BM21" s="1">
        <f t="shared" si="20"/>
        <v>26.993613151646578</v>
      </c>
    </row>
    <row r="22" spans="2:65" x14ac:dyDescent="0.45">
      <c r="B22">
        <v>210</v>
      </c>
      <c r="C22" s="2">
        <f t="shared" si="1"/>
        <v>28.870560328417135</v>
      </c>
      <c r="D22" s="3">
        <f t="shared" si="2"/>
        <v>4.7619047619047623E-3</v>
      </c>
      <c r="E22" s="3">
        <f t="shared" si="3"/>
        <v>3.4637360294517916E-2</v>
      </c>
      <c r="G22">
        <v>210</v>
      </c>
      <c r="H22" s="1">
        <f t="shared" si="4"/>
        <v>27.395538313939085</v>
      </c>
      <c r="I22" s="1"/>
      <c r="J22">
        <v>210</v>
      </c>
      <c r="K22" s="1">
        <f t="shared" si="5"/>
        <v>25.708203001568169</v>
      </c>
      <c r="M22">
        <v>210</v>
      </c>
      <c r="N22" s="1">
        <f t="shared" si="6"/>
        <v>24.986524092949331</v>
      </c>
      <c r="P22">
        <v>210</v>
      </c>
      <c r="Q22" s="1">
        <f t="shared" si="7"/>
        <v>24.012899834978089</v>
      </c>
      <c r="S22">
        <v>210</v>
      </c>
      <c r="T22" s="1">
        <f t="shared" si="8"/>
        <v>23.29865932787893</v>
      </c>
      <c r="V22">
        <v>210</v>
      </c>
      <c r="W22" s="1">
        <f t="shared" si="9"/>
        <v>22.606518833497354</v>
      </c>
      <c r="Y22">
        <v>210</v>
      </c>
      <c r="Z22" s="1">
        <f t="shared" si="10"/>
        <v>22.475371748993531</v>
      </c>
      <c r="AB22">
        <v>210</v>
      </c>
      <c r="AC22" s="1">
        <f t="shared" si="11"/>
        <v>21.701346463877481</v>
      </c>
      <c r="AD22" s="1"/>
      <c r="AE22">
        <v>210</v>
      </c>
      <c r="AF22" s="1">
        <f t="shared" si="12"/>
        <v>20.987584011843602</v>
      </c>
      <c r="AH22">
        <v>210</v>
      </c>
      <c r="AI22" s="1">
        <f t="shared" si="13"/>
        <v>20.39736882977483</v>
      </c>
      <c r="AK22">
        <v>210</v>
      </c>
      <c r="AL22" s="1">
        <f t="shared" si="14"/>
        <v>20.221821326909076</v>
      </c>
      <c r="AN22">
        <v>210</v>
      </c>
      <c r="AO22" s="1">
        <f t="shared" si="15"/>
        <v>20.013822562435337</v>
      </c>
      <c r="AQ22">
        <v>210</v>
      </c>
      <c r="AR22" s="1">
        <f t="shared" si="16"/>
        <v>19.332360439528021</v>
      </c>
      <c r="AT22">
        <v>210</v>
      </c>
      <c r="AU22" s="1">
        <f t="shared" si="17"/>
        <v>17.831813268828519</v>
      </c>
      <c r="AW22">
        <v>200</v>
      </c>
      <c r="AX22" s="1">
        <f t="shared" si="21"/>
        <v>1.138983622105171</v>
      </c>
      <c r="AZ22">
        <v>200</v>
      </c>
      <c r="BA22" s="1">
        <f t="shared" si="22"/>
        <v>1.0724479938544391</v>
      </c>
      <c r="BC22">
        <v>210</v>
      </c>
      <c r="BD22" s="1">
        <f t="shared" si="0"/>
        <v>6.3915945693654033</v>
      </c>
      <c r="BF22">
        <v>210</v>
      </c>
      <c r="BG22" s="1">
        <f t="shared" si="18"/>
        <v>14.82595238095238</v>
      </c>
      <c r="BI22">
        <v>210</v>
      </c>
      <c r="BJ22" s="1">
        <f t="shared" si="19"/>
        <v>22.475371748993531</v>
      </c>
      <c r="BL22">
        <v>210</v>
      </c>
      <c r="BM22" s="1">
        <f t="shared" si="20"/>
        <v>25.708203001568169</v>
      </c>
    </row>
    <row r="23" spans="2:65" x14ac:dyDescent="0.45">
      <c r="B23">
        <v>220</v>
      </c>
      <c r="C23" s="2">
        <f t="shared" si="1"/>
        <v>27.558262131670901</v>
      </c>
      <c r="D23" s="3">
        <f t="shared" si="2"/>
        <v>4.5454545454545452E-3</v>
      </c>
      <c r="E23" s="3">
        <f t="shared" si="3"/>
        <v>3.6286758403780685E-2</v>
      </c>
      <c r="G23">
        <v>220</v>
      </c>
      <c r="H23" s="1">
        <f t="shared" si="4"/>
        <v>26.1502865723964</v>
      </c>
      <c r="I23" s="1"/>
      <c r="J23">
        <v>220</v>
      </c>
      <c r="K23" s="1">
        <f t="shared" si="5"/>
        <v>24.539648319678708</v>
      </c>
      <c r="M23">
        <v>220</v>
      </c>
      <c r="N23" s="1">
        <f t="shared" si="6"/>
        <v>23.850772997815273</v>
      </c>
      <c r="P23">
        <v>220</v>
      </c>
      <c r="Q23" s="1">
        <f t="shared" si="7"/>
        <v>22.921404387933631</v>
      </c>
      <c r="S23">
        <v>220</v>
      </c>
      <c r="T23" s="1">
        <f t="shared" si="8"/>
        <v>22.239629358429887</v>
      </c>
      <c r="V23">
        <v>220</v>
      </c>
      <c r="W23" s="1">
        <f t="shared" si="9"/>
        <v>21.578949795611109</v>
      </c>
      <c r="Y23">
        <v>220</v>
      </c>
      <c r="Z23" s="1">
        <f t="shared" si="10"/>
        <v>21.453763942221098</v>
      </c>
      <c r="AB23">
        <v>220</v>
      </c>
      <c r="AC23" s="1">
        <f t="shared" si="11"/>
        <v>20.714921624610323</v>
      </c>
      <c r="AD23" s="1"/>
      <c r="AE23">
        <v>220</v>
      </c>
      <c r="AF23" s="1">
        <f t="shared" si="12"/>
        <v>20.033602920396163</v>
      </c>
      <c r="AH23">
        <v>220</v>
      </c>
      <c r="AI23" s="1">
        <f t="shared" si="13"/>
        <v>19.4702157011487</v>
      </c>
      <c r="AK23">
        <v>220</v>
      </c>
      <c r="AL23" s="1">
        <f t="shared" si="14"/>
        <v>19.302647630231387</v>
      </c>
      <c r="AN23">
        <v>220</v>
      </c>
      <c r="AO23" s="1">
        <f t="shared" si="15"/>
        <v>19.104103355051915</v>
      </c>
      <c r="AQ23">
        <v>220</v>
      </c>
      <c r="AR23" s="1">
        <f t="shared" si="16"/>
        <v>18.45361678318584</v>
      </c>
      <c r="AT23">
        <v>220</v>
      </c>
      <c r="AU23" s="1">
        <f t="shared" si="17"/>
        <v>17.021276302063587</v>
      </c>
      <c r="AW23">
        <v>210</v>
      </c>
      <c r="AX23" s="1">
        <f t="shared" si="21"/>
        <v>1.0847463067668295</v>
      </c>
      <c r="AZ23">
        <v>210</v>
      </c>
      <c r="BA23" s="1">
        <f t="shared" si="22"/>
        <v>1.0213790417661326</v>
      </c>
      <c r="BC23">
        <v>220</v>
      </c>
      <c r="BD23" s="1">
        <f t="shared" si="0"/>
        <v>6.1010675434851578</v>
      </c>
      <c r="BF23">
        <v>220</v>
      </c>
      <c r="BG23" s="1">
        <f t="shared" si="18"/>
        <v>14.152045454545453</v>
      </c>
      <c r="BI23">
        <v>220</v>
      </c>
      <c r="BJ23" s="1">
        <f t="shared" si="19"/>
        <v>21.453763942221098</v>
      </c>
      <c r="BL23">
        <v>220</v>
      </c>
      <c r="BM23" s="1">
        <f t="shared" si="20"/>
        <v>24.539648319678708</v>
      </c>
    </row>
    <row r="24" spans="2:65" x14ac:dyDescent="0.45">
      <c r="B24">
        <v>230</v>
      </c>
      <c r="C24" s="2">
        <f t="shared" si="1"/>
        <v>26.360076821598255</v>
      </c>
      <c r="D24" s="3">
        <f t="shared" si="2"/>
        <v>4.3478260869565218E-3</v>
      </c>
      <c r="E24" s="3">
        <f t="shared" si="3"/>
        <v>3.793615651304344E-2</v>
      </c>
      <c r="G24">
        <v>230</v>
      </c>
      <c r="H24" s="1">
        <f t="shared" si="4"/>
        <v>25.01331759098786</v>
      </c>
      <c r="I24" s="1"/>
      <c r="J24">
        <v>230</v>
      </c>
      <c r="K24" s="1">
        <f t="shared" si="5"/>
        <v>23.472707088388329</v>
      </c>
      <c r="M24">
        <v>230</v>
      </c>
      <c r="N24" s="1">
        <f t="shared" si="6"/>
        <v>22.813782867475478</v>
      </c>
      <c r="P24">
        <v>230</v>
      </c>
      <c r="Q24" s="1">
        <f t="shared" si="7"/>
        <v>21.924821588458254</v>
      </c>
      <c r="S24">
        <v>230</v>
      </c>
      <c r="T24" s="1">
        <f t="shared" si="8"/>
        <v>21.272688951541632</v>
      </c>
      <c r="V24">
        <v>230</v>
      </c>
      <c r="W24" s="1">
        <f t="shared" si="9"/>
        <v>20.64073458710628</v>
      </c>
      <c r="Y24">
        <v>230</v>
      </c>
      <c r="Z24" s="1">
        <f t="shared" si="10"/>
        <v>20.520991596907137</v>
      </c>
      <c r="AB24">
        <v>230</v>
      </c>
      <c r="AC24" s="1">
        <f t="shared" si="11"/>
        <v>19.814272858322919</v>
      </c>
      <c r="AD24" s="1"/>
      <c r="AE24">
        <v>230</v>
      </c>
      <c r="AF24" s="1">
        <f t="shared" si="12"/>
        <v>19.162576706465895</v>
      </c>
      <c r="AH24">
        <v>230</v>
      </c>
      <c r="AI24" s="1">
        <f t="shared" si="13"/>
        <v>18.623684583707451</v>
      </c>
      <c r="AK24">
        <v>230</v>
      </c>
      <c r="AL24" s="1">
        <f t="shared" si="14"/>
        <v>18.463402081090894</v>
      </c>
      <c r="AN24">
        <v>230</v>
      </c>
      <c r="AO24" s="1">
        <f t="shared" si="15"/>
        <v>18.27349016570183</v>
      </c>
      <c r="AQ24">
        <v>230</v>
      </c>
      <c r="AR24" s="1">
        <f t="shared" si="16"/>
        <v>17.6512856186995</v>
      </c>
      <c r="AT24">
        <v>230</v>
      </c>
      <c r="AU24" s="1">
        <f t="shared" si="17"/>
        <v>16.281220810669517</v>
      </c>
      <c r="AW24">
        <v>220</v>
      </c>
      <c r="AX24" s="1">
        <f t="shared" si="21"/>
        <v>1.0354396564592463</v>
      </c>
      <c r="AZ24">
        <v>220</v>
      </c>
      <c r="BA24" s="1">
        <f t="shared" si="22"/>
        <v>0.97495272168585378</v>
      </c>
      <c r="BC24">
        <v>230</v>
      </c>
      <c r="BD24" s="1">
        <f t="shared" si="0"/>
        <v>5.8358037372466729</v>
      </c>
      <c r="BF24">
        <v>230</v>
      </c>
      <c r="BG24" s="1">
        <f t="shared" si="18"/>
        <v>13.536739130434782</v>
      </c>
      <c r="BI24">
        <v>230</v>
      </c>
      <c r="BJ24" s="1">
        <f t="shared" si="19"/>
        <v>20.520991596907137</v>
      </c>
      <c r="BL24">
        <v>230</v>
      </c>
      <c r="BM24" s="1">
        <f t="shared" si="20"/>
        <v>23.472707088388329</v>
      </c>
    </row>
    <row r="25" spans="2:65" x14ac:dyDescent="0.45">
      <c r="B25">
        <v>240</v>
      </c>
      <c r="C25" s="2">
        <f t="shared" si="1"/>
        <v>25.261740287364994</v>
      </c>
      <c r="D25" s="3">
        <f t="shared" si="2"/>
        <v>4.1666666666666666E-3</v>
      </c>
      <c r="E25" s="3">
        <f t="shared" si="3"/>
        <v>3.9585554622306195E-2</v>
      </c>
      <c r="G25">
        <v>240</v>
      </c>
      <c r="H25" s="1">
        <f t="shared" si="4"/>
        <v>23.971096024696699</v>
      </c>
      <c r="I25" s="1"/>
      <c r="J25">
        <v>240</v>
      </c>
      <c r="K25" s="1">
        <f t="shared" si="5"/>
        <v>22.494677626372148</v>
      </c>
      <c r="M25">
        <v>240</v>
      </c>
      <c r="N25" s="1">
        <f t="shared" si="6"/>
        <v>21.863208581330664</v>
      </c>
      <c r="P25">
        <v>240</v>
      </c>
      <c r="Q25" s="1">
        <f t="shared" si="7"/>
        <v>21.011287355605827</v>
      </c>
      <c r="S25">
        <v>240</v>
      </c>
      <c r="T25" s="1">
        <f t="shared" si="8"/>
        <v>20.386326911894063</v>
      </c>
      <c r="V25">
        <v>240</v>
      </c>
      <c r="W25" s="1">
        <f t="shared" si="9"/>
        <v>19.780703979310186</v>
      </c>
      <c r="Y25">
        <v>240</v>
      </c>
      <c r="Z25" s="1">
        <f t="shared" si="10"/>
        <v>19.665950280369337</v>
      </c>
      <c r="AB25">
        <v>240</v>
      </c>
      <c r="AC25" s="1">
        <f t="shared" si="11"/>
        <v>18.988678155892796</v>
      </c>
      <c r="AD25" s="1"/>
      <c r="AE25">
        <v>240</v>
      </c>
      <c r="AF25" s="1">
        <f t="shared" si="12"/>
        <v>18.364136010363151</v>
      </c>
      <c r="AH25">
        <v>240</v>
      </c>
      <c r="AI25" s="1">
        <f t="shared" si="13"/>
        <v>17.847697726052974</v>
      </c>
      <c r="AK25">
        <v>240</v>
      </c>
      <c r="AL25" s="1">
        <f t="shared" si="14"/>
        <v>17.694093661045439</v>
      </c>
      <c r="AN25">
        <v>240</v>
      </c>
      <c r="AO25" s="1">
        <f t="shared" si="15"/>
        <v>17.51209474213092</v>
      </c>
      <c r="AQ25">
        <v>240</v>
      </c>
      <c r="AR25" s="1">
        <f t="shared" si="16"/>
        <v>16.91581538458702</v>
      </c>
      <c r="AT25">
        <v>240</v>
      </c>
      <c r="AU25" s="1">
        <f t="shared" si="17"/>
        <v>15.602836610224955</v>
      </c>
      <c r="AW25">
        <v>230</v>
      </c>
      <c r="AX25" s="1">
        <f t="shared" si="21"/>
        <v>0.99042054096101817</v>
      </c>
      <c r="AZ25">
        <v>230</v>
      </c>
      <c r="BA25" s="1">
        <f t="shared" si="22"/>
        <v>0.93256347291690356</v>
      </c>
      <c r="BC25">
        <v>240</v>
      </c>
      <c r="BD25" s="1">
        <f t="shared" si="0"/>
        <v>5.592645248194728</v>
      </c>
      <c r="BF25">
        <v>240</v>
      </c>
      <c r="BG25" s="1">
        <f t="shared" si="18"/>
        <v>12.972708333333333</v>
      </c>
      <c r="BI25">
        <v>240</v>
      </c>
      <c r="BJ25" s="1">
        <f t="shared" si="19"/>
        <v>19.665950280369337</v>
      </c>
      <c r="BL25">
        <v>240</v>
      </c>
      <c r="BM25" s="1">
        <f t="shared" si="20"/>
        <v>22.494677626372148</v>
      </c>
    </row>
    <row r="26" spans="2:65" x14ac:dyDescent="0.45">
      <c r="B26">
        <v>250</v>
      </c>
      <c r="C26" s="2">
        <f t="shared" si="1"/>
        <v>24.251270675870394</v>
      </c>
      <c r="D26" s="3">
        <f t="shared" si="2"/>
        <v>4.0000000000000001E-3</v>
      </c>
      <c r="E26" s="3">
        <f t="shared" si="3"/>
        <v>4.1234952731568957E-2</v>
      </c>
      <c r="G26">
        <v>250</v>
      </c>
      <c r="H26" s="1">
        <f t="shared" si="4"/>
        <v>23.012252183708831</v>
      </c>
      <c r="I26" s="1"/>
      <c r="J26">
        <v>250</v>
      </c>
      <c r="K26" s="1">
        <f t="shared" si="5"/>
        <v>21.594890521317261</v>
      </c>
      <c r="M26">
        <v>250</v>
      </c>
      <c r="N26" s="1">
        <f t="shared" si="6"/>
        <v>20.988680238077439</v>
      </c>
      <c r="P26">
        <v>250</v>
      </c>
      <c r="Q26" s="1">
        <f t="shared" si="7"/>
        <v>20.170835861381594</v>
      </c>
      <c r="S26">
        <v>250</v>
      </c>
      <c r="T26" s="1">
        <f t="shared" si="8"/>
        <v>19.570873835418301</v>
      </c>
      <c r="V26">
        <v>250</v>
      </c>
      <c r="W26" s="1">
        <f t="shared" si="9"/>
        <v>18.989475820137777</v>
      </c>
      <c r="Y26">
        <v>250</v>
      </c>
      <c r="Z26" s="1">
        <f t="shared" si="10"/>
        <v>18.879312269154564</v>
      </c>
      <c r="AB26">
        <v>250</v>
      </c>
      <c r="AC26" s="1">
        <f t="shared" si="11"/>
        <v>18.229131029657086</v>
      </c>
      <c r="AD26" s="1"/>
      <c r="AE26">
        <v>250</v>
      </c>
      <c r="AF26" s="1">
        <f t="shared" si="12"/>
        <v>17.629570569948623</v>
      </c>
      <c r="AH26">
        <v>250</v>
      </c>
      <c r="AI26" s="1">
        <f t="shared" si="13"/>
        <v>17.133789817010857</v>
      </c>
      <c r="AK26">
        <v>250</v>
      </c>
      <c r="AL26" s="1">
        <f t="shared" si="14"/>
        <v>16.986329914603623</v>
      </c>
      <c r="AN26">
        <v>250</v>
      </c>
      <c r="AO26" s="1">
        <f t="shared" si="15"/>
        <v>16.811610952445683</v>
      </c>
      <c r="AQ26">
        <v>250</v>
      </c>
      <c r="AR26" s="1">
        <f t="shared" si="16"/>
        <v>16.239182769203538</v>
      </c>
      <c r="AT26">
        <v>250</v>
      </c>
      <c r="AU26" s="1">
        <f t="shared" si="17"/>
        <v>14.978723145815957</v>
      </c>
      <c r="AW26">
        <v>240</v>
      </c>
      <c r="AX26" s="1">
        <f t="shared" si="21"/>
        <v>0.94915301842097577</v>
      </c>
      <c r="AZ26">
        <v>240</v>
      </c>
      <c r="BA26" s="1">
        <f t="shared" si="22"/>
        <v>0.89370666154536593</v>
      </c>
      <c r="BC26">
        <v>250</v>
      </c>
      <c r="BD26" s="1">
        <f t="shared" si="0"/>
        <v>5.3689394382669384</v>
      </c>
      <c r="BF26">
        <v>250</v>
      </c>
      <c r="BG26" s="1">
        <f t="shared" si="18"/>
        <v>12.453799999999999</v>
      </c>
      <c r="BI26">
        <v>250</v>
      </c>
      <c r="BJ26" s="1">
        <f t="shared" si="19"/>
        <v>18.879312269154564</v>
      </c>
      <c r="BL26">
        <v>250</v>
      </c>
      <c r="BM26" s="1">
        <f t="shared" si="20"/>
        <v>21.594890521317261</v>
      </c>
    </row>
    <row r="27" spans="2:65" x14ac:dyDescent="0.45">
      <c r="B27">
        <v>260</v>
      </c>
      <c r="C27" s="2">
        <f t="shared" si="1"/>
        <v>23.318529496029225</v>
      </c>
      <c r="D27" s="3">
        <f t="shared" si="2"/>
        <v>3.8461538461538464E-3</v>
      </c>
      <c r="E27" s="3">
        <f t="shared" si="3"/>
        <v>4.2884350840831711E-2</v>
      </c>
      <c r="G27">
        <v>260</v>
      </c>
      <c r="H27" s="1">
        <f t="shared" si="4"/>
        <v>22.127165561258494</v>
      </c>
      <c r="I27" s="1"/>
      <c r="J27">
        <v>260</v>
      </c>
      <c r="K27" s="1">
        <f t="shared" si="5"/>
        <v>20.764317808958907</v>
      </c>
      <c r="M27">
        <v>260</v>
      </c>
      <c r="N27" s="1">
        <f t="shared" si="6"/>
        <v>20.18142330584369</v>
      </c>
      <c r="P27">
        <v>260</v>
      </c>
      <c r="Q27" s="1">
        <f t="shared" si="7"/>
        <v>19.395034482097685</v>
      </c>
      <c r="S27">
        <v>260</v>
      </c>
      <c r="T27" s="1">
        <f t="shared" si="8"/>
        <v>18.818147918671443</v>
      </c>
      <c r="V27">
        <v>260</v>
      </c>
      <c r="W27" s="1">
        <f t="shared" si="9"/>
        <v>18.259111365517093</v>
      </c>
      <c r="Y27">
        <v>260</v>
      </c>
      <c r="Z27" s="1">
        <f t="shared" si="10"/>
        <v>18.153184874187083</v>
      </c>
      <c r="AB27">
        <v>260</v>
      </c>
      <c r="AC27" s="1">
        <f t="shared" si="11"/>
        <v>17.528010605439505</v>
      </c>
      <c r="AD27" s="1"/>
      <c r="AE27">
        <v>260</v>
      </c>
      <c r="AF27" s="1">
        <f t="shared" si="12"/>
        <v>16.951510163412138</v>
      </c>
      <c r="AH27">
        <v>260</v>
      </c>
      <c r="AI27" s="1">
        <f t="shared" si="13"/>
        <v>16.474797900971978</v>
      </c>
      <c r="AK27">
        <v>260</v>
      </c>
      <c r="AL27" s="1">
        <f t="shared" si="14"/>
        <v>16.333009533272715</v>
      </c>
      <c r="AN27">
        <v>260</v>
      </c>
      <c r="AO27" s="1">
        <f t="shared" si="15"/>
        <v>16.165010531197773</v>
      </c>
      <c r="AQ27">
        <v>260</v>
      </c>
      <c r="AR27" s="1">
        <f t="shared" si="16"/>
        <v>15.614598816541864</v>
      </c>
      <c r="AT27">
        <v>260</v>
      </c>
      <c r="AU27" s="1">
        <f t="shared" si="17"/>
        <v>14.40261840943842</v>
      </c>
      <c r="AW27">
        <v>250</v>
      </c>
      <c r="AX27" s="1">
        <f t="shared" si="21"/>
        <v>0.91118689768413674</v>
      </c>
      <c r="AZ27">
        <v>250</v>
      </c>
      <c r="BA27" s="1">
        <f t="shared" si="22"/>
        <v>0.85795839508355132</v>
      </c>
      <c r="BC27">
        <v>260</v>
      </c>
      <c r="BD27" s="1">
        <f t="shared" si="0"/>
        <v>5.1624417675643643</v>
      </c>
      <c r="BF27">
        <v>260</v>
      </c>
      <c r="BG27" s="1">
        <f t="shared" si="18"/>
        <v>11.974807692307692</v>
      </c>
      <c r="BI27">
        <v>260</v>
      </c>
      <c r="BJ27" s="1">
        <f t="shared" si="19"/>
        <v>18.153184874187083</v>
      </c>
      <c r="BL27">
        <v>260</v>
      </c>
      <c r="BM27" s="1">
        <f t="shared" si="20"/>
        <v>20.764317808958907</v>
      </c>
    </row>
    <row r="28" spans="2:65" x14ac:dyDescent="0.45">
      <c r="B28">
        <v>270</v>
      </c>
      <c r="C28" s="2">
        <f t="shared" si="1"/>
        <v>22.454880255435551</v>
      </c>
      <c r="D28" s="3">
        <f t="shared" si="2"/>
        <v>3.7037037037037038E-3</v>
      </c>
      <c r="E28" s="3">
        <f t="shared" si="3"/>
        <v>4.4533748950094466E-2</v>
      </c>
      <c r="G28">
        <v>270</v>
      </c>
      <c r="H28" s="1">
        <f t="shared" si="4"/>
        <v>21.30764091084151</v>
      </c>
      <c r="I28" s="1"/>
      <c r="J28">
        <v>270</v>
      </c>
      <c r="K28" s="1">
        <f t="shared" si="5"/>
        <v>19.995269001219686</v>
      </c>
      <c r="M28">
        <v>270</v>
      </c>
      <c r="N28" s="1">
        <f t="shared" si="6"/>
        <v>19.433963183405037</v>
      </c>
      <c r="P28">
        <v>270</v>
      </c>
      <c r="Q28" s="1">
        <f t="shared" si="7"/>
        <v>18.676699871649625</v>
      </c>
      <c r="S28">
        <v>270</v>
      </c>
      <c r="T28" s="1">
        <f t="shared" si="8"/>
        <v>18.121179477239167</v>
      </c>
      <c r="V28">
        <v>270</v>
      </c>
      <c r="W28" s="1">
        <f t="shared" si="9"/>
        <v>17.582847981609053</v>
      </c>
      <c r="Y28">
        <v>270</v>
      </c>
      <c r="Z28" s="1">
        <f t="shared" si="10"/>
        <v>17.480844693661634</v>
      </c>
      <c r="AB28">
        <v>270</v>
      </c>
      <c r="AC28" s="1">
        <f t="shared" si="11"/>
        <v>16.878825027460262</v>
      </c>
      <c r="AD28" s="1"/>
      <c r="AE28">
        <v>270</v>
      </c>
      <c r="AF28" s="1">
        <f t="shared" si="12"/>
        <v>16.323676453656134</v>
      </c>
      <c r="AH28">
        <v>270</v>
      </c>
      <c r="AI28" s="1">
        <f t="shared" si="13"/>
        <v>15.864620200935978</v>
      </c>
      <c r="AK28">
        <v>270</v>
      </c>
      <c r="AL28" s="1">
        <f t="shared" si="14"/>
        <v>15.728083254262613</v>
      </c>
      <c r="AN28">
        <v>270</v>
      </c>
      <c r="AO28" s="1">
        <f t="shared" si="15"/>
        <v>15.566306437449708</v>
      </c>
      <c r="AQ28">
        <v>270</v>
      </c>
      <c r="AR28" s="1">
        <f t="shared" si="16"/>
        <v>15.036280341855129</v>
      </c>
      <c r="AT28">
        <v>270</v>
      </c>
      <c r="AU28" s="1">
        <f t="shared" si="17"/>
        <v>13.869188097977737</v>
      </c>
      <c r="AW28">
        <v>260</v>
      </c>
      <c r="AX28" s="1">
        <f t="shared" si="21"/>
        <v>0.87614124777320845</v>
      </c>
      <c r="AZ28">
        <v>260</v>
      </c>
      <c r="BA28" s="1">
        <f t="shared" si="22"/>
        <v>0.82495999527264552</v>
      </c>
      <c r="BC28">
        <v>270</v>
      </c>
      <c r="BD28" s="1">
        <f t="shared" si="0"/>
        <v>4.9712402206175357</v>
      </c>
      <c r="BF28">
        <v>270</v>
      </c>
      <c r="BG28" s="1">
        <f t="shared" si="18"/>
        <v>11.531296296296295</v>
      </c>
      <c r="BI28">
        <v>270</v>
      </c>
      <c r="BJ28" s="1">
        <f t="shared" si="19"/>
        <v>17.480844693661634</v>
      </c>
      <c r="BL28">
        <v>270</v>
      </c>
      <c r="BM28" s="1">
        <f t="shared" si="20"/>
        <v>19.995269001219686</v>
      </c>
    </row>
    <row r="29" spans="2:65" x14ac:dyDescent="0.45">
      <c r="B29">
        <v>280</v>
      </c>
      <c r="C29" s="2">
        <f t="shared" si="1"/>
        <v>21.652920246312853</v>
      </c>
      <c r="D29" s="3">
        <f t="shared" si="2"/>
        <v>3.5714285714285713E-3</v>
      </c>
      <c r="E29" s="3">
        <f t="shared" si="3"/>
        <v>4.6183147059357235E-2</v>
      </c>
      <c r="G29">
        <v>280</v>
      </c>
      <c r="H29" s="1">
        <f t="shared" si="4"/>
        <v>20.546653735454314</v>
      </c>
      <c r="I29" s="1"/>
      <c r="J29">
        <v>280</v>
      </c>
      <c r="K29" s="1">
        <f t="shared" si="5"/>
        <v>19.281152251176128</v>
      </c>
      <c r="M29">
        <v>280</v>
      </c>
      <c r="N29" s="1">
        <f t="shared" si="6"/>
        <v>18.739893069712</v>
      </c>
      <c r="P29">
        <v>280</v>
      </c>
      <c r="Q29" s="1">
        <f t="shared" si="7"/>
        <v>18.009674876233568</v>
      </c>
      <c r="S29">
        <v>280</v>
      </c>
      <c r="T29" s="1">
        <f t="shared" si="8"/>
        <v>17.473994495909196</v>
      </c>
      <c r="V29">
        <v>280</v>
      </c>
      <c r="W29" s="1">
        <f t="shared" si="9"/>
        <v>16.954889125123014</v>
      </c>
      <c r="Y29">
        <v>280</v>
      </c>
      <c r="Z29" s="1">
        <f t="shared" si="10"/>
        <v>16.856528811745147</v>
      </c>
      <c r="AB29">
        <v>280</v>
      </c>
      <c r="AC29" s="1">
        <f t="shared" si="11"/>
        <v>16.27600984790811</v>
      </c>
      <c r="AD29" s="1"/>
      <c r="AE29">
        <v>280</v>
      </c>
      <c r="AF29" s="1">
        <f t="shared" si="12"/>
        <v>15.740688008882699</v>
      </c>
      <c r="AH29">
        <v>280</v>
      </c>
      <c r="AI29" s="1">
        <f t="shared" si="13"/>
        <v>15.298026622331122</v>
      </c>
      <c r="AK29">
        <v>280</v>
      </c>
      <c r="AL29" s="1">
        <f t="shared" si="14"/>
        <v>15.166365995181806</v>
      </c>
      <c r="AN29">
        <v>280</v>
      </c>
      <c r="AO29" s="1">
        <f t="shared" si="15"/>
        <v>15.010366921826504</v>
      </c>
      <c r="AQ29">
        <v>280</v>
      </c>
      <c r="AR29" s="1">
        <f t="shared" si="16"/>
        <v>14.499270329646016</v>
      </c>
      <c r="AT29">
        <v>280</v>
      </c>
      <c r="AU29" s="1">
        <f t="shared" si="17"/>
        <v>13.373859951621389</v>
      </c>
      <c r="AW29">
        <v>270</v>
      </c>
      <c r="AX29" s="1">
        <f t="shared" si="21"/>
        <v>0.84369157192975619</v>
      </c>
      <c r="AZ29">
        <v>270</v>
      </c>
      <c r="BA29" s="1">
        <f t="shared" si="22"/>
        <v>0.79440592137365862</v>
      </c>
      <c r="BC29">
        <v>280</v>
      </c>
      <c r="BD29" s="1">
        <f t="shared" si="0"/>
        <v>4.7936959270240527</v>
      </c>
      <c r="BF29">
        <v>280</v>
      </c>
      <c r="BG29" s="1">
        <f t="shared" si="18"/>
        <v>11.119464285714285</v>
      </c>
      <c r="BI29">
        <v>280</v>
      </c>
      <c r="BJ29" s="1">
        <f t="shared" si="19"/>
        <v>16.856528811745147</v>
      </c>
      <c r="BL29">
        <v>280</v>
      </c>
      <c r="BM29" s="1">
        <f t="shared" si="20"/>
        <v>19.281152251176128</v>
      </c>
    </row>
    <row r="30" spans="2:65" x14ac:dyDescent="0.45">
      <c r="B30">
        <v>290</v>
      </c>
      <c r="C30" s="2">
        <f t="shared" si="1"/>
        <v>20.906267824026202</v>
      </c>
      <c r="D30" s="3">
        <f t="shared" si="2"/>
        <v>3.4482758620689655E-3</v>
      </c>
      <c r="E30" s="3">
        <f t="shared" si="3"/>
        <v>4.783254516861999E-2</v>
      </c>
      <c r="G30">
        <v>290</v>
      </c>
      <c r="H30" s="1">
        <f t="shared" si="4"/>
        <v>19.838148434231751</v>
      </c>
      <c r="I30" s="1"/>
      <c r="J30">
        <v>290</v>
      </c>
      <c r="K30" s="1">
        <f t="shared" si="5"/>
        <v>18.616284932170053</v>
      </c>
      <c r="M30">
        <v>290</v>
      </c>
      <c r="N30" s="1">
        <f t="shared" si="6"/>
        <v>18.093689860411587</v>
      </c>
      <c r="P30">
        <v>290</v>
      </c>
      <c r="Q30" s="1">
        <f t="shared" si="7"/>
        <v>17.388651604639307</v>
      </c>
      <c r="S30">
        <v>290</v>
      </c>
      <c r="T30" s="1">
        <f t="shared" si="8"/>
        <v>16.871442961567499</v>
      </c>
      <c r="V30">
        <v>290</v>
      </c>
      <c r="W30" s="1">
        <f t="shared" si="9"/>
        <v>16.370237775980844</v>
      </c>
      <c r="Y30">
        <v>290</v>
      </c>
      <c r="Z30" s="1">
        <f t="shared" si="10"/>
        <v>16.27526919754704</v>
      </c>
      <c r="AB30">
        <v>290</v>
      </c>
      <c r="AC30" s="1">
        <f t="shared" si="11"/>
        <v>15.714768129014729</v>
      </c>
      <c r="AD30" s="1"/>
      <c r="AE30">
        <v>290</v>
      </c>
      <c r="AF30" s="1">
        <f t="shared" si="12"/>
        <v>15.197905663748815</v>
      </c>
      <c r="AH30">
        <v>290</v>
      </c>
      <c r="AI30" s="1">
        <f t="shared" si="13"/>
        <v>14.770508462940393</v>
      </c>
      <c r="AK30">
        <v>290</v>
      </c>
      <c r="AL30" s="1">
        <f t="shared" si="14"/>
        <v>14.643387857416917</v>
      </c>
      <c r="AN30">
        <v>290</v>
      </c>
      <c r="AO30" s="1">
        <f t="shared" si="15"/>
        <v>14.492768062453177</v>
      </c>
      <c r="AQ30">
        <v>290</v>
      </c>
      <c r="AR30" s="1">
        <f t="shared" si="16"/>
        <v>13.999295490692706</v>
      </c>
      <c r="AT30">
        <v>290</v>
      </c>
      <c r="AU30" s="1">
        <f t="shared" si="17"/>
        <v>12.912692367082721</v>
      </c>
      <c r="AW30">
        <v>280</v>
      </c>
      <c r="AX30" s="1">
        <f t="shared" si="21"/>
        <v>0.81355973007512206</v>
      </c>
      <c r="AZ30">
        <v>280</v>
      </c>
      <c r="BA30" s="1">
        <f t="shared" si="22"/>
        <v>0.76603428132459939</v>
      </c>
      <c r="BC30">
        <v>290</v>
      </c>
      <c r="BD30" s="1">
        <f t="shared" si="0"/>
        <v>4.628396067471499</v>
      </c>
      <c r="BF30">
        <v>290</v>
      </c>
      <c r="BG30" s="1">
        <f t="shared" si="18"/>
        <v>10.736034482758621</v>
      </c>
      <c r="BI30">
        <v>290</v>
      </c>
      <c r="BJ30" s="1">
        <f t="shared" si="19"/>
        <v>16.27526919754704</v>
      </c>
      <c r="BL30">
        <v>290</v>
      </c>
      <c r="BM30" s="1">
        <f t="shared" si="20"/>
        <v>18.616284932170053</v>
      </c>
    </row>
    <row r="31" spans="2:65" x14ac:dyDescent="0.45">
      <c r="B31">
        <v>300</v>
      </c>
      <c r="C31" s="2">
        <f t="shared" si="1"/>
        <v>20.209392229891993</v>
      </c>
      <c r="D31" s="3">
        <f t="shared" si="2"/>
        <v>3.3333333333333335E-3</v>
      </c>
      <c r="E31" s="3">
        <f t="shared" si="3"/>
        <v>4.9481943277882745E-2</v>
      </c>
      <c r="G31">
        <v>300</v>
      </c>
      <c r="H31" s="1">
        <f t="shared" si="4"/>
        <v>19.176876819757361</v>
      </c>
      <c r="I31" s="1"/>
      <c r="J31">
        <v>300</v>
      </c>
      <c r="K31" s="1">
        <f t="shared" si="5"/>
        <v>17.995742101097719</v>
      </c>
      <c r="M31">
        <v>300</v>
      </c>
      <c r="N31" s="1">
        <f t="shared" si="6"/>
        <v>17.490566865064533</v>
      </c>
      <c r="P31">
        <v>300</v>
      </c>
      <c r="Q31" s="1">
        <f t="shared" si="7"/>
        <v>16.809029884484662</v>
      </c>
      <c r="S31">
        <v>300</v>
      </c>
      <c r="T31" s="1">
        <f t="shared" si="8"/>
        <v>16.309061529515251</v>
      </c>
      <c r="V31">
        <v>300</v>
      </c>
      <c r="W31" s="1">
        <f t="shared" si="9"/>
        <v>15.824563183448147</v>
      </c>
      <c r="Y31">
        <v>300</v>
      </c>
      <c r="Z31" s="1">
        <f t="shared" si="10"/>
        <v>15.73276022429547</v>
      </c>
      <c r="AB31">
        <v>300</v>
      </c>
      <c r="AC31" s="1">
        <f t="shared" si="11"/>
        <v>15.190942524714238</v>
      </c>
      <c r="AD31" s="1"/>
      <c r="AE31">
        <v>300</v>
      </c>
      <c r="AF31" s="1">
        <f t="shared" si="12"/>
        <v>14.69130880829052</v>
      </c>
      <c r="AH31">
        <v>300</v>
      </c>
      <c r="AI31" s="1">
        <f t="shared" si="13"/>
        <v>14.278158180842381</v>
      </c>
      <c r="AK31">
        <v>300</v>
      </c>
      <c r="AL31" s="1">
        <f t="shared" si="14"/>
        <v>14.155274928836352</v>
      </c>
      <c r="AN31">
        <v>300</v>
      </c>
      <c r="AO31" s="1">
        <f t="shared" si="15"/>
        <v>14.009675793704737</v>
      </c>
      <c r="AQ31">
        <v>300</v>
      </c>
      <c r="AR31" s="1">
        <f t="shared" si="16"/>
        <v>13.532652307669615</v>
      </c>
      <c r="AT31">
        <v>300</v>
      </c>
      <c r="AU31" s="1">
        <f t="shared" si="17"/>
        <v>12.482269288179964</v>
      </c>
      <c r="AW31">
        <v>290</v>
      </c>
      <c r="AX31" s="1">
        <f t="shared" si="21"/>
        <v>0.78550594627942827</v>
      </c>
      <c r="AZ31">
        <v>290</v>
      </c>
      <c r="BA31" s="1">
        <f t="shared" si="22"/>
        <v>0.73961930610650972</v>
      </c>
      <c r="BC31">
        <v>300</v>
      </c>
      <c r="BD31" s="1">
        <f t="shared" si="0"/>
        <v>4.474116198555782</v>
      </c>
      <c r="BF31">
        <v>300</v>
      </c>
      <c r="BG31" s="1">
        <f t="shared" si="18"/>
        <v>10.378166666666665</v>
      </c>
      <c r="BI31">
        <v>300</v>
      </c>
      <c r="BJ31" s="1">
        <f t="shared" si="19"/>
        <v>15.73276022429547</v>
      </c>
      <c r="BL31">
        <v>300</v>
      </c>
      <c r="BM31" s="1">
        <f t="shared" si="20"/>
        <v>17.995742101097719</v>
      </c>
    </row>
    <row r="32" spans="2:65" x14ac:dyDescent="0.45">
      <c r="B32">
        <v>310</v>
      </c>
      <c r="C32" s="2">
        <f t="shared" si="1"/>
        <v>19.557476351508381</v>
      </c>
      <c r="D32" s="3">
        <f t="shared" si="2"/>
        <v>3.2258064516129032E-3</v>
      </c>
      <c r="E32" s="3">
        <f t="shared" si="3"/>
        <v>5.1131341387145507E-2</v>
      </c>
      <c r="G32">
        <v>310</v>
      </c>
      <c r="H32" s="1">
        <f t="shared" si="4"/>
        <v>18.558267890087766</v>
      </c>
      <c r="I32" s="1"/>
      <c r="J32">
        <v>310</v>
      </c>
      <c r="K32" s="1">
        <f t="shared" si="5"/>
        <v>17.415234291384888</v>
      </c>
      <c r="M32">
        <v>310</v>
      </c>
      <c r="N32" s="1">
        <f t="shared" si="6"/>
        <v>16.926355030707612</v>
      </c>
      <c r="P32">
        <v>310</v>
      </c>
      <c r="Q32" s="1">
        <f t="shared" si="7"/>
        <v>16.266803114017414</v>
      </c>
      <c r="S32">
        <v>310</v>
      </c>
      <c r="T32" s="1">
        <f t="shared" si="8"/>
        <v>15.78296277049863</v>
      </c>
      <c r="V32">
        <v>310</v>
      </c>
      <c r="W32" s="1">
        <f t="shared" si="9"/>
        <v>15.314093403336917</v>
      </c>
      <c r="Y32">
        <v>310</v>
      </c>
      <c r="Z32" s="1">
        <f t="shared" si="10"/>
        <v>15.225251829963359</v>
      </c>
      <c r="AB32">
        <v>310</v>
      </c>
      <c r="AC32" s="1">
        <f t="shared" si="11"/>
        <v>14.700912120691198</v>
      </c>
      <c r="AD32" s="1"/>
      <c r="AE32">
        <v>310</v>
      </c>
      <c r="AF32" s="1">
        <f t="shared" si="12"/>
        <v>14.217395620926309</v>
      </c>
      <c r="AH32">
        <v>310</v>
      </c>
      <c r="AI32" s="1">
        <f t="shared" si="13"/>
        <v>13.817572433073272</v>
      </c>
      <c r="AK32">
        <v>310</v>
      </c>
      <c r="AL32" s="1">
        <f t="shared" si="14"/>
        <v>13.698653156938406</v>
      </c>
      <c r="AN32">
        <v>310</v>
      </c>
      <c r="AO32" s="1">
        <f t="shared" si="15"/>
        <v>13.557750768101359</v>
      </c>
      <c r="AQ32">
        <v>310</v>
      </c>
      <c r="AR32" s="1">
        <f t="shared" si="16"/>
        <v>13.096115136454467</v>
      </c>
      <c r="AT32">
        <v>310</v>
      </c>
      <c r="AU32" s="1">
        <f t="shared" si="17"/>
        <v>12.079615440174159</v>
      </c>
      <c r="AW32">
        <v>300</v>
      </c>
      <c r="AX32" s="1">
        <f t="shared" si="21"/>
        <v>0.75932241473678064</v>
      </c>
      <c r="AZ32">
        <v>300</v>
      </c>
      <c r="BA32" s="1">
        <f t="shared" si="22"/>
        <v>0.71496532923629275</v>
      </c>
      <c r="BC32">
        <v>310</v>
      </c>
      <c r="BD32" s="1">
        <f t="shared" si="0"/>
        <v>4.3297898695701118</v>
      </c>
      <c r="BF32">
        <v>310</v>
      </c>
      <c r="BG32" s="1">
        <f t="shared" si="18"/>
        <v>10.043387096774193</v>
      </c>
      <c r="BI32">
        <v>310</v>
      </c>
      <c r="BJ32" s="1">
        <f t="shared" si="19"/>
        <v>15.225251829963359</v>
      </c>
      <c r="BL32">
        <v>310</v>
      </c>
      <c r="BM32" s="1">
        <f t="shared" si="20"/>
        <v>17.415234291384888</v>
      </c>
    </row>
    <row r="33" spans="2:65" x14ac:dyDescent="0.45">
      <c r="B33">
        <v>320</v>
      </c>
      <c r="C33" s="2">
        <f t="shared" si="1"/>
        <v>18.946305215523743</v>
      </c>
      <c r="D33" s="3">
        <f t="shared" si="2"/>
        <v>3.1250000000000002E-3</v>
      </c>
      <c r="E33" s="3">
        <f t="shared" si="3"/>
        <v>5.2780739496408255E-2</v>
      </c>
      <c r="G33">
        <v>320</v>
      </c>
      <c r="H33" s="1">
        <f t="shared" si="4"/>
        <v>17.978322018522526</v>
      </c>
      <c r="I33" s="1"/>
      <c r="J33">
        <v>320</v>
      </c>
      <c r="K33" s="1">
        <f t="shared" si="5"/>
        <v>16.87100821977911</v>
      </c>
      <c r="M33">
        <v>320</v>
      </c>
      <c r="N33" s="1">
        <f t="shared" si="6"/>
        <v>16.397406435998001</v>
      </c>
      <c r="P33">
        <v>320</v>
      </c>
      <c r="Q33" s="1">
        <f t="shared" si="7"/>
        <v>15.758465516704371</v>
      </c>
      <c r="S33">
        <v>320</v>
      </c>
      <c r="T33" s="1">
        <f t="shared" si="8"/>
        <v>15.289745183920548</v>
      </c>
      <c r="V33">
        <v>320</v>
      </c>
      <c r="W33" s="1">
        <f t="shared" si="9"/>
        <v>14.835527984482638</v>
      </c>
      <c r="Y33">
        <v>320</v>
      </c>
      <c r="Z33" s="1">
        <f t="shared" si="10"/>
        <v>14.749462710277005</v>
      </c>
      <c r="AB33">
        <v>320</v>
      </c>
      <c r="AC33" s="1">
        <f t="shared" si="11"/>
        <v>14.241508616919598</v>
      </c>
      <c r="AD33" s="1"/>
      <c r="AE33">
        <v>320</v>
      </c>
      <c r="AF33" s="1">
        <f t="shared" si="12"/>
        <v>13.773102007772362</v>
      </c>
      <c r="AH33">
        <v>320</v>
      </c>
      <c r="AI33" s="1">
        <f t="shared" si="13"/>
        <v>13.385773294539732</v>
      </c>
      <c r="AK33">
        <v>320</v>
      </c>
      <c r="AL33" s="1">
        <f t="shared" si="14"/>
        <v>13.27057024578408</v>
      </c>
      <c r="AN33">
        <v>320</v>
      </c>
      <c r="AO33" s="1">
        <f t="shared" si="15"/>
        <v>13.134071056598192</v>
      </c>
      <c r="AQ33">
        <v>320</v>
      </c>
      <c r="AR33" s="1">
        <f t="shared" si="16"/>
        <v>12.686861538440265</v>
      </c>
      <c r="AT33">
        <v>320</v>
      </c>
      <c r="AU33" s="1">
        <f t="shared" si="17"/>
        <v>11.702127457668716</v>
      </c>
      <c r="AW33">
        <v>310</v>
      </c>
      <c r="AX33" s="1">
        <f t="shared" si="21"/>
        <v>0.73482814329365864</v>
      </c>
      <c r="AZ33">
        <v>310</v>
      </c>
      <c r="BA33" s="1">
        <f t="shared" si="22"/>
        <v>0.69190193151899293</v>
      </c>
      <c r="BC33">
        <v>320</v>
      </c>
      <c r="BD33" s="1">
        <f t="shared" si="0"/>
        <v>4.194483936146046</v>
      </c>
      <c r="BF33">
        <v>320</v>
      </c>
      <c r="BG33" s="1">
        <f t="shared" si="18"/>
        <v>9.7295312499999991</v>
      </c>
      <c r="BI33">
        <v>320</v>
      </c>
      <c r="BJ33" s="1">
        <f t="shared" si="19"/>
        <v>14.749462710277005</v>
      </c>
      <c r="BL33">
        <v>320</v>
      </c>
      <c r="BM33" s="1">
        <f t="shared" si="20"/>
        <v>16.87100821977911</v>
      </c>
    </row>
    <row r="34" spans="2:65" x14ac:dyDescent="0.45">
      <c r="B34">
        <v>330</v>
      </c>
      <c r="C34" s="2">
        <f t="shared" si="1"/>
        <v>18.372174754447268</v>
      </c>
      <c r="D34" s="3">
        <f t="shared" si="2"/>
        <v>3.0303030303030303E-3</v>
      </c>
      <c r="E34" s="3">
        <f t="shared" si="3"/>
        <v>5.4430137605671017E-2</v>
      </c>
      <c r="G34">
        <v>330</v>
      </c>
      <c r="H34" s="1">
        <f t="shared" si="4"/>
        <v>17.4335243815976</v>
      </c>
      <c r="I34" s="1"/>
      <c r="J34">
        <v>330</v>
      </c>
      <c r="K34" s="1">
        <f t="shared" si="5"/>
        <v>16.359765546452472</v>
      </c>
      <c r="M34">
        <v>330</v>
      </c>
      <c r="N34" s="1">
        <f t="shared" si="6"/>
        <v>15.900515331876848</v>
      </c>
      <c r="P34">
        <v>330</v>
      </c>
      <c r="Q34" s="1">
        <f t="shared" si="7"/>
        <v>15.28093625862242</v>
      </c>
      <c r="S34">
        <v>330</v>
      </c>
      <c r="T34" s="1">
        <f t="shared" si="8"/>
        <v>14.826419572286591</v>
      </c>
      <c r="V34">
        <v>330</v>
      </c>
      <c r="W34" s="1">
        <f t="shared" si="9"/>
        <v>14.385966530407407</v>
      </c>
      <c r="Y34">
        <v>330</v>
      </c>
      <c r="Z34" s="1">
        <f t="shared" si="10"/>
        <v>14.302509294814064</v>
      </c>
      <c r="AB34">
        <v>330</v>
      </c>
      <c r="AC34" s="1">
        <f t="shared" si="11"/>
        <v>13.809947749740216</v>
      </c>
      <c r="AD34" s="1"/>
      <c r="AE34">
        <v>330</v>
      </c>
      <c r="AF34" s="1">
        <f t="shared" si="12"/>
        <v>13.35573528026411</v>
      </c>
      <c r="AH34">
        <v>330</v>
      </c>
      <c r="AI34" s="1">
        <f t="shared" si="13"/>
        <v>12.9801438007658</v>
      </c>
      <c r="AK34">
        <v>330</v>
      </c>
      <c r="AL34" s="1">
        <f t="shared" si="14"/>
        <v>12.868431753487593</v>
      </c>
      <c r="AN34">
        <v>330</v>
      </c>
      <c r="AO34" s="1">
        <f t="shared" si="15"/>
        <v>12.736068903367942</v>
      </c>
      <c r="AQ34">
        <v>330</v>
      </c>
      <c r="AR34" s="1">
        <f t="shared" si="16"/>
        <v>12.302411188790559</v>
      </c>
      <c r="AT34">
        <v>330</v>
      </c>
      <c r="AU34" s="1">
        <f t="shared" si="17"/>
        <v>11.347517534709057</v>
      </c>
      <c r="AW34">
        <v>320</v>
      </c>
      <c r="AX34" s="1">
        <f t="shared" si="21"/>
        <v>0.71186476381573183</v>
      </c>
      <c r="AZ34">
        <v>320</v>
      </c>
      <c r="BA34" s="1">
        <f t="shared" si="22"/>
        <v>0.67027999615902445</v>
      </c>
      <c r="BC34">
        <v>330</v>
      </c>
      <c r="BD34" s="1">
        <f t="shared" ref="BD34:BD65" si="23">$BB$2/BC34</f>
        <v>4.0673783623234385</v>
      </c>
      <c r="BF34">
        <v>330</v>
      </c>
      <c r="BG34" s="1">
        <f t="shared" si="18"/>
        <v>9.4346969696969687</v>
      </c>
      <c r="BI34">
        <v>330</v>
      </c>
      <c r="BJ34" s="1">
        <f t="shared" si="19"/>
        <v>14.302509294814064</v>
      </c>
      <c r="BL34">
        <v>330</v>
      </c>
      <c r="BM34" s="1">
        <f t="shared" si="20"/>
        <v>16.359765546452472</v>
      </c>
    </row>
    <row r="35" spans="2:65" x14ac:dyDescent="0.45">
      <c r="B35">
        <v>340</v>
      </c>
      <c r="C35" s="2">
        <f t="shared" si="1"/>
        <v>17.831816673434112</v>
      </c>
      <c r="D35" s="3">
        <f t="shared" si="2"/>
        <v>2.9411764705882353E-3</v>
      </c>
      <c r="E35" s="3">
        <f t="shared" si="3"/>
        <v>5.6079535714933786E-2</v>
      </c>
      <c r="G35">
        <v>340</v>
      </c>
      <c r="H35" s="1">
        <f t="shared" si="4"/>
        <v>16.920773664491787</v>
      </c>
      <c r="I35" s="1"/>
      <c r="J35">
        <v>340</v>
      </c>
      <c r="K35" s="1">
        <f t="shared" si="5"/>
        <v>15.878595971556811</v>
      </c>
      <c r="M35">
        <v>340</v>
      </c>
      <c r="N35" s="1">
        <f t="shared" si="6"/>
        <v>15.43285311623341</v>
      </c>
      <c r="P35">
        <v>340</v>
      </c>
      <c r="Q35" s="1">
        <f t="shared" si="7"/>
        <v>14.831496956898231</v>
      </c>
      <c r="S35">
        <v>340</v>
      </c>
      <c r="T35" s="1">
        <f t="shared" si="8"/>
        <v>14.390348408395809</v>
      </c>
      <c r="V35">
        <v>340</v>
      </c>
      <c r="W35" s="1">
        <f t="shared" si="9"/>
        <v>13.962849867748366</v>
      </c>
      <c r="Y35">
        <v>340</v>
      </c>
      <c r="Z35" s="1">
        <f t="shared" si="10"/>
        <v>13.881847256731298</v>
      </c>
      <c r="AB35">
        <v>340</v>
      </c>
      <c r="AC35" s="1">
        <f t="shared" si="11"/>
        <v>13.403772815924327</v>
      </c>
      <c r="AD35" s="1"/>
      <c r="AE35">
        <v>340</v>
      </c>
      <c r="AF35" s="1">
        <f t="shared" si="12"/>
        <v>12.962919536726929</v>
      </c>
      <c r="AH35">
        <v>340</v>
      </c>
      <c r="AI35" s="1">
        <f t="shared" si="13"/>
        <v>12.598374865449159</v>
      </c>
      <c r="AK35">
        <v>340</v>
      </c>
      <c r="AL35" s="1">
        <f t="shared" si="14"/>
        <v>12.48994846662031</v>
      </c>
      <c r="AN35">
        <v>340</v>
      </c>
      <c r="AO35" s="1">
        <f t="shared" si="15"/>
        <v>12.36147864150418</v>
      </c>
      <c r="AQ35">
        <v>340</v>
      </c>
      <c r="AR35" s="1">
        <f t="shared" si="16"/>
        <v>11.940575565590837</v>
      </c>
      <c r="AT35">
        <v>340</v>
      </c>
      <c r="AU35" s="1">
        <f t="shared" si="17"/>
        <v>11.013767018982321</v>
      </c>
      <c r="AW35">
        <v>330</v>
      </c>
      <c r="AX35" s="1">
        <f t="shared" si="21"/>
        <v>0.6902931043061642</v>
      </c>
      <c r="AZ35">
        <v>330</v>
      </c>
      <c r="BA35" s="1">
        <f t="shared" si="22"/>
        <v>0.64996848112390249</v>
      </c>
      <c r="BC35">
        <v>340</v>
      </c>
      <c r="BD35" s="1">
        <f t="shared" si="23"/>
        <v>3.9477495869609847</v>
      </c>
      <c r="BF35">
        <v>340</v>
      </c>
      <c r="BG35" s="1">
        <f t="shared" si="18"/>
        <v>9.1572058823529403</v>
      </c>
      <c r="BI35">
        <v>340</v>
      </c>
      <c r="BJ35" s="1">
        <f t="shared" si="19"/>
        <v>13.881847256731298</v>
      </c>
      <c r="BL35">
        <v>340</v>
      </c>
      <c r="BM35" s="1">
        <f t="shared" si="20"/>
        <v>15.878595971556811</v>
      </c>
    </row>
    <row r="36" spans="2:65" x14ac:dyDescent="0.45">
      <c r="B36">
        <v>350</v>
      </c>
      <c r="C36" s="2">
        <f t="shared" si="1"/>
        <v>17.32233619705028</v>
      </c>
      <c r="D36" s="3">
        <f t="shared" si="2"/>
        <v>2.8571428571428571E-3</v>
      </c>
      <c r="E36" s="3">
        <f t="shared" si="3"/>
        <v>5.7728933824196541E-2</v>
      </c>
      <c r="G36">
        <v>350</v>
      </c>
      <c r="H36" s="1">
        <f t="shared" si="4"/>
        <v>16.437322988363452</v>
      </c>
      <c r="I36" s="1"/>
      <c r="J36">
        <v>350</v>
      </c>
      <c r="K36" s="1">
        <f t="shared" si="5"/>
        <v>15.424921800940901</v>
      </c>
      <c r="M36">
        <v>350</v>
      </c>
      <c r="N36" s="1">
        <f t="shared" si="6"/>
        <v>14.991914455769599</v>
      </c>
      <c r="P36">
        <v>350</v>
      </c>
      <c r="Q36" s="1">
        <f t="shared" si="7"/>
        <v>14.407739900986853</v>
      </c>
      <c r="S36">
        <v>350</v>
      </c>
      <c r="T36" s="1">
        <f t="shared" si="8"/>
        <v>13.979195596727358</v>
      </c>
      <c r="V36">
        <v>350</v>
      </c>
      <c r="W36" s="1">
        <f t="shared" si="9"/>
        <v>13.563911300098413</v>
      </c>
      <c r="Y36">
        <v>350</v>
      </c>
      <c r="Z36" s="1">
        <f t="shared" si="10"/>
        <v>13.485223049396119</v>
      </c>
      <c r="AB36">
        <v>350</v>
      </c>
      <c r="AC36" s="1">
        <f t="shared" si="11"/>
        <v>13.020807878326488</v>
      </c>
      <c r="AD36" s="1"/>
      <c r="AE36">
        <v>350</v>
      </c>
      <c r="AF36" s="1">
        <f t="shared" si="12"/>
        <v>12.59255040710616</v>
      </c>
      <c r="AH36">
        <v>350</v>
      </c>
      <c r="AI36" s="1">
        <f t="shared" si="13"/>
        <v>12.238421297864898</v>
      </c>
      <c r="AK36">
        <v>350</v>
      </c>
      <c r="AL36" s="1">
        <f t="shared" si="14"/>
        <v>12.133092796145444</v>
      </c>
      <c r="AN36">
        <v>350</v>
      </c>
      <c r="AO36" s="1">
        <f t="shared" si="15"/>
        <v>12.008293537461203</v>
      </c>
      <c r="AQ36">
        <v>350</v>
      </c>
      <c r="AR36" s="1">
        <f t="shared" si="16"/>
        <v>11.599416263716813</v>
      </c>
      <c r="AT36">
        <v>350</v>
      </c>
      <c r="AU36" s="1">
        <f t="shared" si="17"/>
        <v>10.699087961297112</v>
      </c>
      <c r="AW36">
        <v>340</v>
      </c>
      <c r="AX36" s="1">
        <f t="shared" si="21"/>
        <v>0.66999036594421824</v>
      </c>
      <c r="AZ36">
        <v>340</v>
      </c>
      <c r="BA36" s="1">
        <f t="shared" si="22"/>
        <v>0.63085176109084651</v>
      </c>
      <c r="BC36">
        <v>350</v>
      </c>
      <c r="BD36" s="1">
        <f t="shared" si="23"/>
        <v>3.834956741619242</v>
      </c>
      <c r="BF36">
        <v>350</v>
      </c>
      <c r="BG36" s="1">
        <f t="shared" si="18"/>
        <v>8.8955714285714276</v>
      </c>
      <c r="BI36">
        <v>350</v>
      </c>
      <c r="BJ36" s="1">
        <f t="shared" si="19"/>
        <v>13.485223049396119</v>
      </c>
      <c r="BL36">
        <v>350</v>
      </c>
      <c r="BM36" s="1">
        <f t="shared" si="20"/>
        <v>15.424921800940901</v>
      </c>
    </row>
    <row r="37" spans="2:65" x14ac:dyDescent="0.45">
      <c r="B37">
        <v>360</v>
      </c>
      <c r="C37" s="2">
        <f t="shared" si="1"/>
        <v>16.841160191576662</v>
      </c>
      <c r="D37" s="3">
        <f t="shared" si="2"/>
        <v>2.7777777777777779E-3</v>
      </c>
      <c r="E37" s="3">
        <f t="shared" si="3"/>
        <v>5.9378331933459295E-2</v>
      </c>
      <c r="G37">
        <v>360</v>
      </c>
      <c r="H37" s="1">
        <f t="shared" si="4"/>
        <v>15.980730683131133</v>
      </c>
      <c r="I37" s="1"/>
      <c r="J37">
        <v>360</v>
      </c>
      <c r="K37" s="1">
        <f t="shared" si="5"/>
        <v>14.996451750914765</v>
      </c>
      <c r="M37">
        <v>360</v>
      </c>
      <c r="N37" s="1">
        <f t="shared" si="6"/>
        <v>14.575472387553777</v>
      </c>
      <c r="P37">
        <v>360</v>
      </c>
      <c r="Q37" s="1">
        <f t="shared" si="7"/>
        <v>14.007524903737218</v>
      </c>
      <c r="S37">
        <v>360</v>
      </c>
      <c r="T37" s="1">
        <f t="shared" si="8"/>
        <v>13.590884607929375</v>
      </c>
      <c r="V37">
        <v>360</v>
      </c>
      <c r="W37" s="1">
        <f t="shared" si="9"/>
        <v>13.187135986206791</v>
      </c>
      <c r="Y37">
        <v>360</v>
      </c>
      <c r="Z37" s="1">
        <f t="shared" si="10"/>
        <v>13.110633520246227</v>
      </c>
      <c r="AB37">
        <v>360</v>
      </c>
      <c r="AC37" s="1">
        <f t="shared" si="11"/>
        <v>12.659118770595198</v>
      </c>
      <c r="AD37" s="1"/>
      <c r="AE37">
        <v>360</v>
      </c>
      <c r="AF37" s="1">
        <f t="shared" si="12"/>
        <v>12.2427573402421</v>
      </c>
      <c r="AH37">
        <v>360</v>
      </c>
      <c r="AI37" s="1">
        <f t="shared" si="13"/>
        <v>11.898465150701984</v>
      </c>
      <c r="AK37">
        <v>360</v>
      </c>
      <c r="AL37" s="1">
        <f t="shared" si="14"/>
        <v>11.796062440696961</v>
      </c>
      <c r="AN37">
        <v>360</v>
      </c>
      <c r="AO37" s="1">
        <f t="shared" si="15"/>
        <v>11.674729828087282</v>
      </c>
      <c r="AQ37">
        <v>360</v>
      </c>
      <c r="AR37" s="1">
        <f t="shared" si="16"/>
        <v>11.277210256391346</v>
      </c>
      <c r="AT37">
        <v>360</v>
      </c>
      <c r="AU37" s="1">
        <f t="shared" si="17"/>
        <v>10.401891073483304</v>
      </c>
      <c r="AW37">
        <v>350</v>
      </c>
      <c r="AX37" s="1">
        <f t="shared" si="21"/>
        <v>0.65084778406009769</v>
      </c>
      <c r="AZ37">
        <v>350</v>
      </c>
      <c r="BA37" s="1">
        <f t="shared" si="22"/>
        <v>0.61282742505967946</v>
      </c>
      <c r="BC37">
        <v>360</v>
      </c>
      <c r="BD37" s="1">
        <f t="shared" si="23"/>
        <v>3.728430165463152</v>
      </c>
      <c r="BF37">
        <v>360</v>
      </c>
      <c r="BG37" s="1">
        <f t="shared" si="18"/>
        <v>8.648472222222221</v>
      </c>
      <c r="BI37">
        <v>360</v>
      </c>
      <c r="BJ37" s="1">
        <f t="shared" si="19"/>
        <v>13.110633520246227</v>
      </c>
      <c r="BL37">
        <v>360</v>
      </c>
      <c r="BM37" s="1">
        <f t="shared" si="20"/>
        <v>14.996451750914765</v>
      </c>
    </row>
    <row r="38" spans="2:65" x14ac:dyDescent="0.45">
      <c r="B38">
        <v>370</v>
      </c>
      <c r="C38" s="2">
        <f t="shared" si="1"/>
        <v>16.385993699912429</v>
      </c>
      <c r="D38" s="3">
        <f t="shared" si="2"/>
        <v>2.7027027027027029E-3</v>
      </c>
      <c r="E38" s="3">
        <f t="shared" si="3"/>
        <v>6.102773004272205E-2</v>
      </c>
      <c r="G38">
        <v>370</v>
      </c>
      <c r="H38" s="1">
        <f t="shared" si="4"/>
        <v>15.548819043046509</v>
      </c>
      <c r="I38" s="1"/>
      <c r="J38">
        <v>370</v>
      </c>
      <c r="K38" s="1">
        <f t="shared" si="5"/>
        <v>14.591142244133286</v>
      </c>
      <c r="M38">
        <v>370</v>
      </c>
      <c r="N38" s="1">
        <f t="shared" si="6"/>
        <v>14.181540701403675</v>
      </c>
      <c r="P38">
        <v>370</v>
      </c>
      <c r="Q38" s="1">
        <f t="shared" si="7"/>
        <v>13.628943149582158</v>
      </c>
      <c r="S38">
        <v>370</v>
      </c>
      <c r="T38" s="1">
        <f t="shared" si="8"/>
        <v>13.223563402309663</v>
      </c>
      <c r="V38">
        <v>370</v>
      </c>
      <c r="W38" s="1">
        <f t="shared" si="9"/>
        <v>12.830726905498498</v>
      </c>
      <c r="Y38">
        <v>370</v>
      </c>
      <c r="Z38" s="1">
        <f t="shared" si="10"/>
        <v>12.756292073753084</v>
      </c>
      <c r="AB38">
        <v>370</v>
      </c>
      <c r="AC38" s="1">
        <f t="shared" si="11"/>
        <v>12.316980425443976</v>
      </c>
      <c r="AD38" s="1"/>
      <c r="AE38">
        <v>370</v>
      </c>
      <c r="AF38" s="1">
        <f t="shared" si="12"/>
        <v>11.911872006722044</v>
      </c>
      <c r="AH38">
        <v>370</v>
      </c>
      <c r="AI38" s="1">
        <f t="shared" si="13"/>
        <v>11.576885011493822</v>
      </c>
      <c r="AK38">
        <v>370</v>
      </c>
      <c r="AL38" s="1">
        <f t="shared" si="14"/>
        <v>11.477249942299744</v>
      </c>
      <c r="AN38">
        <v>370</v>
      </c>
      <c r="AO38" s="1">
        <f t="shared" si="15"/>
        <v>11.359196589490328</v>
      </c>
      <c r="AQ38">
        <v>370</v>
      </c>
      <c r="AR38" s="1">
        <f t="shared" si="16"/>
        <v>10.97242079000239</v>
      </c>
      <c r="AT38">
        <v>370</v>
      </c>
      <c r="AU38" s="1">
        <f t="shared" si="17"/>
        <v>10.120758882308079</v>
      </c>
      <c r="AW38">
        <v>360</v>
      </c>
      <c r="AX38" s="1">
        <f t="shared" si="21"/>
        <v>0.63276867894731714</v>
      </c>
      <c r="AZ38">
        <v>360</v>
      </c>
      <c r="BA38" s="1">
        <f t="shared" si="22"/>
        <v>0.59580444103024399</v>
      </c>
      <c r="BC38">
        <v>370</v>
      </c>
      <c r="BD38" s="1">
        <f t="shared" si="23"/>
        <v>3.6276617826127966</v>
      </c>
      <c r="BF38">
        <v>370</v>
      </c>
      <c r="BG38" s="1">
        <f t="shared" si="18"/>
        <v>8.4147297297297285</v>
      </c>
      <c r="BI38">
        <v>370</v>
      </c>
      <c r="BJ38" s="1">
        <f t="shared" si="19"/>
        <v>12.756292073753084</v>
      </c>
      <c r="BL38">
        <v>370</v>
      </c>
      <c r="BM38" s="1">
        <f t="shared" si="20"/>
        <v>14.591142244133286</v>
      </c>
    </row>
    <row r="39" spans="2:65" x14ac:dyDescent="0.45">
      <c r="B39">
        <v>380</v>
      </c>
      <c r="C39" s="2">
        <f t="shared" si="1"/>
        <v>15.954783339388417</v>
      </c>
      <c r="D39" s="3">
        <f t="shared" si="2"/>
        <v>2.631578947368421E-3</v>
      </c>
      <c r="E39" s="3">
        <f t="shared" si="3"/>
        <v>6.2677128151984812E-2</v>
      </c>
      <c r="G39">
        <v>380</v>
      </c>
      <c r="H39" s="1">
        <f t="shared" si="4"/>
        <v>15.139639594545283</v>
      </c>
      <c r="I39" s="1"/>
      <c r="J39">
        <v>380</v>
      </c>
      <c r="K39" s="1">
        <f t="shared" si="5"/>
        <v>14.207164816656093</v>
      </c>
      <c r="M39">
        <v>380</v>
      </c>
      <c r="N39" s="1">
        <f t="shared" si="6"/>
        <v>13.808342261893053</v>
      </c>
      <c r="P39">
        <v>380</v>
      </c>
      <c r="Q39" s="1">
        <f t="shared" si="7"/>
        <v>13.270286750908944</v>
      </c>
      <c r="S39">
        <v>380</v>
      </c>
      <c r="T39" s="1">
        <f t="shared" si="8"/>
        <v>12.875574891722566</v>
      </c>
      <c r="V39">
        <v>380</v>
      </c>
      <c r="W39" s="1">
        <f t="shared" si="9"/>
        <v>12.493076197459065</v>
      </c>
      <c r="Y39">
        <v>380</v>
      </c>
      <c r="Z39" s="1">
        <f t="shared" si="10"/>
        <v>12.420600177075372</v>
      </c>
      <c r="AB39">
        <v>380</v>
      </c>
      <c r="AC39" s="1">
        <f t="shared" si="11"/>
        <v>11.992849361616504</v>
      </c>
      <c r="AD39" s="1"/>
      <c r="AE39">
        <v>380</v>
      </c>
      <c r="AF39" s="1">
        <f t="shared" si="12"/>
        <v>11.598401690755674</v>
      </c>
      <c r="AH39">
        <v>380</v>
      </c>
      <c r="AI39" s="1">
        <f t="shared" si="13"/>
        <v>11.272230142770301</v>
      </c>
      <c r="AK39">
        <v>380</v>
      </c>
      <c r="AL39" s="1">
        <f t="shared" si="14"/>
        <v>11.175217049081331</v>
      </c>
      <c r="AN39">
        <v>380</v>
      </c>
      <c r="AO39" s="1">
        <f t="shared" si="15"/>
        <v>11.060270363451108</v>
      </c>
      <c r="AQ39">
        <v>380</v>
      </c>
      <c r="AR39" s="1">
        <f t="shared" si="16"/>
        <v>10.683672874476013</v>
      </c>
      <c r="AT39">
        <v>380</v>
      </c>
      <c r="AU39" s="1">
        <f t="shared" si="17"/>
        <v>9.85442312224734</v>
      </c>
      <c r="AW39">
        <v>370</v>
      </c>
      <c r="AX39" s="1">
        <f t="shared" si="21"/>
        <v>0.61566682275955187</v>
      </c>
      <c r="AZ39">
        <v>370</v>
      </c>
      <c r="BA39" s="1">
        <f t="shared" si="22"/>
        <v>0.5797016182996968</v>
      </c>
      <c r="BC39">
        <v>380</v>
      </c>
      <c r="BD39" s="1">
        <f t="shared" si="23"/>
        <v>3.5321969988598281</v>
      </c>
      <c r="BF39">
        <v>380</v>
      </c>
      <c r="BG39" s="1">
        <f t="shared" si="18"/>
        <v>8.1932894736842101</v>
      </c>
      <c r="BI39">
        <v>380</v>
      </c>
      <c r="BJ39" s="1">
        <f t="shared" si="19"/>
        <v>12.420600177075372</v>
      </c>
      <c r="BL39">
        <v>380</v>
      </c>
      <c r="BM39" s="1">
        <f t="shared" si="20"/>
        <v>14.207164816656093</v>
      </c>
    </row>
    <row r="40" spans="2:65" x14ac:dyDescent="0.45">
      <c r="B40">
        <v>390</v>
      </c>
      <c r="C40" s="2">
        <f t="shared" si="1"/>
        <v>15.54568633068615</v>
      </c>
      <c r="D40" s="3">
        <f t="shared" si="2"/>
        <v>2.5641025641025641E-3</v>
      </c>
      <c r="E40" s="3">
        <f t="shared" si="3"/>
        <v>6.4326526261247574E-2</v>
      </c>
      <c r="G40">
        <v>390</v>
      </c>
      <c r="H40" s="1">
        <f t="shared" si="4"/>
        <v>14.751443707505661</v>
      </c>
      <c r="I40" s="1"/>
      <c r="J40">
        <v>390</v>
      </c>
      <c r="K40" s="1">
        <f t="shared" si="5"/>
        <v>13.842878539305937</v>
      </c>
      <c r="M40">
        <v>390</v>
      </c>
      <c r="N40" s="1">
        <f t="shared" si="6"/>
        <v>13.454282203895794</v>
      </c>
      <c r="P40">
        <v>390</v>
      </c>
      <c r="Q40" s="1">
        <f t="shared" si="7"/>
        <v>12.930022988065124</v>
      </c>
      <c r="S40">
        <v>390</v>
      </c>
      <c r="T40" s="1">
        <f t="shared" si="8"/>
        <v>12.545431945780962</v>
      </c>
      <c r="V40">
        <v>390</v>
      </c>
      <c r="W40" s="1">
        <f t="shared" si="9"/>
        <v>12.172740910344729</v>
      </c>
      <c r="Y40">
        <v>390</v>
      </c>
      <c r="Z40" s="1">
        <f t="shared" si="10"/>
        <v>12.102123249458055</v>
      </c>
      <c r="AB40">
        <v>390</v>
      </c>
      <c r="AC40" s="1">
        <f t="shared" si="11"/>
        <v>11.685340403626336</v>
      </c>
      <c r="AD40" s="1"/>
      <c r="AE40">
        <v>390</v>
      </c>
      <c r="AF40" s="1">
        <f t="shared" si="12"/>
        <v>11.301006775608093</v>
      </c>
      <c r="AH40">
        <v>390</v>
      </c>
      <c r="AI40" s="1">
        <f t="shared" si="13"/>
        <v>10.983198600647984</v>
      </c>
      <c r="AK40">
        <v>390</v>
      </c>
      <c r="AL40" s="1">
        <f t="shared" si="14"/>
        <v>10.888673022181809</v>
      </c>
      <c r="AN40">
        <v>390</v>
      </c>
      <c r="AO40" s="1">
        <f t="shared" si="15"/>
        <v>10.776673687465182</v>
      </c>
      <c r="AQ40">
        <v>390</v>
      </c>
      <c r="AR40" s="1">
        <f t="shared" si="16"/>
        <v>10.409732544361242</v>
      </c>
      <c r="AT40">
        <v>390</v>
      </c>
      <c r="AU40" s="1">
        <f t="shared" si="17"/>
        <v>9.6017456062922797</v>
      </c>
      <c r="AW40">
        <v>380</v>
      </c>
      <c r="AX40" s="1">
        <f t="shared" si="21"/>
        <v>0.59946506426587942</v>
      </c>
      <c r="AZ40">
        <v>380</v>
      </c>
      <c r="BA40" s="1">
        <f t="shared" si="22"/>
        <v>0.56444631255496791</v>
      </c>
      <c r="BC40">
        <v>390</v>
      </c>
      <c r="BD40" s="1">
        <f t="shared" si="23"/>
        <v>3.4416278450429094</v>
      </c>
      <c r="BF40">
        <v>390</v>
      </c>
      <c r="BG40" s="1">
        <f t="shared" si="18"/>
        <v>7.9832051282051282</v>
      </c>
      <c r="BI40">
        <v>390</v>
      </c>
      <c r="BJ40" s="1">
        <f t="shared" si="19"/>
        <v>12.102123249458055</v>
      </c>
      <c r="BL40">
        <v>390</v>
      </c>
      <c r="BM40" s="1">
        <f t="shared" si="20"/>
        <v>13.842878539305937</v>
      </c>
    </row>
    <row r="41" spans="2:65" x14ac:dyDescent="0.45">
      <c r="B41">
        <v>400</v>
      </c>
      <c r="C41" s="2">
        <f t="shared" si="1"/>
        <v>15.157044172418995</v>
      </c>
      <c r="D41" s="3">
        <f t="shared" si="2"/>
        <v>2.5000000000000001E-3</v>
      </c>
      <c r="E41" s="3">
        <f t="shared" si="3"/>
        <v>6.5975924370510336E-2</v>
      </c>
      <c r="G41">
        <v>400</v>
      </c>
      <c r="H41" s="1">
        <f t="shared" si="4"/>
        <v>14.382657614818021</v>
      </c>
      <c r="I41" s="1"/>
      <c r="J41">
        <v>400</v>
      </c>
      <c r="K41" s="1">
        <f t="shared" si="5"/>
        <v>13.496806575823289</v>
      </c>
      <c r="M41">
        <v>400</v>
      </c>
      <c r="N41" s="1">
        <f t="shared" si="6"/>
        <v>13.117925148798399</v>
      </c>
      <c r="P41">
        <v>400</v>
      </c>
      <c r="Q41" s="1">
        <f t="shared" si="7"/>
        <v>12.606772413363496</v>
      </c>
      <c r="S41">
        <v>400</v>
      </c>
      <c r="T41" s="1">
        <f t="shared" si="8"/>
        <v>12.231796147136437</v>
      </c>
      <c r="V41">
        <v>400</v>
      </c>
      <c r="W41" s="1">
        <f t="shared" si="9"/>
        <v>11.868422387586111</v>
      </c>
      <c r="Y41">
        <v>400</v>
      </c>
      <c r="Z41" s="1">
        <f t="shared" si="10"/>
        <v>11.799570168221603</v>
      </c>
      <c r="AB41">
        <v>400</v>
      </c>
      <c r="AC41" s="1">
        <f t="shared" si="11"/>
        <v>11.393206893535679</v>
      </c>
      <c r="AD41" s="1"/>
      <c r="AE41">
        <v>400</v>
      </c>
      <c r="AF41" s="1">
        <f t="shared" si="12"/>
        <v>11.01848160621789</v>
      </c>
      <c r="AH41">
        <v>400</v>
      </c>
      <c r="AI41" s="1">
        <f t="shared" si="13"/>
        <v>10.708618635631785</v>
      </c>
      <c r="AK41">
        <v>400</v>
      </c>
      <c r="AL41" s="1">
        <f t="shared" si="14"/>
        <v>10.616456196627263</v>
      </c>
      <c r="AN41">
        <v>400</v>
      </c>
      <c r="AO41" s="1">
        <f t="shared" si="15"/>
        <v>10.507256845278553</v>
      </c>
      <c r="AQ41">
        <v>400</v>
      </c>
      <c r="AR41" s="1">
        <f t="shared" si="16"/>
        <v>10.149489230752211</v>
      </c>
      <c r="AT41">
        <v>400</v>
      </c>
      <c r="AU41" s="1">
        <f t="shared" si="17"/>
        <v>9.361701966134973</v>
      </c>
      <c r="AW41">
        <v>390</v>
      </c>
      <c r="AX41" s="1">
        <f t="shared" si="21"/>
        <v>0.58409416518213897</v>
      </c>
      <c r="AZ41">
        <v>390</v>
      </c>
      <c r="BA41" s="1">
        <f t="shared" si="22"/>
        <v>0.54997333018176364</v>
      </c>
      <c r="BC41">
        <v>400</v>
      </c>
      <c r="BD41" s="1">
        <f t="shared" si="23"/>
        <v>3.355587148916837</v>
      </c>
      <c r="BF41">
        <v>400</v>
      </c>
      <c r="BG41" s="1">
        <f t="shared" si="18"/>
        <v>7.7836249999999998</v>
      </c>
      <c r="BI41">
        <v>400</v>
      </c>
      <c r="BJ41" s="1">
        <f t="shared" si="19"/>
        <v>11.799570168221603</v>
      </c>
      <c r="BL41">
        <v>400</v>
      </c>
      <c r="BM41" s="1">
        <f t="shared" si="20"/>
        <v>13.496806575823289</v>
      </c>
    </row>
    <row r="42" spans="2:65" x14ac:dyDescent="0.45">
      <c r="B42">
        <v>410</v>
      </c>
      <c r="C42" s="2">
        <f t="shared" si="1"/>
        <v>14.787360168213654</v>
      </c>
      <c r="D42" s="3">
        <f t="shared" si="2"/>
        <v>2.4390243902439024E-3</v>
      </c>
      <c r="E42" s="3">
        <f t="shared" si="3"/>
        <v>6.7625322479773084E-2</v>
      </c>
      <c r="G42">
        <v>410</v>
      </c>
      <c r="H42" s="1">
        <f t="shared" si="4"/>
        <v>14.031861087627336</v>
      </c>
      <c r="I42" s="1"/>
      <c r="J42">
        <v>410</v>
      </c>
      <c r="K42" s="1">
        <f t="shared" si="5"/>
        <v>13.167616171534917</v>
      </c>
      <c r="M42">
        <v>410</v>
      </c>
      <c r="N42" s="1">
        <f t="shared" si="6"/>
        <v>12.797975754925268</v>
      </c>
      <c r="P42">
        <v>410</v>
      </c>
      <c r="Q42" s="1">
        <f t="shared" si="7"/>
        <v>12.299290159379021</v>
      </c>
      <c r="S42">
        <v>410</v>
      </c>
      <c r="T42" s="1">
        <f t="shared" si="8"/>
        <v>11.933459655742865</v>
      </c>
      <c r="V42">
        <v>410</v>
      </c>
      <c r="W42" s="1">
        <f t="shared" si="9"/>
        <v>11.578948670815718</v>
      </c>
      <c r="Y42">
        <v>410</v>
      </c>
      <c r="Z42" s="1">
        <f t="shared" si="10"/>
        <v>11.511775773874735</v>
      </c>
      <c r="AB42">
        <v>410</v>
      </c>
      <c r="AC42" s="1">
        <f t="shared" si="11"/>
        <v>11.115323798571392</v>
      </c>
      <c r="AD42" s="1"/>
      <c r="AE42">
        <v>410</v>
      </c>
      <c r="AF42" s="1">
        <f t="shared" si="12"/>
        <v>10.749738152407698</v>
      </c>
      <c r="AH42">
        <v>410</v>
      </c>
      <c r="AI42" s="1">
        <f t="shared" si="13"/>
        <v>10.447432815250522</v>
      </c>
      <c r="AK42">
        <v>410</v>
      </c>
      <c r="AL42" s="1">
        <f t="shared" si="14"/>
        <v>10.357518240611965</v>
      </c>
      <c r="AN42">
        <v>410</v>
      </c>
      <c r="AO42" s="1">
        <f t="shared" si="15"/>
        <v>10.250982288076637</v>
      </c>
      <c r="AQ42">
        <v>410</v>
      </c>
      <c r="AR42" s="1">
        <f t="shared" si="16"/>
        <v>9.9019407129289867</v>
      </c>
      <c r="AT42">
        <v>410</v>
      </c>
      <c r="AU42" s="1">
        <f t="shared" si="17"/>
        <v>9.1333677718389978</v>
      </c>
      <c r="AW42">
        <v>400</v>
      </c>
      <c r="AX42" s="1">
        <f t="shared" si="21"/>
        <v>0.56949181105258551</v>
      </c>
      <c r="AZ42">
        <v>400</v>
      </c>
      <c r="BA42" s="1">
        <f t="shared" si="22"/>
        <v>0.53622399692721956</v>
      </c>
      <c r="BC42">
        <v>410</v>
      </c>
      <c r="BD42" s="1">
        <f t="shared" si="23"/>
        <v>3.2737435599188651</v>
      </c>
      <c r="BF42">
        <v>410</v>
      </c>
      <c r="BG42" s="1">
        <f t="shared" si="18"/>
        <v>7.593780487804878</v>
      </c>
      <c r="BI42">
        <v>410</v>
      </c>
      <c r="BJ42" s="1">
        <f t="shared" si="19"/>
        <v>11.511775773874735</v>
      </c>
      <c r="BL42">
        <v>410</v>
      </c>
      <c r="BM42" s="1">
        <f t="shared" si="20"/>
        <v>13.167616171534917</v>
      </c>
    </row>
    <row r="43" spans="2:65" x14ac:dyDescent="0.45">
      <c r="B43">
        <v>420</v>
      </c>
      <c r="C43" s="2">
        <f t="shared" si="1"/>
        <v>14.435280164208567</v>
      </c>
      <c r="D43" s="3">
        <f t="shared" si="2"/>
        <v>2.3809523809523812E-3</v>
      </c>
      <c r="E43" s="3">
        <f t="shared" si="3"/>
        <v>6.9274720589035832E-2</v>
      </c>
      <c r="G43">
        <v>420</v>
      </c>
      <c r="H43" s="1">
        <f t="shared" si="4"/>
        <v>13.697769156969542</v>
      </c>
      <c r="I43" s="1"/>
      <c r="J43">
        <v>420</v>
      </c>
      <c r="K43" s="1">
        <f t="shared" si="5"/>
        <v>12.854101500784084</v>
      </c>
      <c r="M43">
        <v>420</v>
      </c>
      <c r="N43" s="1">
        <f t="shared" si="6"/>
        <v>12.493262046474666</v>
      </c>
      <c r="P43">
        <v>420</v>
      </c>
      <c r="Q43" s="1">
        <f t="shared" si="7"/>
        <v>12.006449917489045</v>
      </c>
      <c r="S43">
        <v>420</v>
      </c>
      <c r="T43" s="1">
        <f t="shared" si="8"/>
        <v>11.649329663939465</v>
      </c>
      <c r="V43">
        <v>420</v>
      </c>
      <c r="W43" s="1">
        <f t="shared" si="9"/>
        <v>11.303259416748677</v>
      </c>
      <c r="Y43">
        <v>420</v>
      </c>
      <c r="Z43" s="1">
        <f t="shared" si="10"/>
        <v>11.237685874496766</v>
      </c>
      <c r="AB43">
        <v>420</v>
      </c>
      <c r="AC43" s="1">
        <f t="shared" si="11"/>
        <v>10.850673231938741</v>
      </c>
      <c r="AD43" s="1"/>
      <c r="AE43">
        <v>420</v>
      </c>
      <c r="AF43" s="1">
        <f t="shared" si="12"/>
        <v>10.493792005921801</v>
      </c>
      <c r="AH43">
        <v>420</v>
      </c>
      <c r="AI43" s="1">
        <f t="shared" si="13"/>
        <v>10.198684414887415</v>
      </c>
      <c r="AK43">
        <v>420</v>
      </c>
      <c r="AL43" s="1">
        <f t="shared" si="14"/>
        <v>10.110910663454538</v>
      </c>
      <c r="AN43">
        <v>420</v>
      </c>
      <c r="AO43" s="1">
        <f t="shared" si="15"/>
        <v>10.006911281217668</v>
      </c>
      <c r="AQ43">
        <v>420</v>
      </c>
      <c r="AR43" s="1">
        <f t="shared" si="16"/>
        <v>9.6661802197640103</v>
      </c>
      <c r="AT43">
        <v>420</v>
      </c>
      <c r="AU43" s="1">
        <f t="shared" si="17"/>
        <v>8.9159066344142595</v>
      </c>
      <c r="AW43">
        <v>410</v>
      </c>
      <c r="AX43" s="1">
        <f t="shared" si="21"/>
        <v>0.55560176688057117</v>
      </c>
      <c r="AZ43">
        <v>410</v>
      </c>
      <c r="BA43" s="1">
        <f t="shared" si="22"/>
        <v>0.52314536285582391</v>
      </c>
      <c r="BC43">
        <v>420</v>
      </c>
      <c r="BD43" s="1">
        <f t="shared" si="23"/>
        <v>3.1957972846827016</v>
      </c>
      <c r="BF43">
        <v>420</v>
      </c>
      <c r="BG43" s="1">
        <f t="shared" si="18"/>
        <v>7.4129761904761899</v>
      </c>
      <c r="BI43">
        <v>420</v>
      </c>
      <c r="BJ43" s="1">
        <f t="shared" si="19"/>
        <v>11.237685874496766</v>
      </c>
      <c r="BL43">
        <v>420</v>
      </c>
      <c r="BM43" s="1">
        <f t="shared" si="20"/>
        <v>12.854101500784084</v>
      </c>
    </row>
    <row r="44" spans="2:65" x14ac:dyDescent="0.45">
      <c r="B44">
        <v>430</v>
      </c>
      <c r="C44" s="2">
        <f t="shared" si="1"/>
        <v>14.099575974343251</v>
      </c>
      <c r="D44" s="3">
        <f t="shared" si="2"/>
        <v>2.3255813953488372E-3</v>
      </c>
      <c r="E44" s="3">
        <f t="shared" si="3"/>
        <v>7.0924118698298608E-2</v>
      </c>
      <c r="G44">
        <v>430</v>
      </c>
      <c r="H44" s="1">
        <f t="shared" si="4"/>
        <v>13.379216385877228</v>
      </c>
      <c r="I44" s="1"/>
      <c r="J44">
        <v>430</v>
      </c>
      <c r="K44" s="1">
        <f t="shared" si="5"/>
        <v>12.555168907742594</v>
      </c>
      <c r="M44">
        <v>430</v>
      </c>
      <c r="N44" s="1">
        <f t="shared" si="6"/>
        <v>12.202721068649673</v>
      </c>
      <c r="P44">
        <v>430</v>
      </c>
      <c r="Q44" s="1">
        <f t="shared" si="7"/>
        <v>11.727230151966044</v>
      </c>
      <c r="S44">
        <v>430</v>
      </c>
      <c r="T44" s="1">
        <f t="shared" si="8"/>
        <v>11.378415020592035</v>
      </c>
      <c r="V44">
        <v>430</v>
      </c>
      <c r="W44" s="1">
        <f t="shared" si="9"/>
        <v>11.040392918684754</v>
      </c>
      <c r="Y44">
        <v>430</v>
      </c>
      <c r="Z44" s="1">
        <f t="shared" si="10"/>
        <v>10.976344342531723</v>
      </c>
      <c r="AB44">
        <v>430</v>
      </c>
      <c r="AC44" s="1">
        <f t="shared" si="11"/>
        <v>10.598331993986678</v>
      </c>
      <c r="AD44" s="1"/>
      <c r="AE44">
        <v>430</v>
      </c>
      <c r="AF44" s="1">
        <f t="shared" si="12"/>
        <v>10.24975033136548</v>
      </c>
      <c r="AH44">
        <v>430</v>
      </c>
      <c r="AI44" s="1">
        <f t="shared" si="13"/>
        <v>9.9615057075644522</v>
      </c>
      <c r="AK44">
        <v>430</v>
      </c>
      <c r="AL44" s="1">
        <f t="shared" si="14"/>
        <v>9.8757732061648973</v>
      </c>
      <c r="AN44">
        <v>430</v>
      </c>
      <c r="AO44" s="1">
        <f t="shared" si="15"/>
        <v>9.7741924142126066</v>
      </c>
      <c r="AQ44">
        <v>430</v>
      </c>
      <c r="AR44" s="1">
        <f t="shared" si="16"/>
        <v>9.4413853309322899</v>
      </c>
      <c r="AT44">
        <v>430</v>
      </c>
      <c r="AU44" s="1">
        <f t="shared" si="17"/>
        <v>8.7085599684976494</v>
      </c>
      <c r="AW44">
        <v>420</v>
      </c>
      <c r="AX44" s="1">
        <f t="shared" si="21"/>
        <v>0.54237315338341474</v>
      </c>
      <c r="AZ44">
        <v>420</v>
      </c>
      <c r="BA44" s="1">
        <f t="shared" si="22"/>
        <v>0.51068952088306629</v>
      </c>
      <c r="BC44">
        <v>430</v>
      </c>
      <c r="BD44" s="1">
        <f t="shared" si="23"/>
        <v>3.1214764175970573</v>
      </c>
      <c r="BF44">
        <v>430</v>
      </c>
      <c r="BG44" s="1">
        <f t="shared" si="18"/>
        <v>7.2405813953488369</v>
      </c>
      <c r="BI44">
        <v>430</v>
      </c>
      <c r="BJ44" s="1">
        <f t="shared" si="19"/>
        <v>10.976344342531723</v>
      </c>
      <c r="BL44">
        <v>430</v>
      </c>
      <c r="BM44" s="1">
        <f t="shared" si="20"/>
        <v>12.555168907742594</v>
      </c>
    </row>
    <row r="45" spans="2:65" x14ac:dyDescent="0.45">
      <c r="B45">
        <v>440</v>
      </c>
      <c r="C45" s="2">
        <f t="shared" si="1"/>
        <v>13.77913106583545</v>
      </c>
      <c r="D45" s="3">
        <f t="shared" si="2"/>
        <v>2.2727272727272726E-3</v>
      </c>
      <c r="E45" s="3">
        <f t="shared" si="3"/>
        <v>7.257351680756137E-2</v>
      </c>
      <c r="G45">
        <v>440</v>
      </c>
      <c r="H45" s="1">
        <f t="shared" si="4"/>
        <v>13.0751432861982</v>
      </c>
      <c r="I45" s="1"/>
      <c r="J45">
        <v>440</v>
      </c>
      <c r="K45" s="1">
        <f t="shared" si="5"/>
        <v>12.269824159839354</v>
      </c>
      <c r="M45">
        <v>440</v>
      </c>
      <c r="N45" s="1">
        <f t="shared" si="6"/>
        <v>11.925386498907637</v>
      </c>
      <c r="P45">
        <v>440</v>
      </c>
      <c r="Q45" s="1">
        <f t="shared" si="7"/>
        <v>11.460702193966815</v>
      </c>
      <c r="S45">
        <v>440</v>
      </c>
      <c r="T45" s="1">
        <f t="shared" si="8"/>
        <v>11.119814679214944</v>
      </c>
      <c r="V45">
        <v>440</v>
      </c>
      <c r="W45" s="1">
        <f t="shared" si="9"/>
        <v>10.789474897805555</v>
      </c>
      <c r="Y45">
        <v>440</v>
      </c>
      <c r="Z45" s="1">
        <f t="shared" si="10"/>
        <v>10.726881971110549</v>
      </c>
      <c r="AB45">
        <v>440</v>
      </c>
      <c r="AC45" s="1">
        <f t="shared" si="11"/>
        <v>10.357460812305161</v>
      </c>
      <c r="AD45" s="1"/>
      <c r="AE45">
        <v>440</v>
      </c>
      <c r="AF45" s="1">
        <f t="shared" si="12"/>
        <v>10.016801460198081</v>
      </c>
      <c r="AH45">
        <v>440</v>
      </c>
      <c r="AI45" s="1">
        <f t="shared" si="13"/>
        <v>9.7351078505743498</v>
      </c>
      <c r="AK45">
        <v>440</v>
      </c>
      <c r="AL45" s="1">
        <f t="shared" si="14"/>
        <v>9.6513238151156937</v>
      </c>
      <c r="AN45">
        <v>440</v>
      </c>
      <c r="AO45" s="1">
        <f t="shared" si="15"/>
        <v>9.5520516775259576</v>
      </c>
      <c r="AQ45">
        <v>440</v>
      </c>
      <c r="AR45" s="1">
        <f t="shared" si="16"/>
        <v>9.22680839159292</v>
      </c>
      <c r="AT45">
        <v>440</v>
      </c>
      <c r="AU45" s="1">
        <f t="shared" si="17"/>
        <v>8.5106381510317934</v>
      </c>
      <c r="AW45">
        <v>430</v>
      </c>
      <c r="AX45" s="1">
        <f t="shared" si="21"/>
        <v>0.52975982423496326</v>
      </c>
      <c r="AZ45">
        <v>430</v>
      </c>
      <c r="BA45" s="1">
        <f t="shared" si="22"/>
        <v>0.49881302039741354</v>
      </c>
      <c r="BC45">
        <v>440</v>
      </c>
      <c r="BD45" s="1">
        <f t="shared" si="23"/>
        <v>3.0505337717425789</v>
      </c>
      <c r="BF45">
        <v>440</v>
      </c>
      <c r="BG45" s="1">
        <f t="shared" si="18"/>
        <v>7.0760227272727265</v>
      </c>
      <c r="BI45">
        <v>440</v>
      </c>
      <c r="BJ45" s="1">
        <f t="shared" si="19"/>
        <v>10.726881971110549</v>
      </c>
      <c r="BL45">
        <v>440</v>
      </c>
      <c r="BM45" s="1">
        <f t="shared" si="20"/>
        <v>12.269824159839354</v>
      </c>
    </row>
    <row r="46" spans="2:65" x14ac:dyDescent="0.45">
      <c r="B46">
        <v>450</v>
      </c>
      <c r="C46" s="2">
        <f t="shared" si="1"/>
        <v>13.47292815326133</v>
      </c>
      <c r="D46" s="3">
        <f t="shared" si="2"/>
        <v>2.2222222222222222E-3</v>
      </c>
      <c r="E46" s="3">
        <f t="shared" si="3"/>
        <v>7.4222914916824118E-2</v>
      </c>
      <c r="G46">
        <v>450</v>
      </c>
      <c r="H46" s="1">
        <f t="shared" si="4"/>
        <v>12.784584546504906</v>
      </c>
      <c r="I46" s="1"/>
      <c r="J46">
        <v>450</v>
      </c>
      <c r="K46" s="1">
        <f t="shared" si="5"/>
        <v>11.997161400731812</v>
      </c>
      <c r="M46">
        <v>450</v>
      </c>
      <c r="N46" s="1">
        <f t="shared" si="6"/>
        <v>11.660377910043021</v>
      </c>
      <c r="P46">
        <v>450</v>
      </c>
      <c r="Q46" s="1">
        <f t="shared" si="7"/>
        <v>11.206019922989775</v>
      </c>
      <c r="S46">
        <v>450</v>
      </c>
      <c r="T46" s="1">
        <f t="shared" si="8"/>
        <v>10.872707686343499</v>
      </c>
      <c r="V46">
        <v>450</v>
      </c>
      <c r="W46" s="1">
        <f t="shared" si="9"/>
        <v>10.549708788965432</v>
      </c>
      <c r="Y46">
        <v>450</v>
      </c>
      <c r="Z46" s="1">
        <f t="shared" si="10"/>
        <v>10.488506816196981</v>
      </c>
      <c r="AB46">
        <v>450</v>
      </c>
      <c r="AC46" s="1">
        <f t="shared" si="11"/>
        <v>10.127295016476157</v>
      </c>
      <c r="AD46" s="1"/>
      <c r="AE46">
        <v>450</v>
      </c>
      <c r="AF46" s="1">
        <f t="shared" si="12"/>
        <v>9.7942058721936807</v>
      </c>
      <c r="AH46">
        <v>450</v>
      </c>
      <c r="AI46" s="1">
        <f t="shared" si="13"/>
        <v>9.5187721205615876</v>
      </c>
      <c r="AK46">
        <v>450</v>
      </c>
      <c r="AL46" s="1">
        <f t="shared" si="14"/>
        <v>9.4368499525575675</v>
      </c>
      <c r="AN46">
        <v>450</v>
      </c>
      <c r="AO46" s="1">
        <f t="shared" si="15"/>
        <v>9.3397838624698242</v>
      </c>
      <c r="AQ46">
        <v>450</v>
      </c>
      <c r="AR46" s="1">
        <f t="shared" si="16"/>
        <v>9.0217682051130765</v>
      </c>
      <c r="AT46">
        <v>450</v>
      </c>
      <c r="AU46" s="1">
        <f t="shared" si="17"/>
        <v>8.321512858786642</v>
      </c>
      <c r="AW46">
        <v>440</v>
      </c>
      <c r="AX46" s="1">
        <f t="shared" si="21"/>
        <v>0.51771982822962315</v>
      </c>
      <c r="AZ46">
        <v>440</v>
      </c>
      <c r="BA46" s="1">
        <f t="shared" si="22"/>
        <v>0.48747636084292689</v>
      </c>
      <c r="BC46">
        <v>450</v>
      </c>
      <c r="BD46" s="1">
        <f t="shared" si="23"/>
        <v>2.9827441323705215</v>
      </c>
      <c r="BF46">
        <v>450</v>
      </c>
      <c r="BG46" s="1">
        <f t="shared" si="18"/>
        <v>6.9187777777777777</v>
      </c>
      <c r="BI46">
        <v>450</v>
      </c>
      <c r="BJ46" s="1">
        <f t="shared" si="19"/>
        <v>10.488506816196981</v>
      </c>
      <c r="BL46">
        <v>450</v>
      </c>
      <c r="BM46" s="1">
        <f t="shared" si="20"/>
        <v>11.997161400731812</v>
      </c>
    </row>
    <row r="47" spans="2:65" x14ac:dyDescent="0.45">
      <c r="B47">
        <v>460</v>
      </c>
      <c r="C47" s="2">
        <f t="shared" si="1"/>
        <v>13.180038410799128</v>
      </c>
      <c r="D47" s="3">
        <f t="shared" si="2"/>
        <v>2.1739130434782609E-3</v>
      </c>
      <c r="E47" s="3">
        <f t="shared" si="3"/>
        <v>7.5872313026086879E-2</v>
      </c>
      <c r="G47">
        <v>460</v>
      </c>
      <c r="H47" s="1">
        <f t="shared" si="4"/>
        <v>12.50665879549393</v>
      </c>
      <c r="I47" s="1"/>
      <c r="J47">
        <v>460</v>
      </c>
      <c r="K47" s="1">
        <f t="shared" si="5"/>
        <v>11.736353544194165</v>
      </c>
      <c r="M47">
        <v>460</v>
      </c>
      <c r="N47" s="1">
        <f t="shared" si="6"/>
        <v>11.406891433737739</v>
      </c>
      <c r="P47">
        <v>460</v>
      </c>
      <c r="Q47" s="1">
        <f t="shared" si="7"/>
        <v>10.962410794229127</v>
      </c>
      <c r="S47">
        <v>460</v>
      </c>
      <c r="T47" s="1">
        <f t="shared" si="8"/>
        <v>10.636344475770816</v>
      </c>
      <c r="V47">
        <v>460</v>
      </c>
      <c r="W47" s="1">
        <f t="shared" si="9"/>
        <v>10.32036729355314</v>
      </c>
      <c r="Y47">
        <v>460</v>
      </c>
      <c r="Z47" s="1">
        <f t="shared" si="10"/>
        <v>10.260495798453569</v>
      </c>
      <c r="AB47">
        <v>460</v>
      </c>
      <c r="AC47" s="1">
        <f t="shared" si="11"/>
        <v>9.9071364291614596</v>
      </c>
      <c r="AD47" s="1"/>
      <c r="AE47">
        <v>460</v>
      </c>
      <c r="AF47" s="1">
        <f t="shared" si="12"/>
        <v>9.5812883532329476</v>
      </c>
      <c r="AH47">
        <v>460</v>
      </c>
      <c r="AI47" s="1">
        <f t="shared" si="13"/>
        <v>9.3118422918537256</v>
      </c>
      <c r="AK47">
        <v>460</v>
      </c>
      <c r="AL47" s="1">
        <f t="shared" si="14"/>
        <v>9.2317010405454472</v>
      </c>
      <c r="AN47">
        <v>460</v>
      </c>
      <c r="AO47" s="1">
        <f t="shared" si="15"/>
        <v>9.1367450828509149</v>
      </c>
      <c r="AQ47">
        <v>460</v>
      </c>
      <c r="AR47" s="1">
        <f t="shared" si="16"/>
        <v>8.8256428093497501</v>
      </c>
      <c r="AT47">
        <v>460</v>
      </c>
      <c r="AU47" s="1">
        <f t="shared" si="17"/>
        <v>8.1406104053347583</v>
      </c>
      <c r="AW47">
        <v>450</v>
      </c>
      <c r="AX47" s="1">
        <f t="shared" si="21"/>
        <v>0.50621494315785376</v>
      </c>
      <c r="AZ47">
        <v>450</v>
      </c>
      <c r="BA47" s="1">
        <f t="shared" si="22"/>
        <v>0.47664355282419518</v>
      </c>
      <c r="BC47">
        <v>460</v>
      </c>
      <c r="BD47" s="1">
        <f t="shared" si="23"/>
        <v>2.9179018686233364</v>
      </c>
      <c r="BF47">
        <v>460</v>
      </c>
      <c r="BG47" s="1">
        <f t="shared" si="18"/>
        <v>6.768369565217391</v>
      </c>
      <c r="BI47">
        <v>460</v>
      </c>
      <c r="BJ47" s="1">
        <f t="shared" si="19"/>
        <v>10.260495798453569</v>
      </c>
      <c r="BL47">
        <v>460</v>
      </c>
      <c r="BM47" s="1">
        <f t="shared" si="20"/>
        <v>11.736353544194165</v>
      </c>
    </row>
    <row r="48" spans="2:65" x14ac:dyDescent="0.45">
      <c r="B48">
        <v>470</v>
      </c>
      <c r="C48" s="2">
        <f t="shared" si="1"/>
        <v>12.899612061633189</v>
      </c>
      <c r="D48" s="3">
        <f t="shared" si="2"/>
        <v>2.1276595744680851E-3</v>
      </c>
      <c r="E48" s="3">
        <f t="shared" si="3"/>
        <v>7.7521711135349627E-2</v>
      </c>
      <c r="G48">
        <v>470</v>
      </c>
      <c r="H48" s="1">
        <f t="shared" si="4"/>
        <v>12.240559672185549</v>
      </c>
      <c r="I48" s="1"/>
      <c r="J48">
        <v>470</v>
      </c>
      <c r="K48" s="1">
        <f t="shared" si="5"/>
        <v>11.486643894317693</v>
      </c>
      <c r="M48">
        <v>470</v>
      </c>
      <c r="N48" s="1">
        <f t="shared" si="6"/>
        <v>11.164191615998638</v>
      </c>
      <c r="P48">
        <v>470</v>
      </c>
      <c r="Q48" s="1">
        <f t="shared" si="7"/>
        <v>10.729168011373188</v>
      </c>
      <c r="S48">
        <v>470</v>
      </c>
      <c r="T48" s="1">
        <f t="shared" si="8"/>
        <v>10.41003927415867</v>
      </c>
      <c r="V48">
        <v>470</v>
      </c>
      <c r="W48" s="1">
        <f t="shared" si="9"/>
        <v>10.100785010711583</v>
      </c>
      <c r="Y48">
        <v>470</v>
      </c>
      <c r="Z48" s="1">
        <f t="shared" si="10"/>
        <v>10.042187377209874</v>
      </c>
      <c r="AB48">
        <v>470</v>
      </c>
      <c r="AC48" s="1">
        <f t="shared" si="11"/>
        <v>9.696346292370789</v>
      </c>
      <c r="AD48" s="1"/>
      <c r="AE48">
        <v>470</v>
      </c>
      <c r="AF48" s="1">
        <f t="shared" si="12"/>
        <v>9.3774311542279918</v>
      </c>
      <c r="AH48">
        <v>470</v>
      </c>
      <c r="AI48" s="1">
        <f t="shared" si="13"/>
        <v>9.1137179877717323</v>
      </c>
      <c r="AK48">
        <v>470</v>
      </c>
      <c r="AL48" s="1">
        <f t="shared" si="14"/>
        <v>9.0352818694700119</v>
      </c>
      <c r="AN48">
        <v>470</v>
      </c>
      <c r="AO48" s="1">
        <f t="shared" si="15"/>
        <v>8.9423462513008953</v>
      </c>
      <c r="AQ48">
        <v>470</v>
      </c>
      <c r="AR48" s="1">
        <f t="shared" si="16"/>
        <v>8.6378631751082651</v>
      </c>
      <c r="AT48">
        <v>470</v>
      </c>
      <c r="AU48" s="1">
        <f t="shared" si="17"/>
        <v>7.9674059286255092</v>
      </c>
      <c r="AW48">
        <v>460</v>
      </c>
      <c r="AX48" s="1">
        <f t="shared" si="21"/>
        <v>0.49521027048050908</v>
      </c>
      <c r="AZ48">
        <v>460</v>
      </c>
      <c r="BA48" s="1">
        <f t="shared" si="22"/>
        <v>0.46628173645845178</v>
      </c>
      <c r="BC48">
        <v>470</v>
      </c>
      <c r="BD48" s="1">
        <f t="shared" si="23"/>
        <v>2.8558188501419886</v>
      </c>
      <c r="BF48">
        <v>470</v>
      </c>
      <c r="BG48" s="1">
        <f t="shared" si="18"/>
        <v>6.6243617021276595</v>
      </c>
      <c r="BI48">
        <v>470</v>
      </c>
      <c r="BJ48" s="1">
        <f t="shared" si="19"/>
        <v>10.042187377209874</v>
      </c>
      <c r="BL48">
        <v>470</v>
      </c>
      <c r="BM48" s="1">
        <f t="shared" si="20"/>
        <v>11.486643894317693</v>
      </c>
    </row>
    <row r="49" spans="2:65" x14ac:dyDescent="0.45">
      <c r="B49">
        <v>480</v>
      </c>
      <c r="C49" s="2">
        <f t="shared" si="1"/>
        <v>12.630870143682497</v>
      </c>
      <c r="D49" s="3">
        <f t="shared" si="2"/>
        <v>2.0833333333333333E-3</v>
      </c>
      <c r="E49" s="3">
        <f t="shared" si="3"/>
        <v>7.9171109244612389E-2</v>
      </c>
      <c r="G49">
        <v>480</v>
      </c>
      <c r="H49" s="1">
        <f t="shared" si="4"/>
        <v>11.98554801234835</v>
      </c>
      <c r="I49" s="1"/>
      <c r="J49">
        <v>480</v>
      </c>
      <c r="K49" s="1">
        <f t="shared" si="5"/>
        <v>11.247338813186074</v>
      </c>
      <c r="M49">
        <v>480</v>
      </c>
      <c r="N49" s="1">
        <f t="shared" si="6"/>
        <v>10.931604290665332</v>
      </c>
      <c r="P49">
        <v>480</v>
      </c>
      <c r="Q49" s="1">
        <f t="shared" si="7"/>
        <v>10.505643677802913</v>
      </c>
      <c r="S49">
        <v>480</v>
      </c>
      <c r="T49" s="1">
        <f t="shared" si="8"/>
        <v>10.193163455947031</v>
      </c>
      <c r="V49">
        <v>480</v>
      </c>
      <c r="W49" s="1">
        <f t="shared" si="9"/>
        <v>9.8903519896550929</v>
      </c>
      <c r="Y49">
        <v>480</v>
      </c>
      <c r="Z49" s="1">
        <f t="shared" si="10"/>
        <v>9.8329751401846686</v>
      </c>
      <c r="AB49">
        <v>480</v>
      </c>
      <c r="AC49" s="1">
        <f t="shared" si="11"/>
        <v>9.4943390779463979</v>
      </c>
      <c r="AD49" s="1"/>
      <c r="AE49">
        <v>480</v>
      </c>
      <c r="AF49" s="1">
        <f t="shared" si="12"/>
        <v>9.1820680051815753</v>
      </c>
      <c r="AH49">
        <v>480</v>
      </c>
      <c r="AI49" s="1">
        <f t="shared" si="13"/>
        <v>8.9238488630264872</v>
      </c>
      <c r="AK49">
        <v>480</v>
      </c>
      <c r="AL49" s="1">
        <f t="shared" si="14"/>
        <v>8.8470468305227197</v>
      </c>
      <c r="AN49">
        <v>480</v>
      </c>
      <c r="AO49" s="1">
        <f t="shared" si="15"/>
        <v>8.7560473710654598</v>
      </c>
      <c r="AQ49">
        <v>480</v>
      </c>
      <c r="AR49" s="1">
        <f t="shared" si="16"/>
        <v>8.4579076922935101</v>
      </c>
      <c r="AT49">
        <v>480</v>
      </c>
      <c r="AU49" s="1">
        <f t="shared" si="17"/>
        <v>7.8014183051124775</v>
      </c>
      <c r="AW49">
        <v>470</v>
      </c>
      <c r="AX49" s="1">
        <f t="shared" si="21"/>
        <v>0.48467388174688125</v>
      </c>
      <c r="AZ49">
        <v>470</v>
      </c>
      <c r="BA49" s="1">
        <f t="shared" si="22"/>
        <v>0.45636084844869751</v>
      </c>
      <c r="BC49">
        <v>480</v>
      </c>
      <c r="BD49" s="1">
        <f t="shared" si="23"/>
        <v>2.796322624097364</v>
      </c>
      <c r="BF49">
        <v>480</v>
      </c>
      <c r="BG49" s="1">
        <f t="shared" si="18"/>
        <v>6.4863541666666666</v>
      </c>
      <c r="BI49">
        <v>480</v>
      </c>
      <c r="BJ49" s="1">
        <f t="shared" si="19"/>
        <v>9.8329751401846686</v>
      </c>
      <c r="BL49">
        <v>480</v>
      </c>
      <c r="BM49" s="1">
        <f t="shared" si="20"/>
        <v>11.247338813186074</v>
      </c>
    </row>
    <row r="50" spans="2:65" x14ac:dyDescent="0.45">
      <c r="B50">
        <v>490</v>
      </c>
      <c r="C50" s="2">
        <f t="shared" si="1"/>
        <v>12.373097283607343</v>
      </c>
      <c r="D50" s="3">
        <f t="shared" si="2"/>
        <v>2.0408163265306124E-3</v>
      </c>
      <c r="E50" s="3">
        <f t="shared" si="3"/>
        <v>8.0820507353875137E-2</v>
      </c>
      <c r="G50">
        <v>490</v>
      </c>
      <c r="H50" s="1">
        <f t="shared" si="4"/>
        <v>11.740944991688179</v>
      </c>
      <c r="I50" s="1"/>
      <c r="J50">
        <v>490</v>
      </c>
      <c r="K50" s="1">
        <f t="shared" si="5"/>
        <v>11.017801286386359</v>
      </c>
      <c r="M50">
        <v>490</v>
      </c>
      <c r="N50" s="1">
        <f t="shared" si="6"/>
        <v>10.708510325549714</v>
      </c>
      <c r="P50">
        <v>490</v>
      </c>
      <c r="Q50" s="1">
        <f t="shared" si="7"/>
        <v>10.291242786419181</v>
      </c>
      <c r="S50">
        <v>490</v>
      </c>
      <c r="T50" s="1">
        <f t="shared" si="8"/>
        <v>9.9851397119481131</v>
      </c>
      <c r="V50">
        <v>490</v>
      </c>
      <c r="W50" s="1">
        <f t="shared" si="9"/>
        <v>9.6885080714988661</v>
      </c>
      <c r="Y50">
        <v>490</v>
      </c>
      <c r="Z50" s="1">
        <f t="shared" si="10"/>
        <v>9.632302178140085</v>
      </c>
      <c r="AB50">
        <v>490</v>
      </c>
      <c r="AC50" s="1">
        <f t="shared" si="11"/>
        <v>9.3005770559474925</v>
      </c>
      <c r="AD50" s="1"/>
      <c r="AE50">
        <v>490</v>
      </c>
      <c r="AF50" s="1">
        <f t="shared" si="12"/>
        <v>8.9946788622186862</v>
      </c>
      <c r="AH50">
        <v>490</v>
      </c>
      <c r="AI50" s="1">
        <f t="shared" si="13"/>
        <v>8.7417294984749265</v>
      </c>
      <c r="AK50">
        <v>490</v>
      </c>
      <c r="AL50" s="1">
        <f t="shared" si="14"/>
        <v>8.6664948543896028</v>
      </c>
      <c r="AN50">
        <v>490</v>
      </c>
      <c r="AO50" s="1">
        <f t="shared" si="15"/>
        <v>8.577352526758002</v>
      </c>
      <c r="AQ50">
        <v>490</v>
      </c>
      <c r="AR50" s="1">
        <f t="shared" si="16"/>
        <v>8.2852973312262943</v>
      </c>
      <c r="AT50">
        <v>490</v>
      </c>
      <c r="AU50" s="1">
        <f t="shared" si="17"/>
        <v>7.6422056866407946</v>
      </c>
      <c r="AW50">
        <v>480</v>
      </c>
      <c r="AX50" s="1">
        <f t="shared" si="21"/>
        <v>0.47457650921048788</v>
      </c>
      <c r="AZ50">
        <v>480</v>
      </c>
      <c r="BA50" s="1">
        <f t="shared" si="22"/>
        <v>0.44685333077268297</v>
      </c>
      <c r="BC50">
        <v>490</v>
      </c>
      <c r="BD50" s="1">
        <f t="shared" si="23"/>
        <v>2.7392548154423157</v>
      </c>
      <c r="BF50">
        <v>490</v>
      </c>
      <c r="BG50" s="1">
        <f t="shared" si="18"/>
        <v>6.3539795918367341</v>
      </c>
      <c r="BI50">
        <v>490</v>
      </c>
      <c r="BJ50" s="1">
        <f t="shared" si="19"/>
        <v>9.632302178140085</v>
      </c>
      <c r="BL50">
        <v>490</v>
      </c>
      <c r="BM50" s="1">
        <f t="shared" si="20"/>
        <v>11.017801286386359</v>
      </c>
    </row>
    <row r="51" spans="2:65" x14ac:dyDescent="0.45">
      <c r="B51">
        <v>500</v>
      </c>
      <c r="C51" s="2">
        <f t="shared" si="1"/>
        <v>12.125635337935197</v>
      </c>
      <c r="D51" s="3">
        <f t="shared" si="2"/>
        <v>2E-3</v>
      </c>
      <c r="E51" s="3">
        <f t="shared" si="3"/>
        <v>8.2469905463137913E-2</v>
      </c>
      <c r="G51">
        <v>500</v>
      </c>
      <c r="H51" s="1">
        <f t="shared" si="4"/>
        <v>11.506126091854416</v>
      </c>
      <c r="I51" s="1"/>
      <c r="J51">
        <v>500</v>
      </c>
      <c r="K51" s="1">
        <f t="shared" si="5"/>
        <v>10.79744526065863</v>
      </c>
      <c r="M51">
        <v>500</v>
      </c>
      <c r="N51" s="1">
        <f t="shared" si="6"/>
        <v>10.49434011903872</v>
      </c>
      <c r="P51">
        <v>500</v>
      </c>
      <c r="Q51" s="1">
        <f t="shared" si="7"/>
        <v>10.085417930690797</v>
      </c>
      <c r="S51">
        <v>500</v>
      </c>
      <c r="T51" s="1">
        <f t="shared" si="8"/>
        <v>9.7854369177091503</v>
      </c>
      <c r="V51">
        <v>500</v>
      </c>
      <c r="W51" s="1">
        <f t="shared" si="9"/>
        <v>9.4947379100688885</v>
      </c>
      <c r="Y51">
        <v>500</v>
      </c>
      <c r="Z51" s="1">
        <f t="shared" si="10"/>
        <v>9.439656134577282</v>
      </c>
      <c r="AB51">
        <v>500</v>
      </c>
      <c r="AC51" s="1">
        <f t="shared" si="11"/>
        <v>9.1145655148285432</v>
      </c>
      <c r="AD51" s="1"/>
      <c r="AE51">
        <v>500</v>
      </c>
      <c r="AF51" s="1">
        <f t="shared" si="12"/>
        <v>8.8147852849743114</v>
      </c>
      <c r="AH51">
        <v>500</v>
      </c>
      <c r="AI51" s="1">
        <f t="shared" si="13"/>
        <v>8.5668949085054287</v>
      </c>
      <c r="AK51">
        <v>500</v>
      </c>
      <c r="AL51" s="1">
        <f t="shared" si="14"/>
        <v>8.4931649573018113</v>
      </c>
      <c r="AN51">
        <v>500</v>
      </c>
      <c r="AO51" s="1">
        <f t="shared" si="15"/>
        <v>8.4058054762228416</v>
      </c>
      <c r="AQ51">
        <v>500</v>
      </c>
      <c r="AR51" s="1">
        <f t="shared" si="16"/>
        <v>8.1195913846017689</v>
      </c>
      <c r="AT51">
        <v>500</v>
      </c>
      <c r="AU51" s="1">
        <f t="shared" si="17"/>
        <v>7.4893615729079785</v>
      </c>
      <c r="AW51">
        <v>490</v>
      </c>
      <c r="AX51" s="1">
        <f t="shared" si="21"/>
        <v>0.46489127432864119</v>
      </c>
      <c r="AZ51">
        <v>490</v>
      </c>
      <c r="BA51" s="1">
        <f t="shared" si="22"/>
        <v>0.43773387504262823</v>
      </c>
      <c r="BC51">
        <v>500</v>
      </c>
      <c r="BD51" s="1">
        <f t="shared" si="23"/>
        <v>2.6844697191334692</v>
      </c>
      <c r="BF51">
        <v>500</v>
      </c>
      <c r="BG51" s="1">
        <f t="shared" si="18"/>
        <v>6.2268999999999997</v>
      </c>
      <c r="BI51">
        <v>500</v>
      </c>
      <c r="BJ51" s="1">
        <f t="shared" si="19"/>
        <v>9.439656134577282</v>
      </c>
      <c r="BL51">
        <v>500</v>
      </c>
      <c r="BM51" s="1">
        <f t="shared" si="20"/>
        <v>10.79744526065863</v>
      </c>
    </row>
    <row r="52" spans="2:65" x14ac:dyDescent="0.45">
      <c r="B52">
        <v>510</v>
      </c>
      <c r="C52" s="2">
        <f t="shared" si="1"/>
        <v>11.887877782289408</v>
      </c>
      <c r="D52" s="3">
        <f t="shared" si="2"/>
        <v>1.9607843137254902E-3</v>
      </c>
      <c r="E52" s="3">
        <f t="shared" si="3"/>
        <v>8.4119303572400675E-2</v>
      </c>
      <c r="G52">
        <v>510</v>
      </c>
      <c r="H52" s="1">
        <f t="shared" si="4"/>
        <v>11.280515776327858</v>
      </c>
      <c r="I52" s="1"/>
      <c r="J52">
        <v>510</v>
      </c>
      <c r="K52" s="1">
        <f t="shared" si="5"/>
        <v>10.585730647704541</v>
      </c>
      <c r="M52">
        <v>510</v>
      </c>
      <c r="N52" s="1">
        <f t="shared" si="6"/>
        <v>10.288568744155608</v>
      </c>
      <c r="P52">
        <v>510</v>
      </c>
      <c r="Q52" s="1">
        <f t="shared" si="7"/>
        <v>9.8876646379321542</v>
      </c>
      <c r="S52">
        <v>510</v>
      </c>
      <c r="T52" s="1">
        <f t="shared" si="8"/>
        <v>9.5935656055972061</v>
      </c>
      <c r="V52">
        <v>510</v>
      </c>
      <c r="W52" s="1">
        <f t="shared" si="9"/>
        <v>9.30856657849891</v>
      </c>
      <c r="Y52">
        <v>510</v>
      </c>
      <c r="Z52" s="1">
        <f t="shared" si="10"/>
        <v>9.2545648378208654</v>
      </c>
      <c r="AB52">
        <v>510</v>
      </c>
      <c r="AC52" s="1">
        <f t="shared" si="11"/>
        <v>8.9358485439495521</v>
      </c>
      <c r="AD52" s="1"/>
      <c r="AE52">
        <v>510</v>
      </c>
      <c r="AF52" s="1">
        <f t="shared" si="12"/>
        <v>8.6419463578179538</v>
      </c>
      <c r="AH52">
        <v>510</v>
      </c>
      <c r="AI52" s="1">
        <f t="shared" si="13"/>
        <v>8.3989165769661067</v>
      </c>
      <c r="AK52">
        <v>510</v>
      </c>
      <c r="AL52" s="1">
        <f t="shared" si="14"/>
        <v>8.326632311080207</v>
      </c>
      <c r="AN52">
        <v>510</v>
      </c>
      <c r="AO52" s="1">
        <f t="shared" si="15"/>
        <v>8.2409857610027863</v>
      </c>
      <c r="AQ52">
        <v>510</v>
      </c>
      <c r="AR52" s="1">
        <f t="shared" si="16"/>
        <v>7.9603837103938915</v>
      </c>
      <c r="AT52">
        <v>510</v>
      </c>
      <c r="AU52" s="1">
        <f t="shared" si="17"/>
        <v>7.3425113459882141</v>
      </c>
      <c r="AW52">
        <v>500</v>
      </c>
      <c r="AX52" s="1">
        <f t="shared" si="21"/>
        <v>0.45559344884206837</v>
      </c>
      <c r="AZ52">
        <v>500</v>
      </c>
      <c r="BA52" s="1">
        <f t="shared" si="22"/>
        <v>0.42897919754177566</v>
      </c>
      <c r="BC52">
        <v>510</v>
      </c>
      <c r="BD52" s="1">
        <f t="shared" si="23"/>
        <v>2.6318330579739895</v>
      </c>
      <c r="BF52">
        <v>510</v>
      </c>
      <c r="BG52" s="1">
        <f t="shared" si="18"/>
        <v>6.1048039215686272</v>
      </c>
      <c r="BI52">
        <v>510</v>
      </c>
      <c r="BJ52" s="1">
        <f t="shared" si="19"/>
        <v>9.2545648378208654</v>
      </c>
      <c r="BL52">
        <v>510</v>
      </c>
      <c r="BM52" s="1">
        <f t="shared" si="20"/>
        <v>10.585730647704541</v>
      </c>
    </row>
    <row r="53" spans="2:65" x14ac:dyDescent="0.45">
      <c r="B53">
        <v>520</v>
      </c>
      <c r="C53" s="2">
        <f t="shared" si="1"/>
        <v>11.659264748014612</v>
      </c>
      <c r="D53" s="3">
        <f t="shared" si="2"/>
        <v>1.9230769230769232E-3</v>
      </c>
      <c r="E53" s="3">
        <f t="shared" si="3"/>
        <v>8.5768701681663423E-2</v>
      </c>
      <c r="G53">
        <v>520</v>
      </c>
      <c r="H53" s="1">
        <f t="shared" si="4"/>
        <v>11.063582780629247</v>
      </c>
      <c r="I53" s="1"/>
      <c r="J53">
        <v>520</v>
      </c>
      <c r="K53" s="1">
        <f t="shared" si="5"/>
        <v>10.382158904479454</v>
      </c>
      <c r="M53">
        <v>520</v>
      </c>
      <c r="N53" s="1">
        <f t="shared" si="6"/>
        <v>10.090711652921845</v>
      </c>
      <c r="P53">
        <v>520</v>
      </c>
      <c r="Q53" s="1">
        <f t="shared" si="7"/>
        <v>9.6975172410488426</v>
      </c>
      <c r="S53">
        <v>520</v>
      </c>
      <c r="T53" s="1">
        <f t="shared" si="8"/>
        <v>9.4090739593357213</v>
      </c>
      <c r="V53">
        <v>520</v>
      </c>
      <c r="W53" s="1">
        <f t="shared" si="9"/>
        <v>9.1295556827585465</v>
      </c>
      <c r="Y53">
        <v>520</v>
      </c>
      <c r="Z53" s="1">
        <f t="shared" si="10"/>
        <v>9.0765924370935416</v>
      </c>
      <c r="AB53">
        <v>520</v>
      </c>
      <c r="AC53" s="1">
        <f t="shared" si="11"/>
        <v>8.7640053027197524</v>
      </c>
      <c r="AD53" s="1"/>
      <c r="AE53">
        <v>520</v>
      </c>
      <c r="AF53" s="1">
        <f t="shared" si="12"/>
        <v>8.4757550817060689</v>
      </c>
      <c r="AH53">
        <v>520</v>
      </c>
      <c r="AI53" s="1">
        <f t="shared" si="13"/>
        <v>8.2373989504859892</v>
      </c>
      <c r="AK53">
        <v>520</v>
      </c>
      <c r="AL53" s="1">
        <f t="shared" si="14"/>
        <v>8.1665047666363577</v>
      </c>
      <c r="AN53">
        <v>520</v>
      </c>
      <c r="AO53" s="1">
        <f t="shared" si="15"/>
        <v>8.0825052655988863</v>
      </c>
      <c r="AQ53">
        <v>520</v>
      </c>
      <c r="AR53" s="1">
        <f t="shared" si="16"/>
        <v>7.8072994082709322</v>
      </c>
      <c r="AT53">
        <v>520</v>
      </c>
      <c r="AU53" s="1">
        <f t="shared" si="17"/>
        <v>7.2013092047192098</v>
      </c>
      <c r="AW53">
        <v>510</v>
      </c>
      <c r="AX53" s="1">
        <f t="shared" si="21"/>
        <v>0.44666024396281212</v>
      </c>
      <c r="AZ53">
        <v>510</v>
      </c>
      <c r="BA53" s="1">
        <f t="shared" si="22"/>
        <v>0.42056784072723102</v>
      </c>
      <c r="BC53">
        <v>520</v>
      </c>
      <c r="BD53" s="1">
        <f t="shared" si="23"/>
        <v>2.5812208837821822</v>
      </c>
      <c r="BF53">
        <v>520</v>
      </c>
      <c r="BG53" s="1">
        <f t="shared" si="18"/>
        <v>5.9874038461538461</v>
      </c>
      <c r="BI53">
        <v>520</v>
      </c>
      <c r="BJ53" s="1">
        <f t="shared" si="19"/>
        <v>9.0765924370935416</v>
      </c>
      <c r="BL53">
        <v>520</v>
      </c>
      <c r="BM53" s="1">
        <f t="shared" si="20"/>
        <v>10.382158904479454</v>
      </c>
    </row>
    <row r="54" spans="2:65" x14ac:dyDescent="0.45">
      <c r="B54">
        <v>530</v>
      </c>
      <c r="C54" s="2">
        <f t="shared" si="1"/>
        <v>11.439278620693582</v>
      </c>
      <c r="D54" s="3">
        <f t="shared" si="2"/>
        <v>1.8867924528301887E-3</v>
      </c>
      <c r="E54" s="3">
        <f t="shared" si="3"/>
        <v>8.7418099790926185E-2</v>
      </c>
      <c r="G54">
        <v>530</v>
      </c>
      <c r="H54" s="1">
        <f t="shared" si="4"/>
        <v>10.854835935711712</v>
      </c>
      <c r="I54" s="1"/>
      <c r="J54">
        <v>530</v>
      </c>
      <c r="K54" s="1">
        <f t="shared" si="5"/>
        <v>10.186269113828898</v>
      </c>
      <c r="M54">
        <v>530</v>
      </c>
      <c r="N54" s="1">
        <f t="shared" si="6"/>
        <v>9.9003208670176601</v>
      </c>
      <c r="P54">
        <v>530</v>
      </c>
      <c r="Q54" s="1">
        <f t="shared" si="7"/>
        <v>9.5145452176328273</v>
      </c>
      <c r="S54">
        <v>530</v>
      </c>
      <c r="T54" s="1">
        <f t="shared" si="8"/>
        <v>9.2315442619897645</v>
      </c>
      <c r="V54">
        <v>530</v>
      </c>
      <c r="W54" s="1">
        <f t="shared" si="9"/>
        <v>8.9572999151593287</v>
      </c>
      <c r="Y54">
        <v>530</v>
      </c>
      <c r="Z54" s="1">
        <f t="shared" si="10"/>
        <v>8.9053359760163051</v>
      </c>
      <c r="AB54">
        <v>530</v>
      </c>
      <c r="AC54" s="1">
        <f t="shared" si="11"/>
        <v>8.5986467121023988</v>
      </c>
      <c r="AD54" s="1"/>
      <c r="AE54">
        <v>530</v>
      </c>
      <c r="AF54" s="1">
        <f t="shared" si="12"/>
        <v>8.315835174504068</v>
      </c>
      <c r="AH54">
        <v>530</v>
      </c>
      <c r="AI54" s="1">
        <f t="shared" si="13"/>
        <v>8.0819763287787065</v>
      </c>
      <c r="AK54">
        <v>530</v>
      </c>
      <c r="AL54" s="1">
        <f t="shared" si="14"/>
        <v>8.0124197710394451</v>
      </c>
      <c r="AN54">
        <v>530</v>
      </c>
      <c r="AO54" s="1">
        <f t="shared" si="15"/>
        <v>7.9300051662479643</v>
      </c>
      <c r="AQ54">
        <v>530</v>
      </c>
      <c r="AR54" s="1">
        <f t="shared" si="16"/>
        <v>7.6599918722658202</v>
      </c>
      <c r="AT54">
        <v>530</v>
      </c>
      <c r="AU54" s="1">
        <f t="shared" si="17"/>
        <v>7.0654354461396025</v>
      </c>
      <c r="AW54">
        <v>520</v>
      </c>
      <c r="AX54" s="1">
        <f t="shared" si="21"/>
        <v>0.43807062388660423</v>
      </c>
      <c r="AZ54">
        <v>520</v>
      </c>
      <c r="BA54" s="1">
        <f t="shared" si="22"/>
        <v>0.41247999763632276</v>
      </c>
      <c r="BC54">
        <v>530</v>
      </c>
      <c r="BD54" s="1">
        <f t="shared" si="23"/>
        <v>2.5325186029561033</v>
      </c>
      <c r="BF54">
        <v>530</v>
      </c>
      <c r="BG54" s="1">
        <f t="shared" si="18"/>
        <v>5.8744339622641508</v>
      </c>
      <c r="BI54">
        <v>530</v>
      </c>
      <c r="BJ54" s="1">
        <f t="shared" si="19"/>
        <v>8.9053359760163051</v>
      </c>
      <c r="BL54">
        <v>530</v>
      </c>
      <c r="BM54" s="1">
        <f t="shared" si="20"/>
        <v>10.186269113828898</v>
      </c>
    </row>
    <row r="55" spans="2:65" x14ac:dyDescent="0.45">
      <c r="B55">
        <v>540</v>
      </c>
      <c r="C55" s="2">
        <f t="shared" si="1"/>
        <v>11.227440127717776</v>
      </c>
      <c r="D55" s="3">
        <f t="shared" si="2"/>
        <v>1.8518518518518519E-3</v>
      </c>
      <c r="E55" s="3">
        <f t="shared" si="3"/>
        <v>8.9067497900188933E-2</v>
      </c>
      <c r="G55">
        <v>540</v>
      </c>
      <c r="H55" s="1">
        <f t="shared" si="4"/>
        <v>10.653820455420755</v>
      </c>
      <c r="I55" s="1"/>
      <c r="J55">
        <v>540</v>
      </c>
      <c r="K55" s="1">
        <f t="shared" si="5"/>
        <v>9.997634500609843</v>
      </c>
      <c r="M55">
        <v>540</v>
      </c>
      <c r="N55" s="1">
        <f t="shared" si="6"/>
        <v>9.7169815917025186</v>
      </c>
      <c r="P55">
        <v>540</v>
      </c>
      <c r="Q55" s="1">
        <f t="shared" si="7"/>
        <v>9.3383499358248123</v>
      </c>
      <c r="S55">
        <v>540</v>
      </c>
      <c r="T55" s="1">
        <f t="shared" si="8"/>
        <v>9.0605897386195835</v>
      </c>
      <c r="V55">
        <v>540</v>
      </c>
      <c r="W55" s="1">
        <f t="shared" si="9"/>
        <v>8.7914239908045264</v>
      </c>
      <c r="Y55">
        <v>540</v>
      </c>
      <c r="Z55" s="1">
        <f t="shared" si="10"/>
        <v>8.7404223468308171</v>
      </c>
      <c r="AB55">
        <v>540</v>
      </c>
      <c r="AC55" s="1">
        <f t="shared" si="11"/>
        <v>8.4394125137301312</v>
      </c>
      <c r="AD55" s="1"/>
      <c r="AE55">
        <v>540</v>
      </c>
      <c r="AF55" s="1">
        <f t="shared" si="12"/>
        <v>8.1618382268280669</v>
      </c>
      <c r="AH55">
        <v>540</v>
      </c>
      <c r="AI55" s="1">
        <f t="shared" si="13"/>
        <v>7.9323101004679888</v>
      </c>
      <c r="AK55">
        <v>540</v>
      </c>
      <c r="AL55" s="1">
        <f t="shared" si="14"/>
        <v>7.8640416271313063</v>
      </c>
      <c r="AN55">
        <v>540</v>
      </c>
      <c r="AO55" s="1">
        <f t="shared" si="15"/>
        <v>7.7831532187248538</v>
      </c>
      <c r="AQ55">
        <v>540</v>
      </c>
      <c r="AR55" s="1">
        <f t="shared" si="16"/>
        <v>7.5181401709275644</v>
      </c>
      <c r="AT55">
        <v>540</v>
      </c>
      <c r="AU55" s="1">
        <f t="shared" si="17"/>
        <v>6.9345940489888687</v>
      </c>
      <c r="AW55">
        <v>530</v>
      </c>
      <c r="AX55" s="1">
        <f t="shared" si="21"/>
        <v>0.42980514041704565</v>
      </c>
      <c r="AZ55">
        <v>530</v>
      </c>
      <c r="BA55" s="1">
        <f t="shared" si="22"/>
        <v>0.40469735617148644</v>
      </c>
      <c r="BC55">
        <v>540</v>
      </c>
      <c r="BD55" s="1">
        <f t="shared" si="23"/>
        <v>2.4856201103087678</v>
      </c>
      <c r="BF55">
        <v>540</v>
      </c>
      <c r="BG55" s="1">
        <f t="shared" si="18"/>
        <v>5.7656481481481476</v>
      </c>
      <c r="BI55">
        <v>540</v>
      </c>
      <c r="BJ55" s="1">
        <f t="shared" si="19"/>
        <v>8.7404223468308171</v>
      </c>
      <c r="BL55">
        <v>540</v>
      </c>
      <c r="BM55" s="1">
        <f t="shared" si="20"/>
        <v>9.997634500609843</v>
      </c>
    </row>
    <row r="56" spans="2:65" x14ac:dyDescent="0.45">
      <c r="B56">
        <v>550</v>
      </c>
      <c r="C56" s="2">
        <f t="shared" si="1"/>
        <v>11.02330485266836</v>
      </c>
      <c r="D56" s="3">
        <f t="shared" si="2"/>
        <v>1.8181818181818182E-3</v>
      </c>
      <c r="E56" s="3">
        <f t="shared" si="3"/>
        <v>9.0716896009451709E-2</v>
      </c>
      <c r="G56">
        <v>550</v>
      </c>
      <c r="H56" s="1">
        <f t="shared" si="4"/>
        <v>10.460114628958559</v>
      </c>
      <c r="I56" s="1"/>
      <c r="J56">
        <v>550</v>
      </c>
      <c r="K56" s="1">
        <f t="shared" si="5"/>
        <v>9.8158593278714825</v>
      </c>
      <c r="M56">
        <v>550</v>
      </c>
      <c r="N56" s="1">
        <f t="shared" si="6"/>
        <v>9.5403091991261082</v>
      </c>
      <c r="P56">
        <v>550</v>
      </c>
      <c r="Q56" s="1">
        <f t="shared" si="7"/>
        <v>9.1685617551734513</v>
      </c>
      <c r="S56">
        <v>550</v>
      </c>
      <c r="T56" s="1">
        <f t="shared" si="8"/>
        <v>8.8958517433719546</v>
      </c>
      <c r="V56">
        <v>550</v>
      </c>
      <c r="W56" s="1">
        <f t="shared" si="9"/>
        <v>8.6315799182444444</v>
      </c>
      <c r="Y56">
        <v>550</v>
      </c>
      <c r="Z56" s="1">
        <f t="shared" si="10"/>
        <v>8.5815055768884392</v>
      </c>
      <c r="AB56">
        <v>550</v>
      </c>
      <c r="AC56" s="1">
        <f t="shared" si="11"/>
        <v>8.2859686498441292</v>
      </c>
      <c r="AD56" s="1"/>
      <c r="AE56">
        <v>550</v>
      </c>
      <c r="AF56" s="1">
        <f t="shared" si="12"/>
        <v>8.0134411681584652</v>
      </c>
      <c r="AH56">
        <v>550</v>
      </c>
      <c r="AI56" s="1">
        <f t="shared" si="13"/>
        <v>7.7880862804594804</v>
      </c>
      <c r="AK56">
        <v>550</v>
      </c>
      <c r="AL56" s="1">
        <f t="shared" si="14"/>
        <v>7.7210590520925555</v>
      </c>
      <c r="AN56">
        <v>550</v>
      </c>
      <c r="AO56" s="1">
        <f t="shared" si="15"/>
        <v>7.6416413420207654</v>
      </c>
      <c r="AQ56">
        <v>550</v>
      </c>
      <c r="AR56" s="1">
        <f t="shared" si="16"/>
        <v>7.381446713274336</v>
      </c>
      <c r="AT56">
        <v>550</v>
      </c>
      <c r="AU56" s="1">
        <f t="shared" si="17"/>
        <v>6.8085105208254353</v>
      </c>
      <c r="AW56">
        <v>540</v>
      </c>
      <c r="AX56" s="1">
        <f t="shared" si="21"/>
        <v>0.42184578596487809</v>
      </c>
      <c r="AZ56">
        <v>540</v>
      </c>
      <c r="BA56" s="1">
        <f t="shared" si="22"/>
        <v>0.39720296068682931</v>
      </c>
      <c r="BC56">
        <v>550</v>
      </c>
      <c r="BD56" s="1">
        <f t="shared" si="23"/>
        <v>2.4404270173940632</v>
      </c>
      <c r="BF56">
        <v>550</v>
      </c>
      <c r="BG56" s="1">
        <f t="shared" si="18"/>
        <v>5.6608181818181817</v>
      </c>
      <c r="BI56">
        <v>550</v>
      </c>
      <c r="BJ56" s="1">
        <f t="shared" si="19"/>
        <v>8.5815055768884392</v>
      </c>
      <c r="BL56">
        <v>550</v>
      </c>
      <c r="BM56" s="1">
        <f t="shared" si="20"/>
        <v>9.8158593278714825</v>
      </c>
    </row>
    <row r="57" spans="2:65" x14ac:dyDescent="0.45">
      <c r="B57">
        <v>560</v>
      </c>
      <c r="C57" s="2">
        <f t="shared" si="1"/>
        <v>10.826460123156426</v>
      </c>
      <c r="D57" s="3">
        <f t="shared" si="2"/>
        <v>1.7857142857142857E-3</v>
      </c>
      <c r="E57" s="3">
        <f t="shared" si="3"/>
        <v>9.236629411871447E-2</v>
      </c>
      <c r="G57">
        <v>560</v>
      </c>
      <c r="H57" s="1">
        <f t="shared" si="4"/>
        <v>10.273326867727157</v>
      </c>
      <c r="I57" s="1"/>
      <c r="J57">
        <v>560</v>
      </c>
      <c r="K57" s="1">
        <f t="shared" si="5"/>
        <v>9.6405761255880638</v>
      </c>
      <c r="M57">
        <v>560</v>
      </c>
      <c r="N57" s="1">
        <f t="shared" si="6"/>
        <v>9.369946534856</v>
      </c>
      <c r="P57">
        <v>560</v>
      </c>
      <c r="Q57" s="1">
        <f t="shared" si="7"/>
        <v>9.0048374381167839</v>
      </c>
      <c r="S57">
        <v>560</v>
      </c>
      <c r="T57" s="1">
        <f t="shared" si="8"/>
        <v>8.7369972479545979</v>
      </c>
      <c r="V57">
        <v>560</v>
      </c>
      <c r="W57" s="1">
        <f t="shared" si="9"/>
        <v>8.4774445625615069</v>
      </c>
      <c r="Y57">
        <v>560</v>
      </c>
      <c r="Z57" s="1">
        <f t="shared" si="10"/>
        <v>8.4282644058725733</v>
      </c>
      <c r="AB57">
        <v>560</v>
      </c>
      <c r="AC57" s="1">
        <f t="shared" si="11"/>
        <v>8.1380049239540551</v>
      </c>
      <c r="AD57" s="1"/>
      <c r="AE57">
        <v>560</v>
      </c>
      <c r="AF57" s="1">
        <f t="shared" si="12"/>
        <v>7.8703440044413497</v>
      </c>
      <c r="AH57">
        <v>560</v>
      </c>
      <c r="AI57" s="1">
        <f t="shared" si="13"/>
        <v>7.6490133111655609</v>
      </c>
      <c r="AK57">
        <v>560</v>
      </c>
      <c r="AL57" s="1">
        <f t="shared" si="14"/>
        <v>7.5831829975909031</v>
      </c>
      <c r="AN57">
        <v>560</v>
      </c>
      <c r="AO57" s="1">
        <f t="shared" si="15"/>
        <v>7.5051834609132522</v>
      </c>
      <c r="AQ57">
        <v>560</v>
      </c>
      <c r="AR57" s="1">
        <f t="shared" si="16"/>
        <v>7.2496351648230082</v>
      </c>
      <c r="AT57">
        <v>560</v>
      </c>
      <c r="AU57" s="1">
        <f t="shared" si="17"/>
        <v>6.6869299758106946</v>
      </c>
      <c r="AW57">
        <v>550</v>
      </c>
      <c r="AX57" s="1">
        <f t="shared" si="21"/>
        <v>0.41417586258369854</v>
      </c>
      <c r="AZ57">
        <v>550</v>
      </c>
      <c r="BA57" s="1">
        <f t="shared" si="22"/>
        <v>0.3899810886743415</v>
      </c>
      <c r="BC57">
        <v>560</v>
      </c>
      <c r="BD57" s="1">
        <f t="shared" si="23"/>
        <v>2.3968479635120263</v>
      </c>
      <c r="BF57">
        <v>560</v>
      </c>
      <c r="BG57" s="1">
        <f t="shared" si="18"/>
        <v>5.5597321428571425</v>
      </c>
      <c r="BI57">
        <v>560</v>
      </c>
      <c r="BJ57" s="1">
        <f t="shared" si="19"/>
        <v>8.4282644058725733</v>
      </c>
      <c r="BL57">
        <v>560</v>
      </c>
      <c r="BM57" s="1">
        <f t="shared" si="20"/>
        <v>9.6405761255880638</v>
      </c>
    </row>
    <row r="58" spans="2:65" x14ac:dyDescent="0.45">
      <c r="B58">
        <v>570</v>
      </c>
      <c r="C58" s="2">
        <f t="shared" si="1"/>
        <v>10.636522226258945</v>
      </c>
      <c r="D58" s="3">
        <f t="shared" si="2"/>
        <v>1.7543859649122807E-3</v>
      </c>
      <c r="E58" s="3">
        <f t="shared" si="3"/>
        <v>9.4015692227977218E-2</v>
      </c>
      <c r="G58">
        <v>570</v>
      </c>
      <c r="H58" s="1">
        <f t="shared" si="4"/>
        <v>10.093093063030189</v>
      </c>
      <c r="I58" s="1"/>
      <c r="J58">
        <v>570</v>
      </c>
      <c r="K58" s="1">
        <f t="shared" si="5"/>
        <v>9.471443211104063</v>
      </c>
      <c r="M58">
        <v>570</v>
      </c>
      <c r="N58" s="1">
        <f t="shared" si="6"/>
        <v>9.2055615079287012</v>
      </c>
      <c r="P58">
        <v>570</v>
      </c>
      <c r="Q58" s="1">
        <f t="shared" si="7"/>
        <v>8.8468578339392963</v>
      </c>
      <c r="S58">
        <v>570</v>
      </c>
      <c r="T58" s="1">
        <f t="shared" si="8"/>
        <v>8.5837165944817109</v>
      </c>
      <c r="V58">
        <v>570</v>
      </c>
      <c r="W58" s="1">
        <f t="shared" si="9"/>
        <v>8.3287174649727085</v>
      </c>
      <c r="Y58">
        <v>570</v>
      </c>
      <c r="Z58" s="1">
        <f t="shared" si="10"/>
        <v>8.2804001180502471</v>
      </c>
      <c r="AB58">
        <v>570</v>
      </c>
      <c r="AC58" s="1">
        <f t="shared" si="11"/>
        <v>7.9952329077443354</v>
      </c>
      <c r="AD58" s="1"/>
      <c r="AE58">
        <v>570</v>
      </c>
      <c r="AF58" s="1">
        <f t="shared" si="12"/>
        <v>7.7322677938371163</v>
      </c>
      <c r="AH58">
        <v>570</v>
      </c>
      <c r="AI58" s="1">
        <f t="shared" si="13"/>
        <v>7.5148200951802</v>
      </c>
      <c r="AK58">
        <v>570</v>
      </c>
      <c r="AL58" s="1">
        <f t="shared" si="14"/>
        <v>7.450144699387554</v>
      </c>
      <c r="AN58">
        <v>570</v>
      </c>
      <c r="AO58" s="1">
        <f t="shared" si="15"/>
        <v>7.3735135756340719</v>
      </c>
      <c r="AQ58">
        <v>570</v>
      </c>
      <c r="AR58" s="1">
        <f t="shared" si="16"/>
        <v>7.1224485829840081</v>
      </c>
      <c r="AT58">
        <v>570</v>
      </c>
      <c r="AU58" s="1">
        <f t="shared" si="17"/>
        <v>6.56961541483156</v>
      </c>
      <c r="AW58">
        <v>560</v>
      </c>
      <c r="AX58" s="1">
        <f t="shared" si="21"/>
        <v>0.40677986503756103</v>
      </c>
      <c r="AZ58">
        <v>560</v>
      </c>
      <c r="BA58" s="1">
        <f t="shared" si="22"/>
        <v>0.38301714066229969</v>
      </c>
      <c r="BC58">
        <v>570</v>
      </c>
      <c r="BD58" s="1">
        <f t="shared" si="23"/>
        <v>2.3547979992398855</v>
      </c>
      <c r="BF58">
        <v>570</v>
      </c>
      <c r="BG58" s="1">
        <f t="shared" si="18"/>
        <v>5.4621929824561404</v>
      </c>
      <c r="BI58">
        <v>570</v>
      </c>
      <c r="BJ58" s="1">
        <f t="shared" si="19"/>
        <v>8.2804001180502471</v>
      </c>
      <c r="BL58">
        <v>570</v>
      </c>
      <c r="BM58" s="1">
        <f t="shared" si="20"/>
        <v>9.471443211104063</v>
      </c>
    </row>
    <row r="59" spans="2:65" x14ac:dyDescent="0.45">
      <c r="B59">
        <v>580</v>
      </c>
      <c r="C59" s="2">
        <f t="shared" si="1"/>
        <v>10.453133912013101</v>
      </c>
      <c r="D59" s="3">
        <f t="shared" si="2"/>
        <v>1.7241379310344827E-3</v>
      </c>
      <c r="E59" s="3">
        <f t="shared" si="3"/>
        <v>9.566509033723998E-2</v>
      </c>
      <c r="G59">
        <v>580</v>
      </c>
      <c r="H59" s="1">
        <f t="shared" si="4"/>
        <v>9.9190742171158757</v>
      </c>
      <c r="I59" s="1"/>
      <c r="J59">
        <v>580</v>
      </c>
      <c r="K59" s="1">
        <f t="shared" si="5"/>
        <v>9.3081424660850267</v>
      </c>
      <c r="M59">
        <v>580</v>
      </c>
      <c r="N59" s="1">
        <f t="shared" si="6"/>
        <v>9.0468449302057934</v>
      </c>
      <c r="P59">
        <v>580</v>
      </c>
      <c r="Q59" s="1">
        <f t="shared" si="7"/>
        <v>8.6943258023196535</v>
      </c>
      <c r="S59">
        <v>580</v>
      </c>
      <c r="T59" s="1">
        <f t="shared" si="8"/>
        <v>8.4357214807837497</v>
      </c>
      <c r="V59">
        <v>580</v>
      </c>
      <c r="W59" s="1">
        <f t="shared" si="9"/>
        <v>8.1851188879904218</v>
      </c>
      <c r="Y59">
        <v>580</v>
      </c>
      <c r="Z59" s="1">
        <f t="shared" si="10"/>
        <v>8.1376345987735199</v>
      </c>
      <c r="AB59">
        <v>580</v>
      </c>
      <c r="AC59" s="1">
        <f t="shared" si="11"/>
        <v>7.8573840645073645</v>
      </c>
      <c r="AD59" s="1"/>
      <c r="AE59">
        <v>580</v>
      </c>
      <c r="AF59" s="1">
        <f t="shared" si="12"/>
        <v>7.5989528318744073</v>
      </c>
      <c r="AH59">
        <v>580</v>
      </c>
      <c r="AI59" s="1">
        <f t="shared" si="13"/>
        <v>7.3852542314701966</v>
      </c>
      <c r="AK59">
        <v>580</v>
      </c>
      <c r="AL59" s="1">
        <f t="shared" si="14"/>
        <v>7.3216939287084584</v>
      </c>
      <c r="AN59">
        <v>580</v>
      </c>
      <c r="AO59" s="1">
        <f t="shared" si="15"/>
        <v>7.2463840312265884</v>
      </c>
      <c r="AQ59">
        <v>580</v>
      </c>
      <c r="AR59" s="1">
        <f t="shared" si="16"/>
        <v>6.999647745346353</v>
      </c>
      <c r="AT59">
        <v>580</v>
      </c>
      <c r="AU59" s="1">
        <f t="shared" si="17"/>
        <v>6.4563461835413607</v>
      </c>
      <c r="AW59">
        <v>570</v>
      </c>
      <c r="AX59" s="1">
        <f t="shared" si="21"/>
        <v>0.39964337617725293</v>
      </c>
      <c r="AZ59">
        <v>570</v>
      </c>
      <c r="BA59" s="1">
        <f t="shared" si="22"/>
        <v>0.37629754170331198</v>
      </c>
      <c r="BC59">
        <v>580</v>
      </c>
      <c r="BD59" s="1">
        <f t="shared" si="23"/>
        <v>2.3141980337357495</v>
      </c>
      <c r="BF59">
        <v>580</v>
      </c>
      <c r="BG59" s="1">
        <f t="shared" si="18"/>
        <v>5.3680172413793104</v>
      </c>
      <c r="BI59">
        <v>580</v>
      </c>
      <c r="BJ59" s="1">
        <f t="shared" si="19"/>
        <v>8.1376345987735199</v>
      </c>
      <c r="BL59">
        <v>580</v>
      </c>
      <c r="BM59" s="1">
        <f t="shared" si="20"/>
        <v>9.3081424660850267</v>
      </c>
    </row>
    <row r="60" spans="2:65" x14ac:dyDescent="0.45">
      <c r="B60">
        <v>590</v>
      </c>
      <c r="C60" s="2">
        <f t="shared" si="1"/>
        <v>10.275962150792539</v>
      </c>
      <c r="D60" s="3">
        <f t="shared" si="2"/>
        <v>1.6949152542372881E-3</v>
      </c>
      <c r="E60" s="3">
        <f t="shared" si="3"/>
        <v>9.7314488446502742E-2</v>
      </c>
      <c r="G60">
        <v>590</v>
      </c>
      <c r="H60" s="1">
        <f t="shared" si="4"/>
        <v>9.7509543151308602</v>
      </c>
      <c r="I60" s="1"/>
      <c r="J60">
        <v>590</v>
      </c>
      <c r="K60" s="1">
        <f t="shared" si="5"/>
        <v>9.1503773395412136</v>
      </c>
      <c r="M60">
        <v>590</v>
      </c>
      <c r="N60" s="1">
        <f t="shared" si="6"/>
        <v>8.8935085754565417</v>
      </c>
      <c r="P60">
        <v>590</v>
      </c>
      <c r="Q60" s="1">
        <f t="shared" si="7"/>
        <v>8.5469643480430477</v>
      </c>
      <c r="S60">
        <v>590</v>
      </c>
      <c r="T60" s="1">
        <f t="shared" si="8"/>
        <v>8.292743150600975</v>
      </c>
      <c r="V60">
        <v>590</v>
      </c>
      <c r="W60" s="1">
        <f t="shared" si="9"/>
        <v>8.0463880593804138</v>
      </c>
      <c r="Y60">
        <v>590</v>
      </c>
      <c r="Z60" s="1">
        <f t="shared" si="10"/>
        <v>7.9997085886248156</v>
      </c>
      <c r="AB60">
        <v>590</v>
      </c>
      <c r="AC60" s="1">
        <f t="shared" si="11"/>
        <v>7.7242080634140189</v>
      </c>
      <c r="AD60" s="1"/>
      <c r="AE60">
        <v>590</v>
      </c>
      <c r="AF60" s="1">
        <f t="shared" si="12"/>
        <v>7.4701570211646713</v>
      </c>
      <c r="AH60">
        <v>590</v>
      </c>
      <c r="AI60" s="1">
        <f t="shared" si="13"/>
        <v>7.2600804309368039</v>
      </c>
      <c r="AK60">
        <v>590</v>
      </c>
      <c r="AL60" s="1">
        <f t="shared" si="14"/>
        <v>7.1975974214422127</v>
      </c>
      <c r="AN60">
        <v>590</v>
      </c>
      <c r="AO60" s="1">
        <f t="shared" si="15"/>
        <v>7.1235639629007137</v>
      </c>
      <c r="AQ60">
        <v>590</v>
      </c>
      <c r="AR60" s="1">
        <f t="shared" si="16"/>
        <v>6.8810096479676011</v>
      </c>
      <c r="AT60">
        <v>590</v>
      </c>
      <c r="AU60" s="1">
        <f t="shared" si="17"/>
        <v>6.346916587210151</v>
      </c>
      <c r="AW60">
        <v>580</v>
      </c>
      <c r="AX60" s="1">
        <f t="shared" si="21"/>
        <v>0.39275297313971413</v>
      </c>
      <c r="AZ60">
        <v>580</v>
      </c>
      <c r="BA60" s="1">
        <f t="shared" si="22"/>
        <v>0.36980965305325486</v>
      </c>
      <c r="BC60">
        <v>590</v>
      </c>
      <c r="BD60" s="1">
        <f t="shared" si="23"/>
        <v>2.2749743382487031</v>
      </c>
      <c r="BF60">
        <v>590</v>
      </c>
      <c r="BG60" s="1">
        <f t="shared" si="18"/>
        <v>5.2770338983050848</v>
      </c>
      <c r="BI60">
        <v>590</v>
      </c>
      <c r="BJ60" s="1">
        <f t="shared" si="19"/>
        <v>7.9997085886248156</v>
      </c>
      <c r="BL60">
        <v>590</v>
      </c>
      <c r="BM60" s="1">
        <f t="shared" si="20"/>
        <v>9.1503773395412136</v>
      </c>
    </row>
    <row r="61" spans="2:65" x14ac:dyDescent="0.45">
      <c r="B61">
        <v>600</v>
      </c>
      <c r="C61" s="2">
        <f t="shared" si="1"/>
        <v>10.104696114945996</v>
      </c>
      <c r="D61" s="3">
        <f t="shared" si="2"/>
        <v>1.6666666666666668E-3</v>
      </c>
      <c r="E61" s="3">
        <f t="shared" si="3"/>
        <v>9.896388655576549E-2</v>
      </c>
      <c r="G61">
        <v>600</v>
      </c>
      <c r="H61" s="1">
        <f t="shared" si="4"/>
        <v>9.5884384098786803</v>
      </c>
      <c r="I61" s="1"/>
      <c r="J61">
        <v>600</v>
      </c>
      <c r="K61" s="1">
        <f t="shared" si="5"/>
        <v>8.9978710505488593</v>
      </c>
      <c r="M61">
        <v>600</v>
      </c>
      <c r="N61" s="1">
        <f t="shared" si="6"/>
        <v>8.7452834325322666</v>
      </c>
      <c r="P61">
        <v>600</v>
      </c>
      <c r="Q61" s="1">
        <f t="shared" si="7"/>
        <v>8.4045149422423311</v>
      </c>
      <c r="S61">
        <v>600</v>
      </c>
      <c r="T61" s="1">
        <f t="shared" si="8"/>
        <v>8.1545307647576255</v>
      </c>
      <c r="V61">
        <v>600</v>
      </c>
      <c r="W61" s="1">
        <f t="shared" si="9"/>
        <v>7.9122815917240734</v>
      </c>
      <c r="Y61">
        <v>600</v>
      </c>
      <c r="Z61" s="1">
        <f t="shared" si="10"/>
        <v>7.866380112147735</v>
      </c>
      <c r="AB61">
        <v>600</v>
      </c>
      <c r="AC61" s="1">
        <f t="shared" si="11"/>
        <v>7.595471262357119</v>
      </c>
      <c r="AD61" s="1"/>
      <c r="AE61">
        <v>600</v>
      </c>
      <c r="AF61" s="1">
        <f t="shared" si="12"/>
        <v>7.3456544041452601</v>
      </c>
      <c r="AH61">
        <v>600</v>
      </c>
      <c r="AI61" s="1">
        <f t="shared" si="13"/>
        <v>7.1390790904211903</v>
      </c>
      <c r="AK61">
        <v>600</v>
      </c>
      <c r="AL61" s="1">
        <f t="shared" si="14"/>
        <v>7.0776374644181761</v>
      </c>
      <c r="AN61">
        <v>600</v>
      </c>
      <c r="AO61" s="1">
        <f t="shared" si="15"/>
        <v>7.0048378968523686</v>
      </c>
      <c r="AQ61">
        <v>600</v>
      </c>
      <c r="AR61" s="1">
        <f t="shared" si="16"/>
        <v>6.7663261538348074</v>
      </c>
      <c r="AT61">
        <v>600</v>
      </c>
      <c r="AU61" s="1">
        <f t="shared" si="17"/>
        <v>6.241134644089982</v>
      </c>
      <c r="AW61">
        <v>590</v>
      </c>
      <c r="AX61" s="1">
        <f t="shared" si="21"/>
        <v>0.38609614308649864</v>
      </c>
      <c r="AZ61">
        <v>590</v>
      </c>
      <c r="BA61" s="1">
        <f t="shared" si="22"/>
        <v>0.36354169283201326</v>
      </c>
      <c r="BC61">
        <v>600</v>
      </c>
      <c r="BD61" s="1">
        <f t="shared" si="23"/>
        <v>2.237058099277891</v>
      </c>
      <c r="BF61">
        <v>600</v>
      </c>
      <c r="BG61" s="1">
        <f t="shared" si="18"/>
        <v>5.1890833333333326</v>
      </c>
      <c r="BI61">
        <v>600</v>
      </c>
      <c r="BJ61" s="1">
        <f t="shared" si="19"/>
        <v>7.866380112147735</v>
      </c>
      <c r="BL61">
        <v>600</v>
      </c>
      <c r="BM61" s="1">
        <f t="shared" si="20"/>
        <v>8.9978710505488593</v>
      </c>
    </row>
    <row r="62" spans="2:65" x14ac:dyDescent="0.45">
      <c r="B62">
        <v>610</v>
      </c>
      <c r="C62" s="2">
        <f t="shared" si="1"/>
        <v>9.9390453589632752</v>
      </c>
      <c r="D62" s="3">
        <f t="shared" si="2"/>
        <v>1.639344262295082E-3</v>
      </c>
      <c r="E62" s="3">
        <f t="shared" si="3"/>
        <v>0.10061328466502827</v>
      </c>
      <c r="G62">
        <v>610</v>
      </c>
      <c r="H62" s="1">
        <f t="shared" si="4"/>
        <v>9.4312508949626359</v>
      </c>
      <c r="I62" s="1"/>
      <c r="J62">
        <v>610</v>
      </c>
      <c r="K62" s="1">
        <f t="shared" si="5"/>
        <v>8.8503649677529754</v>
      </c>
      <c r="M62">
        <v>610</v>
      </c>
      <c r="N62" s="1">
        <f t="shared" si="6"/>
        <v>8.6019181303596053</v>
      </c>
      <c r="P62">
        <v>610</v>
      </c>
      <c r="Q62" s="1">
        <f t="shared" si="7"/>
        <v>8.2667360087629493</v>
      </c>
      <c r="S62">
        <v>610</v>
      </c>
      <c r="T62" s="1">
        <f t="shared" si="8"/>
        <v>8.020849932548483</v>
      </c>
      <c r="V62">
        <v>610</v>
      </c>
      <c r="W62" s="1">
        <f t="shared" si="9"/>
        <v>7.7825720574335149</v>
      </c>
      <c r="Y62">
        <v>610</v>
      </c>
      <c r="Z62" s="1">
        <f t="shared" si="10"/>
        <v>7.7374230611289203</v>
      </c>
      <c r="AB62">
        <v>610</v>
      </c>
      <c r="AC62" s="1">
        <f t="shared" si="11"/>
        <v>7.4709553400233952</v>
      </c>
      <c r="AD62" s="1"/>
      <c r="AE62">
        <v>610</v>
      </c>
      <c r="AF62" s="1">
        <f t="shared" si="12"/>
        <v>7.2252338401428791</v>
      </c>
      <c r="AH62">
        <v>610</v>
      </c>
      <c r="AI62" s="1">
        <f t="shared" si="13"/>
        <v>7.0220450069716627</v>
      </c>
      <c r="AK62">
        <v>610</v>
      </c>
      <c r="AL62" s="1">
        <f t="shared" si="14"/>
        <v>6.9616106207391892</v>
      </c>
      <c r="AN62">
        <v>610</v>
      </c>
      <c r="AO62" s="1">
        <f t="shared" si="15"/>
        <v>6.8900044887072474</v>
      </c>
      <c r="AQ62">
        <v>610</v>
      </c>
      <c r="AR62" s="1">
        <f t="shared" si="16"/>
        <v>6.6554027742637452</v>
      </c>
      <c r="AT62">
        <v>610</v>
      </c>
      <c r="AU62" s="1">
        <f t="shared" si="17"/>
        <v>6.1388209613999827</v>
      </c>
      <c r="AW62">
        <v>600</v>
      </c>
      <c r="AX62" s="1">
        <f t="shared" si="21"/>
        <v>0.37966120736839032</v>
      </c>
      <c r="AZ62">
        <v>600</v>
      </c>
      <c r="BA62" s="1">
        <f t="shared" si="22"/>
        <v>0.35748266461814637</v>
      </c>
      <c r="BC62">
        <v>610</v>
      </c>
      <c r="BD62" s="1">
        <f t="shared" si="23"/>
        <v>2.2003850156831715</v>
      </c>
      <c r="BF62">
        <v>610</v>
      </c>
      <c r="BG62" s="1">
        <f t="shared" si="18"/>
        <v>5.104016393442623</v>
      </c>
      <c r="BI62">
        <v>610</v>
      </c>
      <c r="BJ62" s="1">
        <f t="shared" si="19"/>
        <v>7.7374230611289203</v>
      </c>
      <c r="BL62">
        <v>610</v>
      </c>
      <c r="BM62" s="1">
        <f t="shared" si="20"/>
        <v>8.8503649677529754</v>
      </c>
    </row>
    <row r="63" spans="2:65" x14ac:dyDescent="0.45">
      <c r="B63">
        <v>620</v>
      </c>
      <c r="C63" s="2">
        <f t="shared" si="1"/>
        <v>9.7787381757541905</v>
      </c>
      <c r="D63" s="3">
        <f t="shared" si="2"/>
        <v>1.6129032258064516E-3</v>
      </c>
      <c r="E63" s="3">
        <f t="shared" si="3"/>
        <v>0.10226268277429101</v>
      </c>
      <c r="G63">
        <v>620</v>
      </c>
      <c r="H63" s="1">
        <f t="shared" si="4"/>
        <v>9.279133945043883</v>
      </c>
      <c r="I63" s="1"/>
      <c r="J63">
        <v>620</v>
      </c>
      <c r="K63" s="1">
        <f t="shared" si="5"/>
        <v>8.7076171456924438</v>
      </c>
      <c r="M63">
        <v>620</v>
      </c>
      <c r="N63" s="1">
        <f t="shared" si="6"/>
        <v>8.4631775153538058</v>
      </c>
      <c r="P63">
        <v>620</v>
      </c>
      <c r="Q63" s="1">
        <f t="shared" si="7"/>
        <v>8.1334015570087068</v>
      </c>
      <c r="S63">
        <v>620</v>
      </c>
      <c r="T63" s="1">
        <f t="shared" si="8"/>
        <v>7.8914813852493149</v>
      </c>
      <c r="V63">
        <v>620</v>
      </c>
      <c r="W63" s="1">
        <f t="shared" si="9"/>
        <v>7.6570467016684587</v>
      </c>
      <c r="Y63">
        <v>620</v>
      </c>
      <c r="Z63" s="1">
        <f t="shared" si="10"/>
        <v>7.6126259149816793</v>
      </c>
      <c r="AB63">
        <v>620</v>
      </c>
      <c r="AC63" s="1">
        <f t="shared" si="11"/>
        <v>7.3504560603455991</v>
      </c>
      <c r="AD63" s="1"/>
      <c r="AE63">
        <v>620</v>
      </c>
      <c r="AF63" s="1">
        <f t="shared" si="12"/>
        <v>7.1086978104631546</v>
      </c>
      <c r="AH63">
        <v>620</v>
      </c>
      <c r="AI63" s="1">
        <f t="shared" si="13"/>
        <v>6.9087862165366358</v>
      </c>
      <c r="AK63">
        <v>620</v>
      </c>
      <c r="AL63" s="1">
        <f t="shared" si="14"/>
        <v>6.8493265784692028</v>
      </c>
      <c r="AN63">
        <v>620</v>
      </c>
      <c r="AO63" s="1">
        <f t="shared" si="15"/>
        <v>6.7788753840506795</v>
      </c>
      <c r="AQ63">
        <v>620</v>
      </c>
      <c r="AR63" s="1">
        <f t="shared" si="16"/>
        <v>6.5480575682272333</v>
      </c>
      <c r="AT63">
        <v>620</v>
      </c>
      <c r="AU63" s="1">
        <f t="shared" si="17"/>
        <v>6.0398077200870794</v>
      </c>
      <c r="AW63">
        <v>610</v>
      </c>
      <c r="AX63" s="1">
        <f t="shared" si="21"/>
        <v>0.37343725314923637</v>
      </c>
      <c r="AZ63">
        <v>610</v>
      </c>
      <c r="BA63" s="1">
        <f t="shared" si="22"/>
        <v>0.35162229306702925</v>
      </c>
      <c r="BC63">
        <v>620</v>
      </c>
      <c r="BD63" s="1">
        <f t="shared" si="23"/>
        <v>2.1648949347850559</v>
      </c>
      <c r="BF63">
        <v>620</v>
      </c>
      <c r="BG63" s="1">
        <f t="shared" si="18"/>
        <v>5.0216935483870966</v>
      </c>
      <c r="BI63">
        <v>620</v>
      </c>
      <c r="BJ63" s="1">
        <f t="shared" si="19"/>
        <v>7.6126259149816793</v>
      </c>
      <c r="BL63">
        <v>620</v>
      </c>
      <c r="BM63" s="1">
        <f t="shared" si="20"/>
        <v>8.7076171456924438</v>
      </c>
    </row>
    <row r="64" spans="2:65" x14ac:dyDescent="0.45">
      <c r="B64">
        <v>630</v>
      </c>
      <c r="C64" s="2">
        <f t="shared" si="1"/>
        <v>9.6235201094723788</v>
      </c>
      <c r="D64" s="3">
        <f t="shared" si="2"/>
        <v>1.5873015873015873E-3</v>
      </c>
      <c r="E64" s="3">
        <f t="shared" si="3"/>
        <v>0.10391208088355376</v>
      </c>
      <c r="G64">
        <v>630</v>
      </c>
      <c r="H64" s="1">
        <f t="shared" si="4"/>
        <v>9.1318461046463621</v>
      </c>
      <c r="I64" s="1"/>
      <c r="J64">
        <v>630</v>
      </c>
      <c r="K64" s="1">
        <f t="shared" si="5"/>
        <v>8.5694010005227224</v>
      </c>
      <c r="M64">
        <v>630</v>
      </c>
      <c r="N64" s="1">
        <f t="shared" si="6"/>
        <v>8.3288413643164443</v>
      </c>
      <c r="P64">
        <v>630</v>
      </c>
      <c r="Q64" s="1">
        <f t="shared" si="7"/>
        <v>8.004299944992697</v>
      </c>
      <c r="S64">
        <v>630</v>
      </c>
      <c r="T64" s="1">
        <f t="shared" si="8"/>
        <v>7.7662197759596427</v>
      </c>
      <c r="V64">
        <v>630</v>
      </c>
      <c r="W64" s="1">
        <f t="shared" si="9"/>
        <v>7.5355062778324511</v>
      </c>
      <c r="Y64">
        <v>630</v>
      </c>
      <c r="Z64" s="1">
        <f t="shared" si="10"/>
        <v>7.4917905829978428</v>
      </c>
      <c r="AB64">
        <v>630</v>
      </c>
      <c r="AC64" s="1">
        <f t="shared" si="11"/>
        <v>7.2337821546258274</v>
      </c>
      <c r="AD64" s="1"/>
      <c r="AE64">
        <v>630</v>
      </c>
      <c r="AF64" s="1">
        <f t="shared" si="12"/>
        <v>6.9958613372812</v>
      </c>
      <c r="AH64">
        <v>630</v>
      </c>
      <c r="AI64" s="1">
        <f t="shared" si="13"/>
        <v>6.7991229432582765</v>
      </c>
      <c r="AK64">
        <v>630</v>
      </c>
      <c r="AL64" s="1">
        <f t="shared" si="14"/>
        <v>6.7406071089696917</v>
      </c>
      <c r="AN64">
        <v>630</v>
      </c>
      <c r="AO64" s="1">
        <f t="shared" si="15"/>
        <v>6.6712741874784465</v>
      </c>
      <c r="AQ64">
        <v>630</v>
      </c>
      <c r="AR64" s="1">
        <f t="shared" si="16"/>
        <v>6.4441201465093405</v>
      </c>
      <c r="AT64">
        <v>630</v>
      </c>
      <c r="AU64" s="1">
        <f t="shared" si="17"/>
        <v>5.9439377562761733</v>
      </c>
      <c r="AW64">
        <v>620</v>
      </c>
      <c r="AX64" s="1">
        <f t="shared" si="21"/>
        <v>0.36741407164682932</v>
      </c>
      <c r="AZ64">
        <v>620</v>
      </c>
      <c r="BA64" s="1">
        <f t="shared" si="22"/>
        <v>0.34595096575949646</v>
      </c>
      <c r="BC64">
        <v>630</v>
      </c>
      <c r="BD64" s="1">
        <f t="shared" si="23"/>
        <v>2.1305315231218009</v>
      </c>
      <c r="BF64">
        <v>630</v>
      </c>
      <c r="BG64" s="1">
        <f t="shared" si="18"/>
        <v>4.9419841269841269</v>
      </c>
      <c r="BI64">
        <v>630</v>
      </c>
      <c r="BJ64" s="1">
        <f t="shared" si="19"/>
        <v>7.4917905829978428</v>
      </c>
      <c r="BL64">
        <v>630</v>
      </c>
      <c r="BM64" s="1">
        <f t="shared" si="20"/>
        <v>8.5694010005227224</v>
      </c>
    </row>
    <row r="65" spans="2:65" x14ac:dyDescent="0.45">
      <c r="B65">
        <v>640</v>
      </c>
      <c r="C65" s="2">
        <f t="shared" si="1"/>
        <v>9.4731526077618717</v>
      </c>
      <c r="D65" s="3">
        <f t="shared" si="2"/>
        <v>1.5625000000000001E-3</v>
      </c>
      <c r="E65" s="3">
        <f t="shared" si="3"/>
        <v>0.10556147899281651</v>
      </c>
      <c r="G65">
        <v>640</v>
      </c>
      <c r="H65" s="1">
        <f t="shared" si="4"/>
        <v>8.989161009261263</v>
      </c>
      <c r="I65" s="1"/>
      <c r="J65">
        <v>640</v>
      </c>
      <c r="K65" s="1">
        <f t="shared" si="5"/>
        <v>8.4355041098895551</v>
      </c>
      <c r="M65">
        <v>640</v>
      </c>
      <c r="N65" s="1">
        <f t="shared" si="6"/>
        <v>8.1987032179990003</v>
      </c>
      <c r="P65">
        <v>640</v>
      </c>
      <c r="Q65" s="1">
        <f t="shared" si="7"/>
        <v>7.8792327583521855</v>
      </c>
      <c r="S65">
        <v>640</v>
      </c>
      <c r="T65" s="1">
        <f t="shared" si="8"/>
        <v>7.644872591960274</v>
      </c>
      <c r="V65">
        <v>640</v>
      </c>
      <c r="W65" s="1">
        <f t="shared" si="9"/>
        <v>7.4177639922413192</v>
      </c>
      <c r="Y65">
        <v>640</v>
      </c>
      <c r="Z65" s="1">
        <f t="shared" si="10"/>
        <v>7.3747313551385023</v>
      </c>
      <c r="AB65">
        <v>640</v>
      </c>
      <c r="AC65" s="1">
        <f t="shared" si="11"/>
        <v>7.1207543084597988</v>
      </c>
      <c r="AD65" s="1"/>
      <c r="AE65">
        <v>640</v>
      </c>
      <c r="AF65" s="1">
        <f t="shared" si="12"/>
        <v>6.886551003886181</v>
      </c>
      <c r="AH65">
        <v>640</v>
      </c>
      <c r="AI65" s="1">
        <f t="shared" si="13"/>
        <v>6.6928866472698658</v>
      </c>
      <c r="AK65">
        <v>640</v>
      </c>
      <c r="AL65" s="1">
        <f t="shared" si="14"/>
        <v>6.6352851228920402</v>
      </c>
      <c r="AN65">
        <v>640</v>
      </c>
      <c r="AO65" s="1">
        <f t="shared" si="15"/>
        <v>6.5670355282990958</v>
      </c>
      <c r="AQ65">
        <v>640</v>
      </c>
      <c r="AR65" s="1">
        <f t="shared" si="16"/>
        <v>6.3434307692201326</v>
      </c>
      <c r="AT65">
        <v>640</v>
      </c>
      <c r="AU65" s="1">
        <f t="shared" si="17"/>
        <v>5.8510637288343581</v>
      </c>
      <c r="AW65">
        <v>630</v>
      </c>
      <c r="AX65" s="1">
        <f t="shared" si="21"/>
        <v>0.36158210225560983</v>
      </c>
      <c r="AZ65">
        <v>630</v>
      </c>
      <c r="BA65" s="1">
        <f t="shared" si="22"/>
        <v>0.34045968058871084</v>
      </c>
      <c r="BC65">
        <v>640</v>
      </c>
      <c r="BD65" s="1">
        <f t="shared" si="23"/>
        <v>2.097241968073023</v>
      </c>
      <c r="BF65">
        <v>640</v>
      </c>
      <c r="BG65" s="1">
        <f t="shared" si="18"/>
        <v>4.8647656249999995</v>
      </c>
      <c r="BI65">
        <v>640</v>
      </c>
      <c r="BJ65" s="1">
        <f t="shared" si="19"/>
        <v>7.3747313551385023</v>
      </c>
      <c r="BL65">
        <v>640</v>
      </c>
      <c r="BM65" s="1">
        <f t="shared" si="20"/>
        <v>8.4355041098895551</v>
      </c>
    </row>
    <row r="66" spans="2:65" x14ac:dyDescent="0.45">
      <c r="B66">
        <v>650</v>
      </c>
      <c r="C66" s="2">
        <f t="shared" si="1"/>
        <v>9.3274117984116902</v>
      </c>
      <c r="D66" s="3">
        <f t="shared" si="2"/>
        <v>1.5384615384615385E-3</v>
      </c>
      <c r="E66" s="3">
        <f t="shared" si="3"/>
        <v>0.10721087710207929</v>
      </c>
      <c r="G66">
        <v>650</v>
      </c>
      <c r="H66" s="1">
        <f t="shared" si="4"/>
        <v>8.8508662245033971</v>
      </c>
      <c r="I66" s="1"/>
      <c r="J66">
        <v>650</v>
      </c>
      <c r="K66" s="1">
        <f t="shared" si="5"/>
        <v>8.3057271235835621</v>
      </c>
      <c r="M66">
        <v>650</v>
      </c>
      <c r="N66" s="1">
        <f t="shared" si="6"/>
        <v>8.0725693223374773</v>
      </c>
      <c r="P66">
        <v>650</v>
      </c>
      <c r="Q66" s="1">
        <f t="shared" si="7"/>
        <v>7.7580137928390744</v>
      </c>
      <c r="S66">
        <v>650</v>
      </c>
      <c r="T66" s="1">
        <f t="shared" si="8"/>
        <v>7.5272591674685767</v>
      </c>
      <c r="V66">
        <v>650</v>
      </c>
      <c r="W66" s="1">
        <f t="shared" si="9"/>
        <v>7.3036445462068373</v>
      </c>
      <c r="Y66">
        <v>650</v>
      </c>
      <c r="Z66" s="1">
        <f t="shared" si="10"/>
        <v>7.2612739496748331</v>
      </c>
      <c r="AB66">
        <v>650</v>
      </c>
      <c r="AC66" s="1">
        <f t="shared" si="11"/>
        <v>7.0112042421758014</v>
      </c>
      <c r="AD66" s="1"/>
      <c r="AE66">
        <v>650</v>
      </c>
      <c r="AF66" s="1">
        <f t="shared" si="12"/>
        <v>6.7806040653648552</v>
      </c>
      <c r="AH66">
        <v>650</v>
      </c>
      <c r="AI66" s="1">
        <f t="shared" si="13"/>
        <v>6.5899191603887912</v>
      </c>
      <c r="AK66">
        <v>650</v>
      </c>
      <c r="AL66" s="1">
        <f t="shared" si="14"/>
        <v>6.5332038133090853</v>
      </c>
      <c r="AN66">
        <v>650</v>
      </c>
      <c r="AO66" s="1">
        <f t="shared" si="15"/>
        <v>6.4660042124791097</v>
      </c>
      <c r="AQ66">
        <v>650</v>
      </c>
      <c r="AR66" s="1">
        <f t="shared" si="16"/>
        <v>6.2458395266167459</v>
      </c>
      <c r="AT66">
        <v>650</v>
      </c>
      <c r="AU66" s="1">
        <f t="shared" si="17"/>
        <v>5.7610473637753676</v>
      </c>
      <c r="AW66">
        <v>640</v>
      </c>
      <c r="AX66" s="1">
        <f t="shared" si="21"/>
        <v>0.35593238190786591</v>
      </c>
      <c r="AZ66">
        <v>640</v>
      </c>
      <c r="BA66" s="1">
        <f t="shared" si="22"/>
        <v>0.33513999807951222</v>
      </c>
      <c r="BC66">
        <v>650</v>
      </c>
      <c r="BD66" s="1">
        <f t="shared" ref="BD66:BD97" si="24">$BB$2/BC66</f>
        <v>2.0649767070257457</v>
      </c>
      <c r="BF66">
        <v>650</v>
      </c>
      <c r="BG66" s="1">
        <f t="shared" si="18"/>
        <v>4.7899230769230767</v>
      </c>
      <c r="BI66">
        <v>650</v>
      </c>
      <c r="BJ66" s="1">
        <f t="shared" si="19"/>
        <v>7.2612739496748331</v>
      </c>
      <c r="BL66">
        <v>650</v>
      </c>
      <c r="BM66" s="1">
        <f t="shared" si="20"/>
        <v>8.3057271235835621</v>
      </c>
    </row>
    <row r="67" spans="2:65" x14ac:dyDescent="0.45">
      <c r="B67">
        <v>660</v>
      </c>
      <c r="C67" s="2">
        <f t="shared" ref="C67:C103" si="25">$A$2/B67</f>
        <v>9.1860873772236342</v>
      </c>
      <c r="D67" s="3">
        <f t="shared" ref="D67:D103" si="26">1/B67</f>
        <v>1.5151515151515152E-3</v>
      </c>
      <c r="E67" s="3">
        <f t="shared" ref="E67:E103" si="27">1/($A$2*D67)</f>
        <v>0.10886027521134203</v>
      </c>
      <c r="G67">
        <v>660</v>
      </c>
      <c r="H67" s="1">
        <f t="shared" ref="H67:H100" si="28">$F$2/G67</f>
        <v>8.7167621907988</v>
      </c>
      <c r="I67" s="1"/>
      <c r="J67">
        <v>660</v>
      </c>
      <c r="K67" s="1">
        <f t="shared" ref="K67:K100" si="29">$I$2/J67</f>
        <v>8.179882773226236</v>
      </c>
      <c r="M67">
        <v>660</v>
      </c>
      <c r="N67" s="1">
        <f t="shared" ref="N67:N100" si="30">$L$2/M67</f>
        <v>7.9502576659384241</v>
      </c>
      <c r="P67">
        <v>660</v>
      </c>
      <c r="Q67" s="1">
        <f t="shared" ref="Q67:Q100" si="31">$O$2/P67</f>
        <v>7.64046812931121</v>
      </c>
      <c r="S67">
        <v>660</v>
      </c>
      <c r="T67" s="1">
        <f t="shared" ref="T67:T100" si="32">$R$2/S67</f>
        <v>7.4132097861432955</v>
      </c>
      <c r="V67">
        <v>660</v>
      </c>
      <c r="W67" s="1">
        <f t="shared" ref="W67:W100" si="33">$U$2/V67</f>
        <v>7.1929832652037033</v>
      </c>
      <c r="Y67">
        <v>660</v>
      </c>
      <c r="Z67" s="1">
        <f t="shared" ref="Z67:Z100" si="34">$X$2/Y67</f>
        <v>7.1512546474070318</v>
      </c>
      <c r="AB67">
        <v>660</v>
      </c>
      <c r="AC67" s="1">
        <f t="shared" ref="AC67:AC100" si="35">$AA$2/AB67</f>
        <v>6.9049738748701079</v>
      </c>
      <c r="AD67" s="1"/>
      <c r="AE67">
        <v>660</v>
      </c>
      <c r="AF67" s="1">
        <f t="shared" ref="AF67:AF100" si="36">$AD$2/AE67</f>
        <v>6.6778676401320549</v>
      </c>
      <c r="AH67">
        <v>660</v>
      </c>
      <c r="AI67" s="1">
        <f t="shared" ref="AI67:AI100" si="37">$AG$2/AH67</f>
        <v>6.4900719003829002</v>
      </c>
      <c r="AK67">
        <v>660</v>
      </c>
      <c r="AL67" s="1">
        <f t="shared" ref="AL67:AL100" si="38">$AJ$2/AK67</f>
        <v>6.4342158767437967</v>
      </c>
      <c r="AN67">
        <v>660</v>
      </c>
      <c r="AO67" s="1">
        <f t="shared" ref="AO67:AO100" si="39">$AM$2/AN67</f>
        <v>6.3680344516839709</v>
      </c>
      <c r="AQ67">
        <v>660</v>
      </c>
      <c r="AR67" s="1">
        <f t="shared" ref="AR67:AR100" si="40">$AP$2/AQ67</f>
        <v>6.1512055943952797</v>
      </c>
      <c r="AT67">
        <v>660</v>
      </c>
      <c r="AU67" s="1">
        <f t="shared" ref="AU67:AU100" si="41">$AS$2/AT67</f>
        <v>5.6737587673545287</v>
      </c>
      <c r="AW67">
        <v>650</v>
      </c>
      <c r="AX67" s="1">
        <f t="shared" si="21"/>
        <v>0.35045649910928334</v>
      </c>
      <c r="AZ67">
        <v>650</v>
      </c>
      <c r="BA67" s="1">
        <f t="shared" si="22"/>
        <v>0.32998399810905821</v>
      </c>
      <c r="BC67">
        <v>660</v>
      </c>
      <c r="BD67" s="1">
        <f t="shared" si="24"/>
        <v>2.0336891811617193</v>
      </c>
      <c r="BF67">
        <v>660</v>
      </c>
      <c r="BG67" s="1">
        <f t="shared" ref="BG67:BG100" si="42">$BE$2/BF67</f>
        <v>4.7173484848484843</v>
      </c>
      <c r="BI67">
        <v>660</v>
      </c>
      <c r="BJ67" s="1">
        <f t="shared" ref="BJ67:BJ100" si="43">$BH$2/BI67</f>
        <v>7.1512546474070318</v>
      </c>
      <c r="BL67">
        <v>660</v>
      </c>
      <c r="BM67" s="1">
        <f t="shared" ref="BM67:BM100" si="44">$BK$2/BL67</f>
        <v>8.179882773226236</v>
      </c>
    </row>
    <row r="68" spans="2:65" x14ac:dyDescent="0.45">
      <c r="B68">
        <v>670</v>
      </c>
      <c r="C68" s="2">
        <f t="shared" si="25"/>
        <v>9.0489815954740269</v>
      </c>
      <c r="D68" s="3">
        <f t="shared" si="26"/>
        <v>1.4925373134328358E-3</v>
      </c>
      <c r="E68" s="3">
        <f t="shared" si="27"/>
        <v>0.11050967332060481</v>
      </c>
      <c r="G68">
        <v>670</v>
      </c>
      <c r="H68" s="1">
        <f t="shared" si="28"/>
        <v>8.5866612625779215</v>
      </c>
      <c r="I68" s="1"/>
      <c r="J68">
        <v>670</v>
      </c>
      <c r="K68" s="1">
        <f t="shared" si="29"/>
        <v>8.057794970640769</v>
      </c>
      <c r="M68">
        <v>670</v>
      </c>
      <c r="N68" s="1">
        <f t="shared" si="30"/>
        <v>7.8315971037602381</v>
      </c>
      <c r="P68">
        <v>670</v>
      </c>
      <c r="Q68" s="1">
        <f t="shared" si="31"/>
        <v>7.5264312915602964</v>
      </c>
      <c r="S68">
        <v>670</v>
      </c>
      <c r="T68" s="1">
        <f t="shared" si="32"/>
        <v>7.3025648639620524</v>
      </c>
      <c r="V68">
        <v>670</v>
      </c>
      <c r="W68" s="1">
        <f t="shared" si="33"/>
        <v>7.0856253060215586</v>
      </c>
      <c r="Y68">
        <v>670</v>
      </c>
      <c r="Z68" s="1">
        <f t="shared" si="34"/>
        <v>7.0445195034158825</v>
      </c>
      <c r="AB68">
        <v>670</v>
      </c>
      <c r="AC68" s="1">
        <f t="shared" si="35"/>
        <v>6.8019145633048819</v>
      </c>
      <c r="AD68" s="1"/>
      <c r="AE68">
        <v>670</v>
      </c>
      <c r="AF68" s="1">
        <f t="shared" si="36"/>
        <v>6.5781979738614274</v>
      </c>
      <c r="AH68">
        <v>670</v>
      </c>
      <c r="AI68" s="1">
        <f t="shared" si="37"/>
        <v>6.3932051556010663</v>
      </c>
      <c r="AK68">
        <v>670</v>
      </c>
      <c r="AL68" s="1">
        <f t="shared" si="38"/>
        <v>6.3381828039565757</v>
      </c>
      <c r="AN68">
        <v>670</v>
      </c>
      <c r="AO68" s="1">
        <f t="shared" si="39"/>
        <v>6.2729891613603304</v>
      </c>
      <c r="AQ68">
        <v>670</v>
      </c>
      <c r="AR68" s="1">
        <f t="shared" si="40"/>
        <v>6.0593965556729623</v>
      </c>
      <c r="AT68">
        <v>670</v>
      </c>
      <c r="AU68" s="1">
        <f t="shared" si="41"/>
        <v>5.5890758006775956</v>
      </c>
      <c r="AW68">
        <v>660</v>
      </c>
      <c r="AX68" s="1">
        <f t="shared" ref="AX68:AX101" si="45">$AV$2/AW68</f>
        <v>0.3451465521530821</v>
      </c>
      <c r="AZ68">
        <v>660</v>
      </c>
      <c r="BA68" s="1">
        <f t="shared" ref="BA68:BA101" si="46">$AY$2/AZ68</f>
        <v>0.32498424056195124</v>
      </c>
      <c r="BC68">
        <v>670</v>
      </c>
      <c r="BD68" s="1">
        <f t="shared" si="24"/>
        <v>2.0033356112936338</v>
      </c>
      <c r="BF68">
        <v>670</v>
      </c>
      <c r="BG68" s="1">
        <f t="shared" si="42"/>
        <v>4.6469402985074622</v>
      </c>
      <c r="BI68">
        <v>670</v>
      </c>
      <c r="BJ68" s="1">
        <f t="shared" si="43"/>
        <v>7.0445195034158825</v>
      </c>
      <c r="BL68">
        <v>670</v>
      </c>
      <c r="BM68" s="1">
        <f t="shared" si="44"/>
        <v>8.057794970640769</v>
      </c>
    </row>
    <row r="69" spans="2:65" x14ac:dyDescent="0.45">
      <c r="B69">
        <v>680</v>
      </c>
      <c r="C69" s="2">
        <f t="shared" si="25"/>
        <v>8.915908336717056</v>
      </c>
      <c r="D69" s="3">
        <f t="shared" si="26"/>
        <v>1.4705882352941176E-3</v>
      </c>
      <c r="E69" s="3">
        <f t="shared" si="27"/>
        <v>0.11215907142986757</v>
      </c>
      <c r="G69">
        <v>680</v>
      </c>
      <c r="H69" s="1">
        <f t="shared" si="28"/>
        <v>8.4603868322458933</v>
      </c>
      <c r="I69" s="1"/>
      <c r="J69">
        <v>680</v>
      </c>
      <c r="K69" s="1">
        <f t="shared" si="29"/>
        <v>7.9392979857784054</v>
      </c>
      <c r="M69">
        <v>680</v>
      </c>
      <c r="N69" s="1">
        <f t="shared" si="30"/>
        <v>7.7164265581167051</v>
      </c>
      <c r="P69">
        <v>680</v>
      </c>
      <c r="Q69" s="1">
        <f t="shared" si="31"/>
        <v>7.4157484784491157</v>
      </c>
      <c r="S69">
        <v>680</v>
      </c>
      <c r="T69" s="1">
        <f t="shared" si="32"/>
        <v>7.1951742041979045</v>
      </c>
      <c r="V69">
        <v>680</v>
      </c>
      <c r="W69" s="1">
        <f t="shared" si="33"/>
        <v>6.9814249338741829</v>
      </c>
      <c r="Y69">
        <v>680</v>
      </c>
      <c r="Z69" s="1">
        <f t="shared" si="34"/>
        <v>6.940923628365649</v>
      </c>
      <c r="AB69">
        <v>680</v>
      </c>
      <c r="AC69" s="1">
        <f t="shared" si="35"/>
        <v>6.7018864079621636</v>
      </c>
      <c r="AD69" s="1"/>
      <c r="AE69">
        <v>680</v>
      </c>
      <c r="AF69" s="1">
        <f t="shared" si="36"/>
        <v>6.4814597683634645</v>
      </c>
      <c r="AH69">
        <v>680</v>
      </c>
      <c r="AI69" s="1">
        <f t="shared" si="37"/>
        <v>6.2991874327245796</v>
      </c>
      <c r="AK69">
        <v>680</v>
      </c>
      <c r="AL69" s="1">
        <f t="shared" si="38"/>
        <v>6.2449742333101552</v>
      </c>
      <c r="AN69">
        <v>680</v>
      </c>
      <c r="AO69" s="1">
        <f t="shared" si="39"/>
        <v>6.1807393207520898</v>
      </c>
      <c r="AQ69">
        <v>680</v>
      </c>
      <c r="AR69" s="1">
        <f t="shared" si="40"/>
        <v>5.9702877827954186</v>
      </c>
      <c r="AT69">
        <v>680</v>
      </c>
      <c r="AU69" s="1">
        <f t="shared" si="41"/>
        <v>5.5068835094911606</v>
      </c>
      <c r="AW69">
        <v>670</v>
      </c>
      <c r="AX69" s="1">
        <f t="shared" si="45"/>
        <v>0.33999511107617042</v>
      </c>
      <c r="AZ69">
        <v>670</v>
      </c>
      <c r="BA69" s="1">
        <f t="shared" si="46"/>
        <v>0.32013372950878782</v>
      </c>
      <c r="BC69">
        <v>680</v>
      </c>
      <c r="BD69" s="1">
        <f t="shared" si="24"/>
        <v>1.9738747934804923</v>
      </c>
      <c r="BF69">
        <v>680</v>
      </c>
      <c r="BG69" s="1">
        <f t="shared" si="42"/>
        <v>4.5786029411764702</v>
      </c>
      <c r="BI69">
        <v>680</v>
      </c>
      <c r="BJ69" s="1">
        <f t="shared" si="43"/>
        <v>6.940923628365649</v>
      </c>
      <c r="BL69">
        <v>680</v>
      </c>
      <c r="BM69" s="1">
        <f t="shared" si="44"/>
        <v>7.9392979857784054</v>
      </c>
    </row>
    <row r="70" spans="2:65" x14ac:dyDescent="0.45">
      <c r="B70">
        <v>690</v>
      </c>
      <c r="C70" s="2">
        <f t="shared" si="25"/>
        <v>8.786692273866084</v>
      </c>
      <c r="D70" s="3">
        <f t="shared" si="26"/>
        <v>1.4492753623188406E-3</v>
      </c>
      <c r="E70" s="3">
        <f t="shared" si="27"/>
        <v>0.11380846953913033</v>
      </c>
      <c r="G70">
        <v>690</v>
      </c>
      <c r="H70" s="1">
        <f t="shared" si="28"/>
        <v>8.3377725303292873</v>
      </c>
      <c r="I70" s="1"/>
      <c r="J70">
        <v>690</v>
      </c>
      <c r="K70" s="1">
        <f t="shared" si="29"/>
        <v>7.8242356961294428</v>
      </c>
      <c r="M70">
        <v>690</v>
      </c>
      <c r="N70" s="1">
        <f t="shared" si="30"/>
        <v>7.6045942891584923</v>
      </c>
      <c r="P70">
        <v>690</v>
      </c>
      <c r="Q70" s="1">
        <f t="shared" si="31"/>
        <v>7.3082738628194184</v>
      </c>
      <c r="S70">
        <v>690</v>
      </c>
      <c r="T70" s="1">
        <f t="shared" si="32"/>
        <v>7.0908963171805439</v>
      </c>
      <c r="V70">
        <v>690</v>
      </c>
      <c r="W70" s="1">
        <f t="shared" si="33"/>
        <v>6.8802448623687598</v>
      </c>
      <c r="Y70">
        <v>690</v>
      </c>
      <c r="Z70" s="1">
        <f t="shared" si="34"/>
        <v>6.8403305323023789</v>
      </c>
      <c r="AB70">
        <v>690</v>
      </c>
      <c r="AC70" s="1">
        <f t="shared" si="35"/>
        <v>6.6047576194409725</v>
      </c>
      <c r="AD70" s="1"/>
      <c r="AE70">
        <v>690</v>
      </c>
      <c r="AF70" s="1">
        <f t="shared" si="36"/>
        <v>6.3875255688219656</v>
      </c>
      <c r="AH70">
        <v>690</v>
      </c>
      <c r="AI70" s="1">
        <f t="shared" si="37"/>
        <v>6.2078948612358174</v>
      </c>
      <c r="AK70">
        <v>690</v>
      </c>
      <c r="AL70" s="1">
        <f t="shared" si="38"/>
        <v>6.1544673603636317</v>
      </c>
      <c r="AN70">
        <v>690</v>
      </c>
      <c r="AO70" s="1">
        <f t="shared" si="39"/>
        <v>6.0911633885672769</v>
      </c>
      <c r="AQ70">
        <v>690</v>
      </c>
      <c r="AR70" s="1">
        <f t="shared" si="40"/>
        <v>5.8837618728998331</v>
      </c>
      <c r="AT70">
        <v>690</v>
      </c>
      <c r="AU70" s="1">
        <f t="shared" si="41"/>
        <v>5.4270736035565061</v>
      </c>
      <c r="AW70">
        <v>680</v>
      </c>
      <c r="AX70" s="1">
        <f t="shared" si="45"/>
        <v>0.33499518297210912</v>
      </c>
      <c r="AZ70">
        <v>680</v>
      </c>
      <c r="BA70" s="1">
        <f t="shared" si="46"/>
        <v>0.31542588054542325</v>
      </c>
      <c r="BC70">
        <v>690</v>
      </c>
      <c r="BD70" s="1">
        <f t="shared" si="24"/>
        <v>1.9452679124155576</v>
      </c>
      <c r="BF70">
        <v>690</v>
      </c>
      <c r="BG70" s="1">
        <f t="shared" si="42"/>
        <v>4.5122463768115937</v>
      </c>
      <c r="BI70">
        <v>690</v>
      </c>
      <c r="BJ70" s="1">
        <f t="shared" si="43"/>
        <v>6.8403305323023789</v>
      </c>
      <c r="BL70">
        <v>690</v>
      </c>
      <c r="BM70" s="1">
        <f t="shared" si="44"/>
        <v>7.8242356961294428</v>
      </c>
    </row>
    <row r="71" spans="2:65" x14ac:dyDescent="0.45">
      <c r="B71">
        <v>700</v>
      </c>
      <c r="C71" s="2">
        <f t="shared" si="25"/>
        <v>8.66116809852514</v>
      </c>
      <c r="D71" s="3">
        <f t="shared" si="26"/>
        <v>1.4285714285714286E-3</v>
      </c>
      <c r="E71" s="3">
        <f t="shared" si="27"/>
        <v>0.11545786764839308</v>
      </c>
      <c r="G71">
        <v>700</v>
      </c>
      <c r="H71" s="1">
        <f t="shared" si="28"/>
        <v>8.2186614941817258</v>
      </c>
      <c r="I71" s="1"/>
      <c r="J71">
        <v>700</v>
      </c>
      <c r="K71" s="1">
        <f t="shared" si="29"/>
        <v>7.7124609004704503</v>
      </c>
      <c r="M71">
        <v>700</v>
      </c>
      <c r="N71" s="1">
        <f t="shared" si="30"/>
        <v>7.4959572278847997</v>
      </c>
      <c r="P71">
        <v>700</v>
      </c>
      <c r="Q71" s="1">
        <f t="shared" si="31"/>
        <v>7.2038699504934263</v>
      </c>
      <c r="S71">
        <v>700</v>
      </c>
      <c r="T71" s="1">
        <f t="shared" si="32"/>
        <v>6.989597798363679</v>
      </c>
      <c r="V71">
        <v>700</v>
      </c>
      <c r="W71" s="1">
        <f t="shared" si="33"/>
        <v>6.7819556500492064</v>
      </c>
      <c r="Y71">
        <v>700</v>
      </c>
      <c r="Z71" s="1">
        <f t="shared" si="34"/>
        <v>6.7426115246980594</v>
      </c>
      <c r="AB71">
        <v>700</v>
      </c>
      <c r="AC71" s="1">
        <f t="shared" si="35"/>
        <v>6.5104039391632442</v>
      </c>
      <c r="AD71" s="1"/>
      <c r="AE71">
        <v>700</v>
      </c>
      <c r="AF71" s="1">
        <f t="shared" si="36"/>
        <v>6.2962752035530798</v>
      </c>
      <c r="AH71">
        <v>700</v>
      </c>
      <c r="AI71" s="1">
        <f t="shared" si="37"/>
        <v>6.1192106489324489</v>
      </c>
      <c r="AK71">
        <v>700</v>
      </c>
      <c r="AL71" s="1">
        <f t="shared" si="38"/>
        <v>6.0665463980727221</v>
      </c>
      <c r="AN71">
        <v>700</v>
      </c>
      <c r="AO71" s="1">
        <f t="shared" si="39"/>
        <v>6.0041467687306014</v>
      </c>
      <c r="AQ71">
        <v>700</v>
      </c>
      <c r="AR71" s="1">
        <f t="shared" si="40"/>
        <v>5.7997081318584067</v>
      </c>
      <c r="AT71">
        <v>700</v>
      </c>
      <c r="AU71" s="1">
        <f t="shared" si="41"/>
        <v>5.3495439806485559</v>
      </c>
      <c r="AW71">
        <v>690</v>
      </c>
      <c r="AX71" s="1">
        <f t="shared" si="45"/>
        <v>0.33014018032033937</v>
      </c>
      <c r="AZ71">
        <v>690</v>
      </c>
      <c r="BA71" s="1">
        <f t="shared" si="46"/>
        <v>0.31085449097230117</v>
      </c>
      <c r="BC71">
        <v>700</v>
      </c>
      <c r="BD71" s="1">
        <f t="shared" si="24"/>
        <v>1.917478370809621</v>
      </c>
      <c r="BF71">
        <v>700</v>
      </c>
      <c r="BG71" s="1">
        <f t="shared" si="42"/>
        <v>4.4477857142857138</v>
      </c>
      <c r="BI71">
        <v>700</v>
      </c>
      <c r="BJ71" s="1">
        <f t="shared" si="43"/>
        <v>6.7426115246980594</v>
      </c>
      <c r="BL71">
        <v>700</v>
      </c>
      <c r="BM71" s="1">
        <f t="shared" si="44"/>
        <v>7.7124609004704503</v>
      </c>
    </row>
    <row r="72" spans="2:65" x14ac:dyDescent="0.45">
      <c r="B72">
        <v>710</v>
      </c>
      <c r="C72" s="2">
        <f t="shared" si="25"/>
        <v>8.5391798154473211</v>
      </c>
      <c r="D72" s="3">
        <f t="shared" si="26"/>
        <v>1.4084507042253522E-3</v>
      </c>
      <c r="E72" s="3">
        <f t="shared" si="27"/>
        <v>0.11710726575765582</v>
      </c>
      <c r="G72">
        <v>710</v>
      </c>
      <c r="H72" s="1">
        <f t="shared" si="28"/>
        <v>8.1029056984890246</v>
      </c>
      <c r="I72" s="1"/>
      <c r="J72">
        <v>710</v>
      </c>
      <c r="K72" s="1">
        <f t="shared" si="29"/>
        <v>7.6038346906046694</v>
      </c>
      <c r="M72">
        <v>710</v>
      </c>
      <c r="N72" s="1">
        <f t="shared" si="30"/>
        <v>7.3903803655202251</v>
      </c>
      <c r="P72">
        <v>710</v>
      </c>
      <c r="Q72" s="1">
        <f t="shared" si="31"/>
        <v>7.1024069934442231</v>
      </c>
      <c r="S72">
        <v>710</v>
      </c>
      <c r="T72" s="1">
        <f t="shared" si="32"/>
        <v>6.8911527589501063</v>
      </c>
      <c r="V72">
        <v>710</v>
      </c>
      <c r="W72" s="1">
        <f t="shared" si="33"/>
        <v>6.6864351479358373</v>
      </c>
      <c r="Y72">
        <v>710</v>
      </c>
      <c r="Z72" s="1">
        <f t="shared" si="34"/>
        <v>6.6476451651952697</v>
      </c>
      <c r="AB72">
        <v>710</v>
      </c>
      <c r="AC72" s="1">
        <f t="shared" si="35"/>
        <v>6.4187081090341849</v>
      </c>
      <c r="AD72" s="1"/>
      <c r="AE72">
        <v>710</v>
      </c>
      <c r="AF72" s="1">
        <f t="shared" si="36"/>
        <v>6.2075952711086702</v>
      </c>
      <c r="AH72">
        <v>710</v>
      </c>
      <c r="AI72" s="1">
        <f t="shared" si="37"/>
        <v>6.0330245834545266</v>
      </c>
      <c r="AK72">
        <v>710</v>
      </c>
      <c r="AL72" s="1">
        <f t="shared" si="38"/>
        <v>5.9811020826069097</v>
      </c>
      <c r="AN72">
        <v>710</v>
      </c>
      <c r="AO72" s="1">
        <f t="shared" si="39"/>
        <v>5.9195813212836912</v>
      </c>
      <c r="AQ72">
        <v>710</v>
      </c>
      <c r="AR72" s="1">
        <f t="shared" si="40"/>
        <v>5.7180221018322319</v>
      </c>
      <c r="AT72">
        <v>710</v>
      </c>
      <c r="AU72" s="1">
        <f t="shared" si="41"/>
        <v>5.2741982907802667</v>
      </c>
      <c r="AW72">
        <v>700</v>
      </c>
      <c r="AX72" s="1">
        <f t="shared" si="45"/>
        <v>0.32542389203004884</v>
      </c>
      <c r="AZ72">
        <v>700</v>
      </c>
      <c r="BA72" s="1">
        <f t="shared" si="46"/>
        <v>0.30641371252983973</v>
      </c>
      <c r="BC72">
        <v>710</v>
      </c>
      <c r="BD72" s="1">
        <f t="shared" si="24"/>
        <v>1.8904716331925842</v>
      </c>
      <c r="BF72">
        <v>710</v>
      </c>
      <c r="BG72" s="1">
        <f t="shared" si="42"/>
        <v>4.3851408450704223</v>
      </c>
      <c r="BI72">
        <v>710</v>
      </c>
      <c r="BJ72" s="1">
        <f t="shared" si="43"/>
        <v>6.6476451651952697</v>
      </c>
      <c r="BL72">
        <v>710</v>
      </c>
      <c r="BM72" s="1">
        <f t="shared" si="44"/>
        <v>7.6038346906046694</v>
      </c>
    </row>
    <row r="73" spans="2:65" x14ac:dyDescent="0.45">
      <c r="B73">
        <v>720</v>
      </c>
      <c r="C73" s="2">
        <f t="shared" si="25"/>
        <v>8.4205800957883312</v>
      </c>
      <c r="D73" s="3">
        <f t="shared" si="26"/>
        <v>1.3888888888888889E-3</v>
      </c>
      <c r="E73" s="3">
        <f t="shared" si="27"/>
        <v>0.11875666386691859</v>
      </c>
      <c r="G73">
        <v>720</v>
      </c>
      <c r="H73" s="1">
        <f t="shared" si="28"/>
        <v>7.9903653415655667</v>
      </c>
      <c r="I73" s="1"/>
      <c r="J73">
        <v>720</v>
      </c>
      <c r="K73" s="1">
        <f t="shared" si="29"/>
        <v>7.4982258754573827</v>
      </c>
      <c r="M73">
        <v>720</v>
      </c>
      <c r="N73" s="1">
        <f t="shared" si="30"/>
        <v>7.2877361937768885</v>
      </c>
      <c r="P73">
        <v>720</v>
      </c>
      <c r="Q73" s="1">
        <f t="shared" si="31"/>
        <v>7.0037624518686092</v>
      </c>
      <c r="S73">
        <v>720</v>
      </c>
      <c r="T73" s="1">
        <f t="shared" si="32"/>
        <v>6.7954423039646876</v>
      </c>
      <c r="V73">
        <v>720</v>
      </c>
      <c r="W73" s="1">
        <f t="shared" si="33"/>
        <v>6.5935679931033953</v>
      </c>
      <c r="Y73">
        <v>720</v>
      </c>
      <c r="Z73" s="1">
        <f t="shared" si="34"/>
        <v>6.5553167601231133</v>
      </c>
      <c r="AB73">
        <v>720</v>
      </c>
      <c r="AC73" s="1">
        <f t="shared" si="35"/>
        <v>6.3295593852975989</v>
      </c>
      <c r="AD73" s="1"/>
      <c r="AE73">
        <v>720</v>
      </c>
      <c r="AF73" s="1">
        <f t="shared" si="36"/>
        <v>6.1213786701210502</v>
      </c>
      <c r="AH73">
        <v>720</v>
      </c>
      <c r="AI73" s="1">
        <f t="shared" si="37"/>
        <v>5.949232575350992</v>
      </c>
      <c r="AK73">
        <v>720</v>
      </c>
      <c r="AL73" s="1">
        <f t="shared" si="38"/>
        <v>5.8980312203484804</v>
      </c>
      <c r="AN73">
        <v>720</v>
      </c>
      <c r="AO73" s="1">
        <f t="shared" si="39"/>
        <v>5.8373649140436408</v>
      </c>
      <c r="AQ73">
        <v>720</v>
      </c>
      <c r="AR73" s="1">
        <f t="shared" si="40"/>
        <v>5.6386051281956728</v>
      </c>
      <c r="AT73">
        <v>720</v>
      </c>
      <c r="AU73" s="1">
        <f t="shared" si="41"/>
        <v>5.2009455367416519</v>
      </c>
      <c r="AW73">
        <v>710</v>
      </c>
      <c r="AX73" s="1">
        <f t="shared" si="45"/>
        <v>0.32084045693103408</v>
      </c>
      <c r="AZ73">
        <v>710</v>
      </c>
      <c r="BA73" s="1">
        <f t="shared" si="46"/>
        <v>0.30209802643787015</v>
      </c>
      <c r="BC73">
        <v>720</v>
      </c>
      <c r="BD73" s="1">
        <f t="shared" si="24"/>
        <v>1.864215082731576</v>
      </c>
      <c r="BF73">
        <v>720</v>
      </c>
      <c r="BG73" s="1">
        <f t="shared" si="42"/>
        <v>4.3242361111111105</v>
      </c>
      <c r="BI73">
        <v>720</v>
      </c>
      <c r="BJ73" s="1">
        <f t="shared" si="43"/>
        <v>6.5553167601231133</v>
      </c>
      <c r="BL73">
        <v>720</v>
      </c>
      <c r="BM73" s="1">
        <f t="shared" si="44"/>
        <v>7.4982258754573827</v>
      </c>
    </row>
    <row r="74" spans="2:65" x14ac:dyDescent="0.45">
      <c r="B74">
        <v>730</v>
      </c>
      <c r="C74" s="2">
        <f t="shared" si="25"/>
        <v>8.3052296835172577</v>
      </c>
      <c r="D74" s="3">
        <f t="shared" si="26"/>
        <v>1.3698630136986301E-3</v>
      </c>
      <c r="E74" s="3">
        <f t="shared" si="27"/>
        <v>0.12040606197618135</v>
      </c>
      <c r="G74">
        <v>730</v>
      </c>
      <c r="H74" s="1">
        <f t="shared" si="28"/>
        <v>7.880908282092066</v>
      </c>
      <c r="I74" s="1"/>
      <c r="J74">
        <v>730</v>
      </c>
      <c r="K74" s="1">
        <f t="shared" si="29"/>
        <v>7.3955104525059117</v>
      </c>
      <c r="M74">
        <v>730</v>
      </c>
      <c r="N74" s="1">
        <f t="shared" si="30"/>
        <v>7.1879041911224109</v>
      </c>
      <c r="P74">
        <v>730</v>
      </c>
      <c r="Q74" s="1">
        <f t="shared" si="31"/>
        <v>6.9078205004731492</v>
      </c>
      <c r="S74">
        <v>730</v>
      </c>
      <c r="T74" s="1">
        <f t="shared" si="32"/>
        <v>6.7023540532254451</v>
      </c>
      <c r="V74">
        <v>730</v>
      </c>
      <c r="W74" s="1">
        <f t="shared" si="33"/>
        <v>6.5032451438828005</v>
      </c>
      <c r="Y74">
        <v>730</v>
      </c>
      <c r="Z74" s="1">
        <f t="shared" si="34"/>
        <v>6.4655179003953993</v>
      </c>
      <c r="AB74">
        <v>730</v>
      </c>
      <c r="AC74" s="1">
        <f t="shared" si="35"/>
        <v>6.2428530923483168</v>
      </c>
      <c r="AD74" s="1"/>
      <c r="AE74">
        <v>730</v>
      </c>
      <c r="AF74" s="1">
        <f t="shared" si="36"/>
        <v>6.0375241677906244</v>
      </c>
      <c r="AH74">
        <v>730</v>
      </c>
      <c r="AI74" s="1">
        <f t="shared" si="37"/>
        <v>5.8677362387023484</v>
      </c>
      <c r="AK74">
        <v>730</v>
      </c>
      <c r="AL74" s="1">
        <f t="shared" si="38"/>
        <v>5.8172362721245285</v>
      </c>
      <c r="AN74">
        <v>730</v>
      </c>
      <c r="AO74" s="1">
        <f t="shared" si="39"/>
        <v>5.7574010111115355</v>
      </c>
      <c r="AQ74">
        <v>730</v>
      </c>
      <c r="AR74" s="1">
        <f t="shared" si="40"/>
        <v>5.5613639620560065</v>
      </c>
      <c r="AT74">
        <v>730</v>
      </c>
      <c r="AU74" s="1">
        <f t="shared" si="41"/>
        <v>5.1296997074712181</v>
      </c>
      <c r="AW74">
        <v>720</v>
      </c>
      <c r="AX74" s="1">
        <f t="shared" si="45"/>
        <v>0.31638433947365857</v>
      </c>
      <c r="AZ74">
        <v>720</v>
      </c>
      <c r="BA74" s="1">
        <f t="shared" si="46"/>
        <v>0.297902220515122</v>
      </c>
      <c r="BC74">
        <v>730</v>
      </c>
      <c r="BD74" s="1">
        <f t="shared" si="24"/>
        <v>1.8386778898174447</v>
      </c>
      <c r="BF74">
        <v>730</v>
      </c>
      <c r="BG74" s="1">
        <f t="shared" si="42"/>
        <v>4.2649999999999997</v>
      </c>
      <c r="BI74">
        <v>730</v>
      </c>
      <c r="BJ74" s="1">
        <f t="shared" si="43"/>
        <v>6.4655179003953993</v>
      </c>
      <c r="BL74">
        <v>730</v>
      </c>
      <c r="BM74" s="1">
        <f t="shared" si="44"/>
        <v>7.3955104525059117</v>
      </c>
    </row>
    <row r="75" spans="2:65" x14ac:dyDescent="0.45">
      <c r="B75">
        <v>740</v>
      </c>
      <c r="C75" s="2">
        <f t="shared" si="25"/>
        <v>8.1929968499562147</v>
      </c>
      <c r="D75" s="3">
        <f t="shared" si="26"/>
        <v>1.3513513513513514E-3</v>
      </c>
      <c r="E75" s="3">
        <f t="shared" si="27"/>
        <v>0.1220554600854441</v>
      </c>
      <c r="G75">
        <v>740</v>
      </c>
      <c r="H75" s="1">
        <f t="shared" si="28"/>
        <v>7.7744095215232543</v>
      </c>
      <c r="I75" s="1"/>
      <c r="J75">
        <v>740</v>
      </c>
      <c r="K75" s="1">
        <f t="shared" si="29"/>
        <v>7.2955711220666428</v>
      </c>
      <c r="M75">
        <v>740</v>
      </c>
      <c r="N75" s="1">
        <f t="shared" si="30"/>
        <v>7.0907703507018374</v>
      </c>
      <c r="P75">
        <v>740</v>
      </c>
      <c r="Q75" s="1">
        <f t="shared" si="31"/>
        <v>6.8144715747910789</v>
      </c>
      <c r="S75">
        <v>740</v>
      </c>
      <c r="T75" s="1">
        <f t="shared" si="32"/>
        <v>6.6117817011548317</v>
      </c>
      <c r="V75">
        <v>740</v>
      </c>
      <c r="W75" s="1">
        <f t="shared" si="33"/>
        <v>6.4153634527492489</v>
      </c>
      <c r="Y75">
        <v>740</v>
      </c>
      <c r="Z75" s="1">
        <f t="shared" si="34"/>
        <v>6.3781460368765419</v>
      </c>
      <c r="AB75">
        <v>740</v>
      </c>
      <c r="AC75" s="1">
        <f t="shared" si="35"/>
        <v>6.158490212721988</v>
      </c>
      <c r="AD75" s="1"/>
      <c r="AE75">
        <v>740</v>
      </c>
      <c r="AF75" s="1">
        <f t="shared" si="36"/>
        <v>5.955936003361022</v>
      </c>
      <c r="AH75">
        <v>740</v>
      </c>
      <c r="AI75" s="1">
        <f t="shared" si="37"/>
        <v>5.7884425057469109</v>
      </c>
      <c r="AK75">
        <v>740</v>
      </c>
      <c r="AL75" s="1">
        <f t="shared" si="38"/>
        <v>5.7386249711498722</v>
      </c>
      <c r="AN75">
        <v>740</v>
      </c>
      <c r="AO75" s="1">
        <f t="shared" si="39"/>
        <v>5.6795982947451638</v>
      </c>
      <c r="AQ75">
        <v>740</v>
      </c>
      <c r="AR75" s="1">
        <f t="shared" si="40"/>
        <v>5.4862103950011951</v>
      </c>
      <c r="AT75">
        <v>740</v>
      </c>
      <c r="AU75" s="1">
        <f t="shared" si="41"/>
        <v>5.0603794411540397</v>
      </c>
      <c r="AW75">
        <v>730</v>
      </c>
      <c r="AX75" s="1">
        <f t="shared" si="45"/>
        <v>0.3120503074260742</v>
      </c>
      <c r="AZ75">
        <v>730</v>
      </c>
      <c r="BA75" s="1">
        <f t="shared" si="46"/>
        <v>0.29382136817929838</v>
      </c>
      <c r="BC75">
        <v>740</v>
      </c>
      <c r="BD75" s="1">
        <f t="shared" si="24"/>
        <v>1.8138308913063983</v>
      </c>
      <c r="BF75">
        <v>740</v>
      </c>
      <c r="BG75" s="1">
        <f t="shared" si="42"/>
        <v>4.2073648648648643</v>
      </c>
      <c r="BI75">
        <v>740</v>
      </c>
      <c r="BJ75" s="1">
        <f t="shared" si="43"/>
        <v>6.3781460368765419</v>
      </c>
      <c r="BL75">
        <v>740</v>
      </c>
      <c r="BM75" s="1">
        <f t="shared" si="44"/>
        <v>7.2955711220666428</v>
      </c>
    </row>
    <row r="76" spans="2:65" x14ac:dyDescent="0.45">
      <c r="B76">
        <v>750</v>
      </c>
      <c r="C76" s="2">
        <f t="shared" si="25"/>
        <v>8.0837568919567975</v>
      </c>
      <c r="D76" s="3">
        <f t="shared" si="26"/>
        <v>1.3333333333333333E-3</v>
      </c>
      <c r="E76" s="3">
        <f t="shared" si="27"/>
        <v>0.12370485819470688</v>
      </c>
      <c r="G76">
        <v>750</v>
      </c>
      <c r="H76" s="1">
        <f t="shared" si="28"/>
        <v>7.6707507279029441</v>
      </c>
      <c r="I76" s="1"/>
      <c r="J76">
        <v>750</v>
      </c>
      <c r="K76" s="1">
        <f t="shared" si="29"/>
        <v>7.1982968404390872</v>
      </c>
      <c r="M76">
        <v>750</v>
      </c>
      <c r="N76" s="1">
        <f t="shared" si="30"/>
        <v>6.9962267460258127</v>
      </c>
      <c r="P76">
        <v>750</v>
      </c>
      <c r="Q76" s="1">
        <f t="shared" si="31"/>
        <v>6.7236119537938652</v>
      </c>
      <c r="S76">
        <v>750</v>
      </c>
      <c r="T76" s="1">
        <f t="shared" si="32"/>
        <v>6.5236246118060999</v>
      </c>
      <c r="V76">
        <v>750</v>
      </c>
      <c r="W76" s="1">
        <f t="shared" si="33"/>
        <v>6.3298252733792593</v>
      </c>
      <c r="Y76">
        <v>750</v>
      </c>
      <c r="Z76" s="1">
        <f t="shared" si="34"/>
        <v>6.293104089718188</v>
      </c>
      <c r="AB76">
        <v>750</v>
      </c>
      <c r="AC76" s="1">
        <f t="shared" si="35"/>
        <v>6.0763770098856948</v>
      </c>
      <c r="AD76" s="1"/>
      <c r="AE76">
        <v>750</v>
      </c>
      <c r="AF76" s="1">
        <f t="shared" si="36"/>
        <v>5.8765235233162079</v>
      </c>
      <c r="AH76">
        <v>750</v>
      </c>
      <c r="AI76" s="1">
        <f t="shared" si="37"/>
        <v>5.7112632723369519</v>
      </c>
      <c r="AK76">
        <v>750</v>
      </c>
      <c r="AL76" s="1">
        <f t="shared" si="38"/>
        <v>5.6621099715345409</v>
      </c>
      <c r="AN76">
        <v>750</v>
      </c>
      <c r="AO76" s="1">
        <f t="shared" si="39"/>
        <v>5.6038703174818947</v>
      </c>
      <c r="AQ76">
        <v>750</v>
      </c>
      <c r="AR76" s="1">
        <f t="shared" si="40"/>
        <v>5.4130609230678459</v>
      </c>
      <c r="AT76">
        <v>750</v>
      </c>
      <c r="AU76" s="1">
        <f t="shared" si="41"/>
        <v>4.9929077152719854</v>
      </c>
      <c r="AW76">
        <v>740</v>
      </c>
      <c r="AX76" s="1">
        <f t="shared" si="45"/>
        <v>0.30783341137977593</v>
      </c>
      <c r="AZ76">
        <v>740</v>
      </c>
      <c r="BA76" s="1">
        <f t="shared" si="46"/>
        <v>0.2898508091498484</v>
      </c>
      <c r="BC76">
        <v>750</v>
      </c>
      <c r="BD76" s="1">
        <f t="shared" si="24"/>
        <v>1.789646479422313</v>
      </c>
      <c r="BF76">
        <v>750</v>
      </c>
      <c r="BG76" s="1">
        <f t="shared" si="42"/>
        <v>4.1512666666666664</v>
      </c>
      <c r="BI76">
        <v>750</v>
      </c>
      <c r="BJ76" s="1">
        <f t="shared" si="43"/>
        <v>6.293104089718188</v>
      </c>
      <c r="BL76">
        <v>750</v>
      </c>
      <c r="BM76" s="1">
        <f t="shared" si="44"/>
        <v>7.1982968404390872</v>
      </c>
    </row>
    <row r="77" spans="2:65" x14ac:dyDescent="0.45">
      <c r="B77">
        <v>760</v>
      </c>
      <c r="C77" s="2">
        <f t="shared" si="25"/>
        <v>7.9773916696942084</v>
      </c>
      <c r="D77" s="3">
        <f t="shared" si="26"/>
        <v>1.3157894736842105E-3</v>
      </c>
      <c r="E77" s="3">
        <f t="shared" si="27"/>
        <v>0.12535425630396962</v>
      </c>
      <c r="G77">
        <v>760</v>
      </c>
      <c r="H77" s="1">
        <f t="shared" si="28"/>
        <v>7.5698197972726415</v>
      </c>
      <c r="I77" s="1"/>
      <c r="J77">
        <v>760</v>
      </c>
      <c r="K77" s="1">
        <f t="shared" si="29"/>
        <v>7.1035824083280463</v>
      </c>
      <c r="M77">
        <v>760</v>
      </c>
      <c r="N77" s="1">
        <f t="shared" si="30"/>
        <v>6.9041711309465263</v>
      </c>
      <c r="P77">
        <v>760</v>
      </c>
      <c r="Q77" s="1">
        <f t="shared" si="31"/>
        <v>6.6351433754544722</v>
      </c>
      <c r="S77">
        <v>760</v>
      </c>
      <c r="T77" s="1">
        <f t="shared" si="32"/>
        <v>6.4377874458612832</v>
      </c>
      <c r="V77">
        <v>760</v>
      </c>
      <c r="W77" s="1">
        <f t="shared" si="33"/>
        <v>6.2465380987295323</v>
      </c>
      <c r="Y77">
        <v>760</v>
      </c>
      <c r="Z77" s="1">
        <f t="shared" si="34"/>
        <v>6.2103000885376858</v>
      </c>
      <c r="AB77">
        <v>760</v>
      </c>
      <c r="AC77" s="1">
        <f t="shared" si="35"/>
        <v>5.9964246808082518</v>
      </c>
      <c r="AD77" s="1"/>
      <c r="AE77">
        <v>760</v>
      </c>
      <c r="AF77" s="1">
        <f t="shared" si="36"/>
        <v>5.799200845377837</v>
      </c>
      <c r="AH77">
        <v>760</v>
      </c>
      <c r="AI77" s="1">
        <f t="shared" si="37"/>
        <v>5.6361150713851504</v>
      </c>
      <c r="AK77">
        <v>760</v>
      </c>
      <c r="AL77" s="1">
        <f t="shared" si="38"/>
        <v>5.5876085245406655</v>
      </c>
      <c r="AN77">
        <v>760</v>
      </c>
      <c r="AO77" s="1">
        <f t="shared" si="39"/>
        <v>5.5301351817255542</v>
      </c>
      <c r="AQ77">
        <v>760</v>
      </c>
      <c r="AR77" s="1">
        <f t="shared" si="40"/>
        <v>5.3418364372380065</v>
      </c>
      <c r="AT77">
        <v>760</v>
      </c>
      <c r="AU77" s="1">
        <f t="shared" si="41"/>
        <v>4.92721156112367</v>
      </c>
      <c r="AW77">
        <v>750</v>
      </c>
      <c r="AX77" s="1">
        <f t="shared" si="45"/>
        <v>0.30372896589471227</v>
      </c>
      <c r="AZ77">
        <v>750</v>
      </c>
      <c r="BA77" s="1">
        <f t="shared" si="46"/>
        <v>0.28598613169451709</v>
      </c>
      <c r="BC77">
        <v>760</v>
      </c>
      <c r="BD77" s="1">
        <f t="shared" si="24"/>
        <v>1.766098499429914</v>
      </c>
      <c r="BF77">
        <v>760</v>
      </c>
      <c r="BG77" s="1">
        <f t="shared" si="42"/>
        <v>4.0966447368421051</v>
      </c>
      <c r="BI77">
        <v>760</v>
      </c>
      <c r="BJ77" s="1">
        <f t="shared" si="43"/>
        <v>6.2103000885376858</v>
      </c>
      <c r="BL77">
        <v>760</v>
      </c>
      <c r="BM77" s="1">
        <f t="shared" si="44"/>
        <v>7.1035824083280463</v>
      </c>
    </row>
    <row r="78" spans="2:65" x14ac:dyDescent="0.45">
      <c r="B78">
        <v>770</v>
      </c>
      <c r="C78" s="2">
        <f t="shared" si="25"/>
        <v>7.8737891804774005</v>
      </c>
      <c r="D78" s="3">
        <f t="shared" si="26"/>
        <v>1.2987012987012987E-3</v>
      </c>
      <c r="E78" s="3">
        <f t="shared" si="27"/>
        <v>0.12700365441323239</v>
      </c>
      <c r="G78">
        <v>770</v>
      </c>
      <c r="H78" s="1">
        <f t="shared" si="28"/>
        <v>7.4715104492561144</v>
      </c>
      <c r="I78" s="1"/>
      <c r="J78">
        <v>770</v>
      </c>
      <c r="K78" s="1">
        <f t="shared" si="29"/>
        <v>7.0113280913367735</v>
      </c>
      <c r="M78">
        <v>770</v>
      </c>
      <c r="N78" s="1">
        <f t="shared" si="30"/>
        <v>6.8145065708043635</v>
      </c>
      <c r="P78">
        <v>770</v>
      </c>
      <c r="Q78" s="1">
        <f t="shared" si="31"/>
        <v>6.5489726822667516</v>
      </c>
      <c r="S78">
        <v>770</v>
      </c>
      <c r="T78" s="1">
        <f t="shared" si="32"/>
        <v>6.3541798166942538</v>
      </c>
      <c r="V78">
        <v>770</v>
      </c>
      <c r="W78" s="1">
        <f t="shared" si="33"/>
        <v>6.1654142273174601</v>
      </c>
      <c r="Y78">
        <v>770</v>
      </c>
      <c r="Z78" s="1">
        <f t="shared" si="34"/>
        <v>6.1296468406345994</v>
      </c>
      <c r="AB78">
        <v>770</v>
      </c>
      <c r="AC78" s="1">
        <f t="shared" si="35"/>
        <v>5.9185490356029495</v>
      </c>
      <c r="AD78" s="1"/>
      <c r="AE78">
        <v>770</v>
      </c>
      <c r="AF78" s="1">
        <f t="shared" si="36"/>
        <v>5.723886548684618</v>
      </c>
      <c r="AH78">
        <v>770</v>
      </c>
      <c r="AI78" s="1">
        <f t="shared" si="37"/>
        <v>5.5629187717567712</v>
      </c>
      <c r="AK78">
        <v>770</v>
      </c>
      <c r="AL78" s="1">
        <f t="shared" si="38"/>
        <v>5.5150421800661116</v>
      </c>
      <c r="AN78">
        <v>770</v>
      </c>
      <c r="AO78" s="1">
        <f t="shared" si="39"/>
        <v>5.4583152443005467</v>
      </c>
      <c r="AQ78">
        <v>770</v>
      </c>
      <c r="AR78" s="1">
        <f t="shared" si="40"/>
        <v>5.2724619380530973</v>
      </c>
      <c r="AT78">
        <v>770</v>
      </c>
      <c r="AU78" s="1">
        <f t="shared" si="41"/>
        <v>4.8632218005895966</v>
      </c>
      <c r="AW78">
        <v>760</v>
      </c>
      <c r="AX78" s="1">
        <f t="shared" si="45"/>
        <v>0.29973253213293971</v>
      </c>
      <c r="AZ78">
        <v>760</v>
      </c>
      <c r="BA78" s="1">
        <f t="shared" si="46"/>
        <v>0.28222315627748396</v>
      </c>
      <c r="BC78">
        <v>770</v>
      </c>
      <c r="BD78" s="1">
        <f t="shared" si="24"/>
        <v>1.7431621552814736</v>
      </c>
      <c r="BF78">
        <v>770</v>
      </c>
      <c r="BG78" s="1">
        <f t="shared" si="42"/>
        <v>4.0434415584415584</v>
      </c>
      <c r="BI78">
        <v>770</v>
      </c>
      <c r="BJ78" s="1">
        <f t="shared" si="43"/>
        <v>6.1296468406345994</v>
      </c>
      <c r="BL78">
        <v>770</v>
      </c>
      <c r="BM78" s="1">
        <f t="shared" si="44"/>
        <v>7.0113280913367735</v>
      </c>
    </row>
    <row r="79" spans="2:65" x14ac:dyDescent="0.45">
      <c r="B79">
        <v>780</v>
      </c>
      <c r="C79" s="2">
        <f t="shared" si="25"/>
        <v>7.7728431653430752</v>
      </c>
      <c r="D79" s="3">
        <f t="shared" si="26"/>
        <v>1.2820512820512821E-3</v>
      </c>
      <c r="E79" s="3">
        <f t="shared" si="27"/>
        <v>0.12865305252249515</v>
      </c>
      <c r="G79">
        <v>780</v>
      </c>
      <c r="H79" s="1">
        <f t="shared" si="28"/>
        <v>7.3757218537528306</v>
      </c>
      <c r="I79" s="1"/>
      <c r="J79">
        <v>780</v>
      </c>
      <c r="K79" s="1">
        <f t="shared" si="29"/>
        <v>6.9214392696529687</v>
      </c>
      <c r="M79">
        <v>780</v>
      </c>
      <c r="N79" s="1">
        <f t="shared" si="30"/>
        <v>6.7271411019478968</v>
      </c>
      <c r="P79">
        <v>780</v>
      </c>
      <c r="Q79" s="1">
        <f t="shared" si="31"/>
        <v>6.465011494032562</v>
      </c>
      <c r="S79">
        <v>780</v>
      </c>
      <c r="T79" s="1">
        <f t="shared" si="32"/>
        <v>6.2727159728904809</v>
      </c>
      <c r="V79">
        <v>780</v>
      </c>
      <c r="W79" s="1">
        <f t="shared" si="33"/>
        <v>6.0863704551723643</v>
      </c>
      <c r="Y79">
        <v>780</v>
      </c>
      <c r="Z79" s="1">
        <f t="shared" si="34"/>
        <v>6.0510616247290274</v>
      </c>
      <c r="AB79">
        <v>780</v>
      </c>
      <c r="AC79" s="1">
        <f t="shared" si="35"/>
        <v>5.842670201813168</v>
      </c>
      <c r="AD79" s="1"/>
      <c r="AE79">
        <v>780</v>
      </c>
      <c r="AF79" s="1">
        <f t="shared" si="36"/>
        <v>5.6505033878040463</v>
      </c>
      <c r="AH79">
        <v>780</v>
      </c>
      <c r="AI79" s="1">
        <f t="shared" si="37"/>
        <v>5.4915993003239922</v>
      </c>
      <c r="AK79">
        <v>780</v>
      </c>
      <c r="AL79" s="1">
        <f t="shared" si="38"/>
        <v>5.4443365110909046</v>
      </c>
      <c r="AN79">
        <v>780</v>
      </c>
      <c r="AO79" s="1">
        <f t="shared" si="39"/>
        <v>5.3883368437325911</v>
      </c>
      <c r="AQ79">
        <v>780</v>
      </c>
      <c r="AR79" s="1">
        <f t="shared" si="40"/>
        <v>5.2048662721806211</v>
      </c>
      <c r="AT79">
        <v>780</v>
      </c>
      <c r="AU79" s="1">
        <f t="shared" si="41"/>
        <v>4.8008728031461398</v>
      </c>
      <c r="AW79">
        <v>770</v>
      </c>
      <c r="AX79" s="1">
        <f t="shared" si="45"/>
        <v>0.29583990184549896</v>
      </c>
      <c r="AZ79">
        <v>770</v>
      </c>
      <c r="BA79" s="1">
        <f t="shared" si="46"/>
        <v>0.27855792048167249</v>
      </c>
      <c r="BC79">
        <v>780</v>
      </c>
      <c r="BD79" s="1">
        <f t="shared" si="24"/>
        <v>1.7208139225214547</v>
      </c>
      <c r="BF79">
        <v>780</v>
      </c>
      <c r="BG79" s="1">
        <f t="shared" si="42"/>
        <v>3.9916025641025641</v>
      </c>
      <c r="BI79">
        <v>780</v>
      </c>
      <c r="BJ79" s="1">
        <f t="shared" si="43"/>
        <v>6.0510616247290274</v>
      </c>
      <c r="BL79">
        <v>780</v>
      </c>
      <c r="BM79" s="1">
        <f t="shared" si="44"/>
        <v>6.9214392696529687</v>
      </c>
    </row>
    <row r="80" spans="2:65" x14ac:dyDescent="0.45">
      <c r="B80">
        <v>790</v>
      </c>
      <c r="C80" s="2">
        <f t="shared" si="25"/>
        <v>7.6744527455286056</v>
      </c>
      <c r="D80" s="3">
        <f t="shared" si="26"/>
        <v>1.2658227848101266E-3</v>
      </c>
      <c r="E80" s="3">
        <f t="shared" si="27"/>
        <v>0.13030245063175791</v>
      </c>
      <c r="G80">
        <v>790</v>
      </c>
      <c r="H80" s="1">
        <f t="shared" si="28"/>
        <v>7.2823582859838076</v>
      </c>
      <c r="I80" s="1"/>
      <c r="J80">
        <v>790</v>
      </c>
      <c r="K80" s="1">
        <f t="shared" si="29"/>
        <v>6.8338261143409058</v>
      </c>
      <c r="M80">
        <v>790</v>
      </c>
      <c r="N80" s="1">
        <f t="shared" si="30"/>
        <v>6.6419874171131132</v>
      </c>
      <c r="P80">
        <v>790</v>
      </c>
      <c r="Q80" s="1">
        <f t="shared" si="31"/>
        <v>6.3831759055005044</v>
      </c>
      <c r="S80">
        <v>790</v>
      </c>
      <c r="T80" s="1">
        <f t="shared" si="32"/>
        <v>6.1933145048792086</v>
      </c>
      <c r="V80">
        <v>790</v>
      </c>
      <c r="W80" s="1">
        <f t="shared" si="33"/>
        <v>6.0093277911828409</v>
      </c>
      <c r="Y80">
        <v>790</v>
      </c>
      <c r="Z80" s="1">
        <f t="shared" si="34"/>
        <v>5.9744659079603055</v>
      </c>
      <c r="AB80">
        <v>790</v>
      </c>
      <c r="AC80" s="1">
        <f t="shared" si="35"/>
        <v>5.7687123511573049</v>
      </c>
      <c r="AD80" s="1"/>
      <c r="AE80">
        <v>790</v>
      </c>
      <c r="AF80" s="1">
        <f t="shared" si="36"/>
        <v>5.5789780284647543</v>
      </c>
      <c r="AH80">
        <v>790</v>
      </c>
      <c r="AI80" s="1">
        <f t="shared" si="37"/>
        <v>5.4220853851300177</v>
      </c>
      <c r="AK80">
        <v>790</v>
      </c>
      <c r="AL80" s="1">
        <f t="shared" si="38"/>
        <v>5.3754208590517791</v>
      </c>
      <c r="AN80">
        <v>790</v>
      </c>
      <c r="AO80" s="1">
        <f t="shared" si="39"/>
        <v>5.3201300482423051</v>
      </c>
      <c r="AQ80">
        <v>790</v>
      </c>
      <c r="AR80" s="1">
        <f t="shared" si="40"/>
        <v>5.1389818889884618</v>
      </c>
      <c r="AT80">
        <v>790</v>
      </c>
      <c r="AU80" s="1">
        <f t="shared" si="41"/>
        <v>4.7401022613341635</v>
      </c>
      <c r="AW80">
        <v>780</v>
      </c>
      <c r="AX80" s="1">
        <f t="shared" si="45"/>
        <v>0.29204708259106948</v>
      </c>
      <c r="AZ80">
        <v>780</v>
      </c>
      <c r="BA80" s="1">
        <f t="shared" si="46"/>
        <v>0.27498666509088182</v>
      </c>
      <c r="BC80">
        <v>790</v>
      </c>
      <c r="BD80" s="1">
        <f t="shared" si="24"/>
        <v>1.6990314678059932</v>
      </c>
      <c r="BF80">
        <v>790</v>
      </c>
      <c r="BG80" s="1">
        <f t="shared" si="42"/>
        <v>3.9410759493670882</v>
      </c>
      <c r="BI80">
        <v>790</v>
      </c>
      <c r="BJ80" s="1">
        <f t="shared" si="43"/>
        <v>5.9744659079603055</v>
      </c>
      <c r="BL80">
        <v>790</v>
      </c>
      <c r="BM80" s="1">
        <f t="shared" si="44"/>
        <v>6.8338261143409058</v>
      </c>
    </row>
    <row r="81" spans="2:65" x14ac:dyDescent="0.45">
      <c r="B81">
        <v>800</v>
      </c>
      <c r="C81" s="2">
        <f t="shared" si="25"/>
        <v>7.5785220862094977</v>
      </c>
      <c r="D81" s="3">
        <f t="shared" si="26"/>
        <v>1.25E-3</v>
      </c>
      <c r="E81" s="3">
        <f t="shared" si="27"/>
        <v>0.13195184874102067</v>
      </c>
      <c r="G81">
        <v>800</v>
      </c>
      <c r="H81" s="1">
        <f t="shared" si="28"/>
        <v>7.1913288074090103</v>
      </c>
      <c r="I81" s="1"/>
      <c r="J81">
        <v>800</v>
      </c>
      <c r="K81" s="1">
        <f t="shared" si="29"/>
        <v>6.7484032879116445</v>
      </c>
      <c r="M81">
        <v>800</v>
      </c>
      <c r="N81" s="1">
        <f t="shared" si="30"/>
        <v>6.5589625743991995</v>
      </c>
      <c r="P81">
        <v>800</v>
      </c>
      <c r="Q81" s="1">
        <f t="shared" si="31"/>
        <v>6.3033862066817479</v>
      </c>
      <c r="S81">
        <v>800</v>
      </c>
      <c r="T81" s="1">
        <f t="shared" si="32"/>
        <v>6.1158980735682187</v>
      </c>
      <c r="V81">
        <v>800</v>
      </c>
      <c r="W81" s="1">
        <f t="shared" si="33"/>
        <v>5.9342111937930557</v>
      </c>
      <c r="Y81">
        <v>800</v>
      </c>
      <c r="Z81" s="1">
        <f t="shared" si="34"/>
        <v>5.8997850841108015</v>
      </c>
      <c r="AB81">
        <v>800</v>
      </c>
      <c r="AC81" s="1">
        <f t="shared" si="35"/>
        <v>5.6966034467678393</v>
      </c>
      <c r="AD81" s="1"/>
      <c r="AE81">
        <v>800</v>
      </c>
      <c r="AF81" s="1">
        <f t="shared" si="36"/>
        <v>5.5092408031089448</v>
      </c>
      <c r="AH81">
        <v>800</v>
      </c>
      <c r="AI81" s="1">
        <f t="shared" si="37"/>
        <v>5.3543093178158925</v>
      </c>
      <c r="AK81">
        <v>800</v>
      </c>
      <c r="AL81" s="1">
        <f t="shared" si="38"/>
        <v>5.3082280983136316</v>
      </c>
      <c r="AN81">
        <v>800</v>
      </c>
      <c r="AO81" s="1">
        <f t="shared" si="39"/>
        <v>5.2536284226392764</v>
      </c>
      <c r="AQ81">
        <v>800</v>
      </c>
      <c r="AR81" s="1">
        <f t="shared" si="40"/>
        <v>5.0747446153761055</v>
      </c>
      <c r="AT81">
        <v>800</v>
      </c>
      <c r="AU81" s="1">
        <f t="shared" si="41"/>
        <v>4.6808509830674865</v>
      </c>
      <c r="AW81">
        <v>790</v>
      </c>
      <c r="AX81" s="1">
        <f t="shared" si="45"/>
        <v>0.28835028407725843</v>
      </c>
      <c r="AZ81">
        <v>790</v>
      </c>
      <c r="BA81" s="1">
        <f t="shared" si="46"/>
        <v>0.27150582122897193</v>
      </c>
      <c r="BC81">
        <v>800</v>
      </c>
      <c r="BD81" s="1">
        <f t="shared" si="24"/>
        <v>1.6777935744584185</v>
      </c>
      <c r="BF81">
        <v>800</v>
      </c>
      <c r="BG81" s="1">
        <f t="shared" si="42"/>
        <v>3.8918124999999999</v>
      </c>
      <c r="BI81">
        <v>800</v>
      </c>
      <c r="BJ81" s="1">
        <f t="shared" si="43"/>
        <v>5.8997850841108015</v>
      </c>
      <c r="BL81">
        <v>800</v>
      </c>
      <c r="BM81" s="1">
        <f t="shared" si="44"/>
        <v>6.7484032879116445</v>
      </c>
    </row>
    <row r="82" spans="2:65" x14ac:dyDescent="0.45">
      <c r="B82">
        <v>810</v>
      </c>
      <c r="C82" s="2">
        <f t="shared" si="25"/>
        <v>7.4849600851451834</v>
      </c>
      <c r="D82" s="3">
        <f t="shared" si="26"/>
        <v>1.2345679012345679E-3</v>
      </c>
      <c r="E82" s="3">
        <f t="shared" si="27"/>
        <v>0.13360124685028341</v>
      </c>
      <c r="G82">
        <v>810</v>
      </c>
      <c r="H82" s="1">
        <f t="shared" si="28"/>
        <v>7.1025469702805033</v>
      </c>
      <c r="I82" s="1"/>
      <c r="J82">
        <v>810</v>
      </c>
      <c r="K82" s="1">
        <f t="shared" si="29"/>
        <v>6.6650896670732287</v>
      </c>
      <c r="M82">
        <v>810</v>
      </c>
      <c r="N82" s="1">
        <f t="shared" si="30"/>
        <v>6.4779877278016791</v>
      </c>
      <c r="P82">
        <v>810</v>
      </c>
      <c r="Q82" s="1">
        <f t="shared" si="31"/>
        <v>6.2255666238832079</v>
      </c>
      <c r="S82">
        <v>810</v>
      </c>
      <c r="T82" s="1">
        <f t="shared" si="32"/>
        <v>6.0403931590797226</v>
      </c>
      <c r="V82">
        <v>810</v>
      </c>
      <c r="W82" s="1">
        <f t="shared" si="33"/>
        <v>5.8609493272030173</v>
      </c>
      <c r="Y82">
        <v>810</v>
      </c>
      <c r="Z82" s="1">
        <f t="shared" si="34"/>
        <v>5.8269482312205447</v>
      </c>
      <c r="AB82">
        <v>810</v>
      </c>
      <c r="AC82" s="1">
        <f t="shared" si="35"/>
        <v>5.6262750091534208</v>
      </c>
      <c r="AD82" s="1"/>
      <c r="AE82">
        <v>810</v>
      </c>
      <c r="AF82" s="1">
        <f t="shared" si="36"/>
        <v>5.4412254845520449</v>
      </c>
      <c r="AH82">
        <v>810</v>
      </c>
      <c r="AI82" s="1">
        <f t="shared" si="37"/>
        <v>5.2882067336453265</v>
      </c>
      <c r="AK82">
        <v>810</v>
      </c>
      <c r="AL82" s="1">
        <f t="shared" si="38"/>
        <v>5.2426944180875381</v>
      </c>
      <c r="AN82">
        <v>810</v>
      </c>
      <c r="AO82" s="1">
        <f t="shared" si="39"/>
        <v>5.1887688124832358</v>
      </c>
      <c r="AQ82">
        <v>810</v>
      </c>
      <c r="AR82" s="1">
        <f t="shared" si="40"/>
        <v>5.0120934472850429</v>
      </c>
      <c r="AT82">
        <v>810</v>
      </c>
      <c r="AU82" s="1">
        <f t="shared" si="41"/>
        <v>4.6230626993259127</v>
      </c>
      <c r="AW82">
        <v>800</v>
      </c>
      <c r="AX82" s="1">
        <f t="shared" si="45"/>
        <v>0.28474590552629275</v>
      </c>
      <c r="AZ82">
        <v>800</v>
      </c>
      <c r="BA82" s="1">
        <f t="shared" si="46"/>
        <v>0.26811199846360978</v>
      </c>
      <c r="BC82">
        <v>810</v>
      </c>
      <c r="BD82" s="1">
        <f t="shared" si="24"/>
        <v>1.6570800735391786</v>
      </c>
      <c r="BF82">
        <v>810</v>
      </c>
      <c r="BG82" s="1">
        <f t="shared" si="42"/>
        <v>3.8437654320987651</v>
      </c>
      <c r="BI82">
        <v>810</v>
      </c>
      <c r="BJ82" s="1">
        <f t="shared" si="43"/>
        <v>5.8269482312205447</v>
      </c>
      <c r="BL82">
        <v>810</v>
      </c>
      <c r="BM82" s="1">
        <f t="shared" si="44"/>
        <v>6.6650896670732287</v>
      </c>
    </row>
    <row r="83" spans="2:65" x14ac:dyDescent="0.45">
      <c r="B83">
        <v>820</v>
      </c>
      <c r="C83" s="2">
        <f t="shared" si="25"/>
        <v>7.3936800841068271</v>
      </c>
      <c r="D83" s="3">
        <f t="shared" si="26"/>
        <v>1.2195121951219512E-3</v>
      </c>
      <c r="E83" s="3">
        <f t="shared" si="27"/>
        <v>0.13525064495954617</v>
      </c>
      <c r="G83">
        <v>820</v>
      </c>
      <c r="H83" s="1">
        <f t="shared" si="28"/>
        <v>7.0159305438136679</v>
      </c>
      <c r="I83" s="1"/>
      <c r="J83">
        <v>820</v>
      </c>
      <c r="K83" s="1">
        <f t="shared" si="29"/>
        <v>6.5838080857674584</v>
      </c>
      <c r="M83">
        <v>820</v>
      </c>
      <c r="N83" s="1">
        <f t="shared" si="30"/>
        <v>6.3989878774626341</v>
      </c>
      <c r="P83">
        <v>820</v>
      </c>
      <c r="Q83" s="1">
        <f t="shared" si="31"/>
        <v>6.1496450796895106</v>
      </c>
      <c r="S83">
        <v>820</v>
      </c>
      <c r="T83" s="1">
        <f t="shared" si="32"/>
        <v>5.9667298278714327</v>
      </c>
      <c r="V83">
        <v>820</v>
      </c>
      <c r="W83" s="1">
        <f t="shared" si="33"/>
        <v>5.7894743354078591</v>
      </c>
      <c r="Y83">
        <v>820</v>
      </c>
      <c r="Z83" s="1">
        <f t="shared" si="34"/>
        <v>5.7558878869373675</v>
      </c>
      <c r="AB83">
        <v>820</v>
      </c>
      <c r="AC83" s="1">
        <f t="shared" si="35"/>
        <v>5.5576618992856961</v>
      </c>
      <c r="AD83" s="1"/>
      <c r="AE83">
        <v>820</v>
      </c>
      <c r="AF83" s="1">
        <f t="shared" si="36"/>
        <v>5.3748690762038489</v>
      </c>
      <c r="AH83">
        <v>820</v>
      </c>
      <c r="AI83" s="1">
        <f t="shared" si="37"/>
        <v>5.2237164076252611</v>
      </c>
      <c r="AK83">
        <v>820</v>
      </c>
      <c r="AL83" s="1">
        <f t="shared" si="38"/>
        <v>5.1787591203059824</v>
      </c>
      <c r="AN83">
        <v>820</v>
      </c>
      <c r="AO83" s="1">
        <f t="shared" si="39"/>
        <v>5.1254911440383184</v>
      </c>
      <c r="AQ83">
        <v>820</v>
      </c>
      <c r="AR83" s="1">
        <f t="shared" si="40"/>
        <v>4.9509703564644933</v>
      </c>
      <c r="AT83">
        <v>820</v>
      </c>
      <c r="AU83" s="1">
        <f t="shared" si="41"/>
        <v>4.5666838859194989</v>
      </c>
      <c r="AW83">
        <v>810</v>
      </c>
      <c r="AX83" s="1">
        <f t="shared" si="45"/>
        <v>0.28123052397658543</v>
      </c>
      <c r="AZ83">
        <v>810</v>
      </c>
      <c r="BA83" s="1">
        <f t="shared" si="46"/>
        <v>0.26480197379121956</v>
      </c>
      <c r="BC83">
        <v>820</v>
      </c>
      <c r="BD83" s="1">
        <f t="shared" si="24"/>
        <v>1.6368717799594326</v>
      </c>
      <c r="BF83">
        <v>820</v>
      </c>
      <c r="BG83" s="1">
        <f t="shared" si="42"/>
        <v>3.796890243902439</v>
      </c>
      <c r="BI83">
        <v>820</v>
      </c>
      <c r="BJ83" s="1">
        <f t="shared" si="43"/>
        <v>5.7558878869373675</v>
      </c>
      <c r="BL83">
        <v>820</v>
      </c>
      <c r="BM83" s="1">
        <f t="shared" si="44"/>
        <v>6.5838080857674584</v>
      </c>
    </row>
    <row r="84" spans="2:65" x14ac:dyDescent="0.45">
      <c r="B84">
        <v>830</v>
      </c>
      <c r="C84" s="2">
        <f t="shared" si="25"/>
        <v>7.3045996011657808</v>
      </c>
      <c r="D84" s="3">
        <f t="shared" si="26"/>
        <v>1.2048192771084338E-3</v>
      </c>
      <c r="E84" s="3">
        <f t="shared" si="27"/>
        <v>0.13690004306880893</v>
      </c>
      <c r="G84">
        <v>830</v>
      </c>
      <c r="H84" s="1">
        <f t="shared" si="28"/>
        <v>6.9314012601532626</v>
      </c>
      <c r="I84" s="1"/>
      <c r="J84">
        <v>830</v>
      </c>
      <c r="K84" s="1">
        <f t="shared" si="29"/>
        <v>6.5044850967823082</v>
      </c>
      <c r="M84">
        <v>830</v>
      </c>
      <c r="N84" s="1">
        <f t="shared" si="30"/>
        <v>6.3218916379751322</v>
      </c>
      <c r="P84">
        <v>830</v>
      </c>
      <c r="Q84" s="1">
        <f t="shared" si="31"/>
        <v>6.0755529702956608</v>
      </c>
      <c r="S84">
        <v>830</v>
      </c>
      <c r="T84" s="1">
        <f t="shared" si="32"/>
        <v>5.8948415166922592</v>
      </c>
      <c r="V84">
        <v>830</v>
      </c>
      <c r="W84" s="1">
        <f t="shared" si="33"/>
        <v>5.7197216325716198</v>
      </c>
      <c r="Y84">
        <v>830</v>
      </c>
      <c r="Z84" s="1">
        <f t="shared" si="34"/>
        <v>5.6865398401067964</v>
      </c>
      <c r="AB84">
        <v>830</v>
      </c>
      <c r="AC84" s="1">
        <f t="shared" si="35"/>
        <v>5.4907021173665918</v>
      </c>
      <c r="AD84" s="1"/>
      <c r="AE84">
        <v>830</v>
      </c>
      <c r="AF84" s="1">
        <f t="shared" si="36"/>
        <v>5.310111617454405</v>
      </c>
      <c r="AH84">
        <v>830</v>
      </c>
      <c r="AI84" s="1">
        <f t="shared" si="37"/>
        <v>5.1607800653647162</v>
      </c>
      <c r="AK84">
        <v>830</v>
      </c>
      <c r="AL84" s="1">
        <f t="shared" si="38"/>
        <v>5.116364432109525</v>
      </c>
      <c r="AN84">
        <v>830</v>
      </c>
      <c r="AO84" s="1">
        <f t="shared" si="39"/>
        <v>5.0637382386884591</v>
      </c>
      <c r="AQ84">
        <v>830</v>
      </c>
      <c r="AR84" s="1">
        <f t="shared" si="40"/>
        <v>4.8913201112058848</v>
      </c>
      <c r="AT84">
        <v>830</v>
      </c>
      <c r="AU84" s="1">
        <f t="shared" si="41"/>
        <v>4.5116635981373365</v>
      </c>
      <c r="AW84">
        <v>820</v>
      </c>
      <c r="AX84" s="1">
        <f t="shared" si="45"/>
        <v>0.27780088344028558</v>
      </c>
      <c r="AZ84">
        <v>820</v>
      </c>
      <c r="BA84" s="1">
        <f t="shared" si="46"/>
        <v>0.26157268142791196</v>
      </c>
      <c r="BC84">
        <v>830</v>
      </c>
      <c r="BD84" s="1">
        <f t="shared" si="24"/>
        <v>1.6171504332129334</v>
      </c>
      <c r="BF84">
        <v>830</v>
      </c>
      <c r="BG84" s="1">
        <f t="shared" si="42"/>
        <v>3.7511445783132529</v>
      </c>
      <c r="BI84">
        <v>830</v>
      </c>
      <c r="BJ84" s="1">
        <f t="shared" si="43"/>
        <v>5.6865398401067964</v>
      </c>
      <c r="BL84">
        <v>830</v>
      </c>
      <c r="BM84" s="1">
        <f t="shared" si="44"/>
        <v>6.5044850967823082</v>
      </c>
    </row>
    <row r="85" spans="2:65" x14ac:dyDescent="0.45">
      <c r="B85">
        <v>840</v>
      </c>
      <c r="C85" s="2">
        <f t="shared" si="25"/>
        <v>7.2176400821042836</v>
      </c>
      <c r="D85" s="3">
        <f t="shared" si="26"/>
        <v>1.1904761904761906E-3</v>
      </c>
      <c r="E85" s="3">
        <f t="shared" si="27"/>
        <v>0.13854944117807166</v>
      </c>
      <c r="G85">
        <v>840</v>
      </c>
      <c r="H85" s="1">
        <f t="shared" si="28"/>
        <v>6.8488845784847712</v>
      </c>
      <c r="I85" s="1"/>
      <c r="J85">
        <v>840</v>
      </c>
      <c r="K85" s="1">
        <f t="shared" si="29"/>
        <v>6.4270507503920422</v>
      </c>
      <c r="M85">
        <v>840</v>
      </c>
      <c r="N85" s="1">
        <f t="shared" si="30"/>
        <v>6.2466310232373328</v>
      </c>
      <c r="P85">
        <v>840</v>
      </c>
      <c r="Q85" s="1">
        <f t="shared" si="31"/>
        <v>6.0032249587445223</v>
      </c>
      <c r="S85">
        <v>840</v>
      </c>
      <c r="T85" s="1">
        <f t="shared" si="32"/>
        <v>5.8246648319697325</v>
      </c>
      <c r="V85">
        <v>840</v>
      </c>
      <c r="W85" s="1">
        <f t="shared" si="33"/>
        <v>5.6516297083743385</v>
      </c>
      <c r="Y85">
        <v>840</v>
      </c>
      <c r="Z85" s="1">
        <f t="shared" si="34"/>
        <v>5.6188429372483828</v>
      </c>
      <c r="AB85">
        <v>840</v>
      </c>
      <c r="AC85" s="1">
        <f t="shared" si="35"/>
        <v>5.4253366159693703</v>
      </c>
      <c r="AD85" s="1"/>
      <c r="AE85">
        <v>840</v>
      </c>
      <c r="AF85" s="1">
        <f t="shared" si="36"/>
        <v>5.2468960029609004</v>
      </c>
      <c r="AH85">
        <v>840</v>
      </c>
      <c r="AI85" s="1">
        <f t="shared" si="37"/>
        <v>5.0993422074437076</v>
      </c>
      <c r="AK85">
        <v>840</v>
      </c>
      <c r="AL85" s="1">
        <f t="shared" si="38"/>
        <v>5.055455331727269</v>
      </c>
      <c r="AN85">
        <v>840</v>
      </c>
      <c r="AO85" s="1">
        <f t="shared" si="39"/>
        <v>5.0034556406088342</v>
      </c>
      <c r="AQ85">
        <v>840</v>
      </c>
      <c r="AR85" s="1">
        <f t="shared" si="40"/>
        <v>4.8330901098820052</v>
      </c>
      <c r="AT85">
        <v>840</v>
      </c>
      <c r="AU85" s="1">
        <f t="shared" si="41"/>
        <v>4.4579533172071297</v>
      </c>
      <c r="AW85">
        <v>830</v>
      </c>
      <c r="AX85" s="1">
        <f t="shared" si="45"/>
        <v>0.27445388484461952</v>
      </c>
      <c r="AZ85">
        <v>830</v>
      </c>
      <c r="BA85" s="1">
        <f t="shared" si="46"/>
        <v>0.25842120333841906</v>
      </c>
      <c r="BC85">
        <v>840</v>
      </c>
      <c r="BD85" s="1">
        <f t="shared" si="24"/>
        <v>1.5978986423413508</v>
      </c>
      <c r="BF85">
        <v>840</v>
      </c>
      <c r="BG85" s="1">
        <f t="shared" si="42"/>
        <v>3.706488095238095</v>
      </c>
      <c r="BI85">
        <v>840</v>
      </c>
      <c r="BJ85" s="1">
        <f t="shared" si="43"/>
        <v>5.6188429372483828</v>
      </c>
      <c r="BL85">
        <v>840</v>
      </c>
      <c r="BM85" s="1">
        <f t="shared" si="44"/>
        <v>6.4270507503920422</v>
      </c>
    </row>
    <row r="86" spans="2:65" x14ac:dyDescent="0.45">
      <c r="B86">
        <v>850</v>
      </c>
      <c r="C86" s="2">
        <f t="shared" si="25"/>
        <v>7.1327266693736453</v>
      </c>
      <c r="D86" s="3">
        <f t="shared" si="26"/>
        <v>1.176470588235294E-3</v>
      </c>
      <c r="E86" s="3">
        <f t="shared" si="27"/>
        <v>0.14019883928733445</v>
      </c>
      <c r="G86">
        <v>850</v>
      </c>
      <c r="H86" s="1">
        <f t="shared" si="28"/>
        <v>6.7683094657967153</v>
      </c>
      <c r="I86" s="1"/>
      <c r="J86">
        <v>850</v>
      </c>
      <c r="K86" s="1">
        <f t="shared" si="29"/>
        <v>6.3514383886227241</v>
      </c>
      <c r="M86">
        <v>850</v>
      </c>
      <c r="N86" s="1">
        <f t="shared" si="30"/>
        <v>6.1731412464933646</v>
      </c>
      <c r="P86">
        <v>850</v>
      </c>
      <c r="Q86" s="1">
        <f t="shared" si="31"/>
        <v>5.9325987827592925</v>
      </c>
      <c r="S86">
        <v>850</v>
      </c>
      <c r="T86" s="1">
        <f t="shared" si="32"/>
        <v>5.756139363358324</v>
      </c>
      <c r="V86">
        <v>850</v>
      </c>
      <c r="W86" s="1">
        <f t="shared" si="33"/>
        <v>5.5851399470993464</v>
      </c>
      <c r="Y86">
        <v>850</v>
      </c>
      <c r="Z86" s="1">
        <f t="shared" si="34"/>
        <v>5.5527389026925187</v>
      </c>
      <c r="AB86">
        <v>850</v>
      </c>
      <c r="AC86" s="1">
        <f t="shared" si="35"/>
        <v>5.3615091263697305</v>
      </c>
      <c r="AD86" s="1"/>
      <c r="AE86">
        <v>850</v>
      </c>
      <c r="AF86" s="1">
        <f t="shared" si="36"/>
        <v>5.1851678146907716</v>
      </c>
      <c r="AH86">
        <v>850</v>
      </c>
      <c r="AI86" s="1">
        <f t="shared" si="37"/>
        <v>5.039349946179664</v>
      </c>
      <c r="AK86">
        <v>850</v>
      </c>
      <c r="AL86" s="1">
        <f t="shared" si="38"/>
        <v>4.9959793866481244</v>
      </c>
      <c r="AN86">
        <v>850</v>
      </c>
      <c r="AO86" s="1">
        <f t="shared" si="39"/>
        <v>4.944591456601672</v>
      </c>
      <c r="AQ86">
        <v>850</v>
      </c>
      <c r="AR86" s="1">
        <f t="shared" si="40"/>
        <v>4.7762302262363345</v>
      </c>
      <c r="AT86">
        <v>850</v>
      </c>
      <c r="AU86" s="1">
        <f t="shared" si="41"/>
        <v>4.4055068075929285</v>
      </c>
      <c r="AW86">
        <v>840</v>
      </c>
      <c r="AX86" s="1">
        <f t="shared" si="45"/>
        <v>0.27118657669170737</v>
      </c>
      <c r="AZ86">
        <v>840</v>
      </c>
      <c r="BA86" s="1">
        <f t="shared" si="46"/>
        <v>0.25534476044153315</v>
      </c>
      <c r="BC86">
        <v>850</v>
      </c>
      <c r="BD86" s="1">
        <f t="shared" si="24"/>
        <v>1.5790998347843939</v>
      </c>
      <c r="BF86">
        <v>850</v>
      </c>
      <c r="BG86" s="1">
        <f t="shared" si="42"/>
        <v>3.6628823529411765</v>
      </c>
      <c r="BI86">
        <v>850</v>
      </c>
      <c r="BJ86" s="1">
        <f t="shared" si="43"/>
        <v>5.5527389026925187</v>
      </c>
      <c r="BL86">
        <v>850</v>
      </c>
      <c r="BM86" s="1">
        <f t="shared" si="44"/>
        <v>6.3514383886227241</v>
      </c>
    </row>
    <row r="87" spans="2:65" x14ac:dyDescent="0.45">
      <c r="B87">
        <v>860</v>
      </c>
      <c r="C87" s="2">
        <f t="shared" si="25"/>
        <v>7.0497879871716256</v>
      </c>
      <c r="D87" s="3">
        <f t="shared" si="26"/>
        <v>1.1627906976744186E-3</v>
      </c>
      <c r="E87" s="3">
        <f t="shared" si="27"/>
        <v>0.14184823739659722</v>
      </c>
      <c r="G87">
        <v>860</v>
      </c>
      <c r="H87" s="1">
        <f t="shared" si="28"/>
        <v>6.6896081929386142</v>
      </c>
      <c r="I87" s="1"/>
      <c r="J87">
        <v>860</v>
      </c>
      <c r="K87" s="1">
        <f t="shared" si="29"/>
        <v>6.277584453871297</v>
      </c>
      <c r="M87">
        <v>860</v>
      </c>
      <c r="N87" s="1">
        <f t="shared" si="30"/>
        <v>6.1013605343248365</v>
      </c>
      <c r="P87">
        <v>860</v>
      </c>
      <c r="Q87" s="1">
        <f t="shared" si="31"/>
        <v>5.8636150759830219</v>
      </c>
      <c r="S87">
        <v>860</v>
      </c>
      <c r="T87" s="1">
        <f t="shared" si="32"/>
        <v>5.6892075102960176</v>
      </c>
      <c r="V87">
        <v>860</v>
      </c>
      <c r="W87" s="1">
        <f t="shared" si="33"/>
        <v>5.5201964593423769</v>
      </c>
      <c r="Y87">
        <v>860</v>
      </c>
      <c r="Z87" s="1">
        <f t="shared" si="34"/>
        <v>5.4881721712658615</v>
      </c>
      <c r="AB87">
        <v>860</v>
      </c>
      <c r="AC87" s="1">
        <f t="shared" si="35"/>
        <v>5.2991659969933389</v>
      </c>
      <c r="AD87" s="1"/>
      <c r="AE87">
        <v>860</v>
      </c>
      <c r="AF87" s="1">
        <f t="shared" si="36"/>
        <v>5.1248751656827398</v>
      </c>
      <c r="AH87">
        <v>860</v>
      </c>
      <c r="AI87" s="1">
        <f t="shared" si="37"/>
        <v>4.9807528537822261</v>
      </c>
      <c r="AK87">
        <v>860</v>
      </c>
      <c r="AL87" s="1">
        <f t="shared" si="38"/>
        <v>4.9378866030824486</v>
      </c>
      <c r="AN87">
        <v>860</v>
      </c>
      <c r="AO87" s="1">
        <f t="shared" si="39"/>
        <v>4.8870962071063033</v>
      </c>
      <c r="AQ87">
        <v>860</v>
      </c>
      <c r="AR87" s="1">
        <f t="shared" si="40"/>
        <v>4.720692665466145</v>
      </c>
      <c r="AT87">
        <v>860</v>
      </c>
      <c r="AU87" s="1">
        <f t="shared" si="41"/>
        <v>4.3542799842488247</v>
      </c>
      <c r="AW87">
        <v>850</v>
      </c>
      <c r="AX87" s="1">
        <f t="shared" si="45"/>
        <v>0.26799614637768726</v>
      </c>
      <c r="AZ87">
        <v>850</v>
      </c>
      <c r="BA87" s="1">
        <f t="shared" si="46"/>
        <v>0.2523407044363386</v>
      </c>
      <c r="BC87">
        <v>860</v>
      </c>
      <c r="BD87" s="1">
        <f t="shared" si="24"/>
        <v>1.5607382087985286</v>
      </c>
      <c r="BF87">
        <v>860</v>
      </c>
      <c r="BG87" s="1">
        <f t="shared" si="42"/>
        <v>3.6202906976744185</v>
      </c>
      <c r="BI87">
        <v>860</v>
      </c>
      <c r="BJ87" s="1">
        <f t="shared" si="43"/>
        <v>5.4881721712658615</v>
      </c>
      <c r="BL87">
        <v>860</v>
      </c>
      <c r="BM87" s="1">
        <f t="shared" si="44"/>
        <v>6.277584453871297</v>
      </c>
    </row>
    <row r="88" spans="2:65" x14ac:dyDescent="0.45">
      <c r="B88">
        <v>870</v>
      </c>
      <c r="C88" s="2">
        <f t="shared" si="25"/>
        <v>6.9687559413420672</v>
      </c>
      <c r="D88" s="3">
        <f t="shared" si="26"/>
        <v>1.1494252873563218E-3</v>
      </c>
      <c r="E88" s="3">
        <f t="shared" si="27"/>
        <v>0.14349763550585998</v>
      </c>
      <c r="G88">
        <v>870</v>
      </c>
      <c r="H88" s="1">
        <f t="shared" si="28"/>
        <v>6.6127161447439171</v>
      </c>
      <c r="I88" s="1"/>
      <c r="J88">
        <v>870</v>
      </c>
      <c r="K88" s="1">
        <f t="shared" si="29"/>
        <v>6.2054283107233514</v>
      </c>
      <c r="M88">
        <v>870</v>
      </c>
      <c r="N88" s="1">
        <f t="shared" si="30"/>
        <v>6.031229953470528</v>
      </c>
      <c r="P88">
        <v>870</v>
      </c>
      <c r="Q88" s="1">
        <f t="shared" si="31"/>
        <v>5.796217201546435</v>
      </c>
      <c r="S88">
        <v>870</v>
      </c>
      <c r="T88" s="1">
        <f t="shared" si="32"/>
        <v>5.6238143205225004</v>
      </c>
      <c r="V88">
        <v>870</v>
      </c>
      <c r="W88" s="1">
        <f t="shared" si="33"/>
        <v>5.4567459253269472</v>
      </c>
      <c r="Y88">
        <v>870</v>
      </c>
      <c r="Z88" s="1">
        <f t="shared" si="34"/>
        <v>5.4250897325156799</v>
      </c>
      <c r="AB88">
        <v>870</v>
      </c>
      <c r="AC88" s="1">
        <f t="shared" si="35"/>
        <v>5.2382560430049097</v>
      </c>
      <c r="AD88" s="1"/>
      <c r="AE88">
        <v>870</v>
      </c>
      <c r="AF88" s="1">
        <f t="shared" si="36"/>
        <v>5.0659685545829376</v>
      </c>
      <c r="AH88">
        <v>870</v>
      </c>
      <c r="AI88" s="1">
        <f t="shared" si="37"/>
        <v>4.923502820980131</v>
      </c>
      <c r="AK88">
        <v>870</v>
      </c>
      <c r="AL88" s="1">
        <f t="shared" si="38"/>
        <v>4.8811292858056383</v>
      </c>
      <c r="AN88">
        <v>870</v>
      </c>
      <c r="AO88" s="1">
        <f t="shared" si="39"/>
        <v>4.8309226874843922</v>
      </c>
      <c r="AQ88">
        <v>870</v>
      </c>
      <c r="AR88" s="1">
        <f t="shared" si="40"/>
        <v>4.666431830230902</v>
      </c>
      <c r="AT88">
        <v>870</v>
      </c>
      <c r="AU88" s="1">
        <f t="shared" si="41"/>
        <v>4.3042307890275735</v>
      </c>
      <c r="AW88">
        <v>860</v>
      </c>
      <c r="AX88" s="1">
        <f t="shared" si="45"/>
        <v>0.26487991211748163</v>
      </c>
      <c r="AZ88">
        <v>860</v>
      </c>
      <c r="BA88" s="1">
        <f t="shared" si="46"/>
        <v>0.24940651019870677</v>
      </c>
      <c r="BC88">
        <v>870</v>
      </c>
      <c r="BD88" s="1">
        <f t="shared" si="24"/>
        <v>1.5427986891571663</v>
      </c>
      <c r="BF88">
        <v>870</v>
      </c>
      <c r="BG88" s="1">
        <f t="shared" si="42"/>
        <v>3.5786781609195399</v>
      </c>
      <c r="BI88">
        <v>870</v>
      </c>
      <c r="BJ88" s="1">
        <f t="shared" si="43"/>
        <v>5.4250897325156799</v>
      </c>
      <c r="BL88">
        <v>870</v>
      </c>
      <c r="BM88" s="1">
        <f t="shared" si="44"/>
        <v>6.2054283107233514</v>
      </c>
    </row>
    <row r="89" spans="2:65" x14ac:dyDescent="0.45">
      <c r="B89">
        <v>880</v>
      </c>
      <c r="C89" s="2">
        <f t="shared" si="25"/>
        <v>6.8895655329177252</v>
      </c>
      <c r="D89" s="3">
        <f t="shared" si="26"/>
        <v>1.1363636363636363E-3</v>
      </c>
      <c r="E89" s="3">
        <f t="shared" si="27"/>
        <v>0.14514703361512274</v>
      </c>
      <c r="G89">
        <v>880</v>
      </c>
      <c r="H89" s="1">
        <f t="shared" si="28"/>
        <v>6.5375716430991</v>
      </c>
      <c r="I89" s="1"/>
      <c r="J89">
        <v>880</v>
      </c>
      <c r="K89" s="1">
        <f t="shared" si="29"/>
        <v>6.134912079919677</v>
      </c>
      <c r="M89">
        <v>880</v>
      </c>
      <c r="N89" s="1">
        <f t="shared" si="30"/>
        <v>5.9626932494538183</v>
      </c>
      <c r="P89">
        <v>880</v>
      </c>
      <c r="Q89" s="1">
        <f t="shared" si="31"/>
        <v>5.7303510969834077</v>
      </c>
      <c r="S89">
        <v>880</v>
      </c>
      <c r="T89" s="1">
        <f t="shared" si="32"/>
        <v>5.5599073396074719</v>
      </c>
      <c r="V89">
        <v>880</v>
      </c>
      <c r="W89" s="1">
        <f t="shared" si="33"/>
        <v>5.3947374489027773</v>
      </c>
      <c r="Y89">
        <v>880</v>
      </c>
      <c r="Z89" s="1">
        <f t="shared" si="34"/>
        <v>5.3634409855552745</v>
      </c>
      <c r="AB89">
        <v>880</v>
      </c>
      <c r="AC89" s="1">
        <f t="shared" si="35"/>
        <v>5.1787304061525807</v>
      </c>
      <c r="AD89" s="1"/>
      <c r="AE89">
        <v>880</v>
      </c>
      <c r="AF89" s="1">
        <f t="shared" si="36"/>
        <v>5.0084007300990407</v>
      </c>
      <c r="AH89">
        <v>880</v>
      </c>
      <c r="AI89" s="1">
        <f t="shared" si="37"/>
        <v>4.8675539252871749</v>
      </c>
      <c r="AK89">
        <v>880</v>
      </c>
      <c r="AL89" s="1">
        <f t="shared" si="38"/>
        <v>4.8256619075578469</v>
      </c>
      <c r="AN89">
        <v>880</v>
      </c>
      <c r="AO89" s="1">
        <f t="shared" si="39"/>
        <v>4.7760258387629788</v>
      </c>
      <c r="AQ89">
        <v>880</v>
      </c>
      <c r="AR89" s="1">
        <f t="shared" si="40"/>
        <v>4.61340419579646</v>
      </c>
      <c r="AT89">
        <v>880</v>
      </c>
      <c r="AU89" s="1">
        <f t="shared" si="41"/>
        <v>4.2553190755158967</v>
      </c>
      <c r="AW89">
        <v>870</v>
      </c>
      <c r="AX89" s="1">
        <f t="shared" si="45"/>
        <v>0.26183531542647609</v>
      </c>
      <c r="AZ89">
        <v>870</v>
      </c>
      <c r="BA89" s="1">
        <f t="shared" si="46"/>
        <v>0.24653976870216993</v>
      </c>
      <c r="BC89">
        <v>880</v>
      </c>
      <c r="BD89" s="1">
        <f t="shared" si="24"/>
        <v>1.5252668858712894</v>
      </c>
      <c r="BF89">
        <v>880</v>
      </c>
      <c r="BG89" s="1">
        <f t="shared" si="42"/>
        <v>3.5380113636363633</v>
      </c>
      <c r="BI89">
        <v>880</v>
      </c>
      <c r="BJ89" s="1">
        <f t="shared" si="43"/>
        <v>5.3634409855552745</v>
      </c>
      <c r="BL89">
        <v>880</v>
      </c>
      <c r="BM89" s="1">
        <f t="shared" si="44"/>
        <v>6.134912079919677</v>
      </c>
    </row>
    <row r="90" spans="2:65" x14ac:dyDescent="0.45">
      <c r="B90">
        <v>890</v>
      </c>
      <c r="C90" s="2">
        <f t="shared" si="25"/>
        <v>6.8121546842332563</v>
      </c>
      <c r="D90" s="3">
        <f t="shared" si="26"/>
        <v>1.1235955056179776E-3</v>
      </c>
      <c r="E90" s="3">
        <f t="shared" si="27"/>
        <v>0.14679643172438547</v>
      </c>
      <c r="G90">
        <v>890</v>
      </c>
      <c r="H90" s="1">
        <f t="shared" si="28"/>
        <v>6.4641157819406834</v>
      </c>
      <c r="I90" s="1"/>
      <c r="J90">
        <v>890</v>
      </c>
      <c r="K90" s="1">
        <f t="shared" si="29"/>
        <v>6.0659804835160847</v>
      </c>
      <c r="M90">
        <v>890</v>
      </c>
      <c r="N90" s="1">
        <f t="shared" si="30"/>
        <v>5.8956966960891686</v>
      </c>
      <c r="P90">
        <v>890</v>
      </c>
      <c r="Q90" s="1">
        <f t="shared" si="31"/>
        <v>5.6659651296015712</v>
      </c>
      <c r="S90">
        <v>890</v>
      </c>
      <c r="T90" s="1">
        <f t="shared" si="32"/>
        <v>5.4974364706231178</v>
      </c>
      <c r="V90">
        <v>890</v>
      </c>
      <c r="W90" s="1">
        <f t="shared" si="33"/>
        <v>5.3341224213870158</v>
      </c>
      <c r="Y90">
        <v>890</v>
      </c>
      <c r="Z90" s="1">
        <f t="shared" si="34"/>
        <v>5.3031776036951026</v>
      </c>
      <c r="AB90">
        <v>890</v>
      </c>
      <c r="AC90" s="1">
        <f t="shared" si="35"/>
        <v>5.1205424240609787</v>
      </c>
      <c r="AD90" s="1"/>
      <c r="AE90">
        <v>890</v>
      </c>
      <c r="AF90" s="1">
        <f t="shared" si="36"/>
        <v>4.9521265645923105</v>
      </c>
      <c r="AH90">
        <v>890</v>
      </c>
      <c r="AI90" s="1">
        <f t="shared" si="37"/>
        <v>4.8128623081491169</v>
      </c>
      <c r="AK90">
        <v>890</v>
      </c>
      <c r="AL90" s="1">
        <f t="shared" si="38"/>
        <v>4.7714409872482086</v>
      </c>
      <c r="AN90">
        <v>890</v>
      </c>
      <c r="AO90" s="1">
        <f t="shared" si="39"/>
        <v>4.722362627091484</v>
      </c>
      <c r="AQ90">
        <v>890</v>
      </c>
      <c r="AR90" s="1">
        <f t="shared" si="40"/>
        <v>4.5615681935965</v>
      </c>
      <c r="AT90">
        <v>890</v>
      </c>
      <c r="AU90" s="1">
        <f t="shared" si="41"/>
        <v>4.2075065016336959</v>
      </c>
      <c r="AW90">
        <v>880</v>
      </c>
      <c r="AX90" s="1">
        <f t="shared" si="45"/>
        <v>0.25885991411481157</v>
      </c>
      <c r="AZ90">
        <v>880</v>
      </c>
      <c r="BA90" s="1">
        <f t="shared" si="46"/>
        <v>0.24373818042146345</v>
      </c>
      <c r="BC90">
        <v>890</v>
      </c>
      <c r="BD90" s="1">
        <f t="shared" si="24"/>
        <v>1.5081290556929603</v>
      </c>
      <c r="BF90">
        <v>890</v>
      </c>
      <c r="BG90" s="1">
        <f t="shared" si="42"/>
        <v>3.498258426966292</v>
      </c>
      <c r="BI90">
        <v>890</v>
      </c>
      <c r="BJ90" s="1">
        <f t="shared" si="43"/>
        <v>5.3031776036951026</v>
      </c>
      <c r="BL90">
        <v>890</v>
      </c>
      <c r="BM90" s="1">
        <f t="shared" si="44"/>
        <v>6.0659804835160847</v>
      </c>
    </row>
    <row r="91" spans="2:65" x14ac:dyDescent="0.45">
      <c r="B91">
        <v>900</v>
      </c>
      <c r="C91" s="2">
        <f t="shared" si="25"/>
        <v>6.7364640766306652</v>
      </c>
      <c r="D91" s="3">
        <f t="shared" si="26"/>
        <v>1.1111111111111111E-3</v>
      </c>
      <c r="E91" s="3">
        <f t="shared" si="27"/>
        <v>0.14844582983364824</v>
      </c>
      <c r="G91">
        <v>900</v>
      </c>
      <c r="H91" s="1">
        <f t="shared" si="28"/>
        <v>6.392292273252453</v>
      </c>
      <c r="I91" s="1"/>
      <c r="J91">
        <v>900</v>
      </c>
      <c r="K91" s="1">
        <f t="shared" si="29"/>
        <v>5.9985807003659062</v>
      </c>
      <c r="M91">
        <v>900</v>
      </c>
      <c r="N91" s="1">
        <f t="shared" si="30"/>
        <v>5.8301889550215105</v>
      </c>
      <c r="P91">
        <v>900</v>
      </c>
      <c r="Q91" s="1">
        <f t="shared" si="31"/>
        <v>5.6030099614948874</v>
      </c>
      <c r="S91">
        <v>900</v>
      </c>
      <c r="T91" s="1">
        <f t="shared" si="32"/>
        <v>5.4363538431717497</v>
      </c>
      <c r="V91">
        <v>900</v>
      </c>
      <c r="W91" s="1">
        <f t="shared" si="33"/>
        <v>5.2748543944827162</v>
      </c>
      <c r="Y91">
        <v>900</v>
      </c>
      <c r="Z91" s="1">
        <f t="shared" si="34"/>
        <v>5.2442534080984906</v>
      </c>
      <c r="AB91">
        <v>900</v>
      </c>
      <c r="AC91" s="1">
        <f t="shared" si="35"/>
        <v>5.0636475082380787</v>
      </c>
      <c r="AD91" s="1"/>
      <c r="AE91">
        <v>900</v>
      </c>
      <c r="AF91" s="1">
        <f t="shared" si="36"/>
        <v>4.8971029360968403</v>
      </c>
      <c r="AH91">
        <v>900</v>
      </c>
      <c r="AI91" s="1">
        <f t="shared" si="37"/>
        <v>4.7593860602807938</v>
      </c>
      <c r="AK91">
        <v>900</v>
      </c>
      <c r="AL91" s="1">
        <f t="shared" si="38"/>
        <v>4.7184249762787838</v>
      </c>
      <c r="AN91">
        <v>900</v>
      </c>
      <c r="AO91" s="1">
        <f t="shared" si="39"/>
        <v>4.6698919312349121</v>
      </c>
      <c r="AQ91">
        <v>900</v>
      </c>
      <c r="AR91" s="1">
        <f t="shared" si="40"/>
        <v>4.5108841025565383</v>
      </c>
      <c r="AT91">
        <v>900</v>
      </c>
      <c r="AU91" s="1">
        <f t="shared" si="41"/>
        <v>4.160756429393321</v>
      </c>
      <c r="AW91">
        <v>890</v>
      </c>
      <c r="AX91" s="1">
        <f t="shared" si="45"/>
        <v>0.25595137575397098</v>
      </c>
      <c r="AZ91">
        <v>890</v>
      </c>
      <c r="BA91" s="1">
        <f t="shared" si="46"/>
        <v>0.24099954918077285</v>
      </c>
      <c r="BC91">
        <v>900</v>
      </c>
      <c r="BD91" s="1">
        <f t="shared" si="24"/>
        <v>1.4913720661852607</v>
      </c>
      <c r="BF91">
        <v>900</v>
      </c>
      <c r="BG91" s="1">
        <f t="shared" si="42"/>
        <v>3.4593888888888888</v>
      </c>
      <c r="BI91">
        <v>900</v>
      </c>
      <c r="BJ91" s="1">
        <f t="shared" si="43"/>
        <v>5.2442534080984906</v>
      </c>
      <c r="BL91">
        <v>900</v>
      </c>
      <c r="BM91" s="1">
        <f t="shared" si="44"/>
        <v>5.9985807003659062</v>
      </c>
    </row>
    <row r="92" spans="2:65" x14ac:dyDescent="0.45">
      <c r="B92">
        <v>910</v>
      </c>
      <c r="C92" s="2">
        <f t="shared" si="25"/>
        <v>6.662436998865493</v>
      </c>
      <c r="D92" s="3">
        <f t="shared" si="26"/>
        <v>1.0989010989010989E-3</v>
      </c>
      <c r="E92" s="3">
        <f t="shared" si="27"/>
        <v>0.150095227942911</v>
      </c>
      <c r="G92">
        <v>910</v>
      </c>
      <c r="H92" s="1">
        <f t="shared" si="28"/>
        <v>6.3220473032167117</v>
      </c>
      <c r="I92" s="1"/>
      <c r="J92">
        <v>910</v>
      </c>
      <c r="K92" s="1">
        <f t="shared" si="29"/>
        <v>5.9326622311311157</v>
      </c>
      <c r="M92">
        <v>910</v>
      </c>
      <c r="N92" s="1">
        <f t="shared" si="30"/>
        <v>5.7661209445267687</v>
      </c>
      <c r="P92">
        <v>910</v>
      </c>
      <c r="Q92" s="1">
        <f t="shared" si="31"/>
        <v>5.5414384234564817</v>
      </c>
      <c r="S92">
        <v>910</v>
      </c>
      <c r="T92" s="1">
        <f t="shared" si="32"/>
        <v>5.3766136910489832</v>
      </c>
      <c r="V92">
        <v>910</v>
      </c>
      <c r="W92" s="1">
        <f t="shared" si="33"/>
        <v>5.2168889615763128</v>
      </c>
      <c r="Y92">
        <v>910</v>
      </c>
      <c r="Z92" s="1">
        <f t="shared" si="34"/>
        <v>5.1866242497677373</v>
      </c>
      <c r="AB92">
        <v>910</v>
      </c>
      <c r="AC92" s="1">
        <f t="shared" si="35"/>
        <v>5.0080030301255727</v>
      </c>
      <c r="AD92" s="1"/>
      <c r="AE92">
        <v>910</v>
      </c>
      <c r="AF92" s="1">
        <f t="shared" si="36"/>
        <v>4.8432886181177537</v>
      </c>
      <c r="AH92">
        <v>910</v>
      </c>
      <c r="AI92" s="1">
        <f t="shared" si="37"/>
        <v>4.707085114563422</v>
      </c>
      <c r="AK92">
        <v>910</v>
      </c>
      <c r="AL92" s="1">
        <f t="shared" si="38"/>
        <v>4.6665741523636326</v>
      </c>
      <c r="AN92">
        <v>910</v>
      </c>
      <c r="AO92" s="1">
        <f t="shared" si="39"/>
        <v>4.6185744374850781</v>
      </c>
      <c r="AQ92">
        <v>910</v>
      </c>
      <c r="AR92" s="1">
        <f t="shared" si="40"/>
        <v>4.4613139475833901</v>
      </c>
      <c r="AT92">
        <v>910</v>
      </c>
      <c r="AU92" s="1">
        <f t="shared" si="41"/>
        <v>4.1150338312681196</v>
      </c>
      <c r="AW92">
        <v>900</v>
      </c>
      <c r="AX92" s="1">
        <f t="shared" si="45"/>
        <v>0.25310747157892688</v>
      </c>
      <c r="AZ92">
        <v>900</v>
      </c>
      <c r="BA92" s="1">
        <f t="shared" si="46"/>
        <v>0.23832177641209759</v>
      </c>
      <c r="BC92">
        <v>910</v>
      </c>
      <c r="BD92" s="1">
        <f t="shared" si="24"/>
        <v>1.4749833621612469</v>
      </c>
      <c r="BF92">
        <v>910</v>
      </c>
      <c r="BG92" s="1">
        <f t="shared" si="42"/>
        <v>3.4213736263736263</v>
      </c>
      <c r="BI92">
        <v>910</v>
      </c>
      <c r="BJ92" s="1">
        <f t="shared" si="43"/>
        <v>5.1866242497677373</v>
      </c>
      <c r="BL92">
        <v>910</v>
      </c>
      <c r="BM92" s="1">
        <f t="shared" si="44"/>
        <v>5.9326622311311157</v>
      </c>
    </row>
    <row r="93" spans="2:65" x14ac:dyDescent="0.45">
      <c r="B93">
        <v>920</v>
      </c>
      <c r="C93" s="2">
        <f t="shared" si="25"/>
        <v>6.5900192053995639</v>
      </c>
      <c r="D93" s="3">
        <f t="shared" si="26"/>
        <v>1.0869565217391304E-3</v>
      </c>
      <c r="E93" s="3">
        <f t="shared" si="27"/>
        <v>0.15174462605217376</v>
      </c>
      <c r="G93">
        <v>920</v>
      </c>
      <c r="H93" s="1">
        <f t="shared" si="28"/>
        <v>6.2533293977469651</v>
      </c>
      <c r="I93" s="1"/>
      <c r="J93">
        <v>920</v>
      </c>
      <c r="K93" s="1">
        <f t="shared" si="29"/>
        <v>5.8681767720970823</v>
      </c>
      <c r="M93">
        <v>920</v>
      </c>
      <c r="N93" s="1">
        <f t="shared" si="30"/>
        <v>5.7034457168688695</v>
      </c>
      <c r="P93">
        <v>920</v>
      </c>
      <c r="Q93" s="1">
        <f t="shared" si="31"/>
        <v>5.4812053971145636</v>
      </c>
      <c r="S93">
        <v>920</v>
      </c>
      <c r="T93" s="1">
        <f t="shared" si="32"/>
        <v>5.3181722378854079</v>
      </c>
      <c r="V93">
        <v>920</v>
      </c>
      <c r="W93" s="1">
        <f t="shared" si="33"/>
        <v>5.16018364677657</v>
      </c>
      <c r="Y93">
        <v>920</v>
      </c>
      <c r="Z93" s="1">
        <f t="shared" si="34"/>
        <v>5.1302478992267844</v>
      </c>
      <c r="AB93">
        <v>920</v>
      </c>
      <c r="AC93" s="1">
        <f t="shared" si="35"/>
        <v>4.9535682145807298</v>
      </c>
      <c r="AD93" s="1"/>
      <c r="AE93">
        <v>920</v>
      </c>
      <c r="AF93" s="1">
        <f t="shared" si="36"/>
        <v>4.7906441766164738</v>
      </c>
      <c r="AH93">
        <v>920</v>
      </c>
      <c r="AI93" s="1">
        <f t="shared" si="37"/>
        <v>4.6559211459268628</v>
      </c>
      <c r="AK93">
        <v>920</v>
      </c>
      <c r="AL93" s="1">
        <f t="shared" si="38"/>
        <v>4.6158505202727236</v>
      </c>
      <c r="AN93">
        <v>920</v>
      </c>
      <c r="AO93" s="1">
        <f t="shared" si="39"/>
        <v>4.5683725414254575</v>
      </c>
      <c r="AQ93">
        <v>920</v>
      </c>
      <c r="AR93" s="1">
        <f t="shared" si="40"/>
        <v>4.412821404674875</v>
      </c>
      <c r="AT93">
        <v>920</v>
      </c>
      <c r="AU93" s="1">
        <f t="shared" si="41"/>
        <v>4.0703052026673792</v>
      </c>
      <c r="AW93">
        <v>910</v>
      </c>
      <c r="AX93" s="1">
        <f t="shared" si="45"/>
        <v>0.25032607079234526</v>
      </c>
      <c r="AZ93">
        <v>910</v>
      </c>
      <c r="BA93" s="1">
        <f t="shared" si="46"/>
        <v>0.23570285579218442</v>
      </c>
      <c r="BC93">
        <v>920</v>
      </c>
      <c r="BD93" s="1">
        <f t="shared" si="24"/>
        <v>1.4589509343116682</v>
      </c>
      <c r="BF93">
        <v>920</v>
      </c>
      <c r="BG93" s="1">
        <f t="shared" si="42"/>
        <v>3.3841847826086955</v>
      </c>
      <c r="BI93">
        <v>920</v>
      </c>
      <c r="BJ93" s="1">
        <f t="shared" si="43"/>
        <v>5.1302478992267844</v>
      </c>
      <c r="BL93">
        <v>920</v>
      </c>
      <c r="BM93" s="1">
        <f t="shared" si="44"/>
        <v>5.8681767720970823</v>
      </c>
    </row>
    <row r="94" spans="2:65" x14ac:dyDescent="0.45">
      <c r="B94">
        <v>930</v>
      </c>
      <c r="C94" s="2">
        <f t="shared" si="25"/>
        <v>6.5191587838361276</v>
      </c>
      <c r="D94" s="3">
        <f t="shared" si="26"/>
        <v>1.0752688172043011E-3</v>
      </c>
      <c r="E94" s="3">
        <f t="shared" si="27"/>
        <v>0.15339402416143652</v>
      </c>
      <c r="G94">
        <v>930</v>
      </c>
      <c r="H94" s="1">
        <f t="shared" si="28"/>
        <v>6.1860892966959229</v>
      </c>
      <c r="I94" s="1"/>
      <c r="J94">
        <v>930</v>
      </c>
      <c r="K94" s="1">
        <f t="shared" si="29"/>
        <v>5.8050780971282965</v>
      </c>
      <c r="M94">
        <v>930</v>
      </c>
      <c r="N94" s="1">
        <f t="shared" si="30"/>
        <v>5.6421183435692042</v>
      </c>
      <c r="P94">
        <v>930</v>
      </c>
      <c r="Q94" s="1">
        <f t="shared" si="31"/>
        <v>5.4222677046724712</v>
      </c>
      <c r="S94">
        <v>930</v>
      </c>
      <c r="T94" s="1">
        <f t="shared" si="32"/>
        <v>5.2609875901662102</v>
      </c>
      <c r="V94">
        <v>930</v>
      </c>
      <c r="W94" s="1">
        <f t="shared" si="33"/>
        <v>5.1046978011123061</v>
      </c>
      <c r="Y94">
        <v>930</v>
      </c>
      <c r="Z94" s="1">
        <f t="shared" si="34"/>
        <v>5.0750839433211192</v>
      </c>
      <c r="AB94">
        <v>930</v>
      </c>
      <c r="AC94" s="1">
        <f t="shared" si="35"/>
        <v>4.9003040402303988</v>
      </c>
      <c r="AD94" s="1"/>
      <c r="AE94">
        <v>930</v>
      </c>
      <c r="AF94" s="1">
        <f t="shared" si="36"/>
        <v>4.7391318736421031</v>
      </c>
      <c r="AH94">
        <v>930</v>
      </c>
      <c r="AI94" s="1">
        <f t="shared" si="37"/>
        <v>4.6058574776910906</v>
      </c>
      <c r="AK94">
        <v>930</v>
      </c>
      <c r="AL94" s="1">
        <f t="shared" si="38"/>
        <v>4.5662177189794688</v>
      </c>
      <c r="AN94">
        <v>930</v>
      </c>
      <c r="AO94" s="1">
        <f t="shared" si="39"/>
        <v>4.5192502560337857</v>
      </c>
      <c r="AQ94">
        <v>930</v>
      </c>
      <c r="AR94" s="1">
        <f t="shared" si="40"/>
        <v>4.3653717121514886</v>
      </c>
      <c r="AT94">
        <v>930</v>
      </c>
      <c r="AU94" s="1">
        <f t="shared" si="41"/>
        <v>4.0265384800580533</v>
      </c>
      <c r="AW94">
        <v>920</v>
      </c>
      <c r="AX94" s="1">
        <f t="shared" si="45"/>
        <v>0.24760513524025454</v>
      </c>
      <c r="AZ94">
        <v>920</v>
      </c>
      <c r="BA94" s="1">
        <f t="shared" si="46"/>
        <v>0.23314086822922589</v>
      </c>
      <c r="BC94">
        <v>930</v>
      </c>
      <c r="BD94" s="1">
        <f t="shared" si="24"/>
        <v>1.4432632898567039</v>
      </c>
      <c r="BF94">
        <v>930</v>
      </c>
      <c r="BG94" s="1">
        <f t="shared" si="42"/>
        <v>3.3477956989247311</v>
      </c>
      <c r="BI94">
        <v>930</v>
      </c>
      <c r="BJ94" s="1">
        <f t="shared" si="43"/>
        <v>5.0750839433211192</v>
      </c>
      <c r="BL94">
        <v>930</v>
      </c>
      <c r="BM94" s="1">
        <f t="shared" si="44"/>
        <v>5.8050780971282965</v>
      </c>
    </row>
    <row r="95" spans="2:65" x14ac:dyDescent="0.45">
      <c r="B95">
        <v>940</v>
      </c>
      <c r="C95" s="2">
        <f t="shared" si="25"/>
        <v>6.4498060308165943</v>
      </c>
      <c r="D95" s="3">
        <f t="shared" si="26"/>
        <v>1.0638297872340426E-3</v>
      </c>
      <c r="E95" s="3">
        <f t="shared" si="27"/>
        <v>0.15504342227069925</v>
      </c>
      <c r="G95">
        <v>940</v>
      </c>
      <c r="H95" s="1">
        <f t="shared" si="28"/>
        <v>6.1202798360927746</v>
      </c>
      <c r="I95" s="1"/>
      <c r="J95">
        <v>940</v>
      </c>
      <c r="K95" s="1">
        <f t="shared" si="29"/>
        <v>5.7433219471588464</v>
      </c>
      <c r="M95">
        <v>940</v>
      </c>
      <c r="N95" s="1">
        <f t="shared" si="30"/>
        <v>5.5820958079993188</v>
      </c>
      <c r="P95">
        <v>940</v>
      </c>
      <c r="Q95" s="1">
        <f t="shared" si="31"/>
        <v>5.3645840056865941</v>
      </c>
      <c r="S95">
        <v>940</v>
      </c>
      <c r="T95" s="1">
        <f t="shared" si="32"/>
        <v>5.2050196370793351</v>
      </c>
      <c r="V95">
        <v>940</v>
      </c>
      <c r="W95" s="1">
        <f t="shared" si="33"/>
        <v>5.0503925053557914</v>
      </c>
      <c r="Y95">
        <v>940</v>
      </c>
      <c r="Z95" s="1">
        <f t="shared" si="34"/>
        <v>5.0210936886049371</v>
      </c>
      <c r="AB95">
        <v>940</v>
      </c>
      <c r="AC95" s="1">
        <f t="shared" si="35"/>
        <v>4.8481731461853945</v>
      </c>
      <c r="AD95" s="1"/>
      <c r="AE95">
        <v>940</v>
      </c>
      <c r="AF95" s="1">
        <f t="shared" si="36"/>
        <v>4.6887155771139959</v>
      </c>
      <c r="AH95">
        <v>940</v>
      </c>
      <c r="AI95" s="1">
        <f t="shared" si="37"/>
        <v>4.5568589938858661</v>
      </c>
      <c r="AK95">
        <v>940</v>
      </c>
      <c r="AL95" s="1">
        <f t="shared" si="38"/>
        <v>4.5176409347350059</v>
      </c>
      <c r="AN95">
        <v>940</v>
      </c>
      <c r="AO95" s="1">
        <f t="shared" si="39"/>
        <v>4.4711731256504477</v>
      </c>
      <c r="AQ95">
        <v>940</v>
      </c>
      <c r="AR95" s="1">
        <f t="shared" si="40"/>
        <v>4.3189315875541325</v>
      </c>
      <c r="AT95">
        <v>940</v>
      </c>
      <c r="AU95" s="1">
        <f t="shared" si="41"/>
        <v>3.9837029643127546</v>
      </c>
      <c r="AW95">
        <v>930</v>
      </c>
      <c r="AX95" s="1">
        <f t="shared" si="45"/>
        <v>0.24494271443121957</v>
      </c>
      <c r="AZ95">
        <v>930</v>
      </c>
      <c r="BA95" s="1">
        <f t="shared" si="46"/>
        <v>0.23063397717299766</v>
      </c>
      <c r="BC95">
        <v>940</v>
      </c>
      <c r="BD95" s="1">
        <f t="shared" si="24"/>
        <v>1.4279094250709943</v>
      </c>
      <c r="BF95">
        <v>940</v>
      </c>
      <c r="BG95" s="1">
        <f t="shared" si="42"/>
        <v>3.3121808510638298</v>
      </c>
      <c r="BI95">
        <v>940</v>
      </c>
      <c r="BJ95" s="1">
        <f t="shared" si="43"/>
        <v>5.0210936886049371</v>
      </c>
      <c r="BL95">
        <v>940</v>
      </c>
      <c r="BM95" s="1">
        <f t="shared" si="44"/>
        <v>5.7433219471588464</v>
      </c>
    </row>
    <row r="96" spans="2:65" x14ac:dyDescent="0.45">
      <c r="B96">
        <v>950</v>
      </c>
      <c r="C96" s="2">
        <f t="shared" si="25"/>
        <v>6.3819133357553666</v>
      </c>
      <c r="D96" s="3">
        <f t="shared" si="26"/>
        <v>1.0526315789473684E-3</v>
      </c>
      <c r="E96" s="3">
        <f t="shared" si="27"/>
        <v>0.15669282037996204</v>
      </c>
      <c r="G96">
        <v>950</v>
      </c>
      <c r="H96" s="1">
        <f t="shared" si="28"/>
        <v>6.0558558378181138</v>
      </c>
      <c r="I96" s="1"/>
      <c r="J96">
        <v>950</v>
      </c>
      <c r="K96" s="1">
        <f t="shared" si="29"/>
        <v>5.6828659266624371</v>
      </c>
      <c r="M96">
        <v>950</v>
      </c>
      <c r="N96" s="1">
        <f t="shared" si="30"/>
        <v>5.5233369047572207</v>
      </c>
      <c r="P96">
        <v>950</v>
      </c>
      <c r="Q96" s="1">
        <f t="shared" si="31"/>
        <v>5.3081147003635776</v>
      </c>
      <c r="S96">
        <v>950</v>
      </c>
      <c r="T96" s="1">
        <f t="shared" si="32"/>
        <v>5.1502299566890262</v>
      </c>
      <c r="V96">
        <v>950</v>
      </c>
      <c r="W96" s="1">
        <f t="shared" si="33"/>
        <v>4.9972304789836253</v>
      </c>
      <c r="Y96">
        <v>950</v>
      </c>
      <c r="Z96" s="1">
        <f t="shared" si="34"/>
        <v>4.9682400708301486</v>
      </c>
      <c r="AB96">
        <v>950</v>
      </c>
      <c r="AC96" s="1">
        <f t="shared" si="35"/>
        <v>4.7971397446466009</v>
      </c>
      <c r="AD96" s="1"/>
      <c r="AE96">
        <v>950</v>
      </c>
      <c r="AF96" s="1">
        <f t="shared" si="36"/>
        <v>4.6393606763022692</v>
      </c>
      <c r="AH96">
        <v>950</v>
      </c>
      <c r="AI96" s="1">
        <f t="shared" si="37"/>
        <v>4.5088920571081204</v>
      </c>
      <c r="AK96">
        <v>950</v>
      </c>
      <c r="AL96" s="1">
        <f t="shared" si="38"/>
        <v>4.4700868196325318</v>
      </c>
      <c r="AN96">
        <v>950</v>
      </c>
      <c r="AO96" s="1">
        <f t="shared" si="39"/>
        <v>4.4241081453804432</v>
      </c>
      <c r="AQ96">
        <v>950</v>
      </c>
      <c r="AR96" s="1">
        <f t="shared" si="40"/>
        <v>4.2734691497904045</v>
      </c>
      <c r="AT96">
        <v>950</v>
      </c>
      <c r="AU96" s="1">
        <f t="shared" si="41"/>
        <v>3.941769248898936</v>
      </c>
      <c r="AW96">
        <v>940</v>
      </c>
      <c r="AX96" s="1">
        <f t="shared" si="45"/>
        <v>0.24233694087344063</v>
      </c>
      <c r="AZ96">
        <v>940</v>
      </c>
      <c r="BA96" s="1">
        <f t="shared" si="46"/>
        <v>0.22818042422434875</v>
      </c>
      <c r="BC96">
        <v>950</v>
      </c>
      <c r="BD96" s="1">
        <f t="shared" si="24"/>
        <v>1.4128787995439314</v>
      </c>
      <c r="BF96">
        <v>950</v>
      </c>
      <c r="BG96" s="1">
        <f t="shared" si="42"/>
        <v>3.277315789473684</v>
      </c>
      <c r="BI96">
        <v>950</v>
      </c>
      <c r="BJ96" s="1">
        <f t="shared" si="43"/>
        <v>4.9682400708301486</v>
      </c>
      <c r="BL96">
        <v>950</v>
      </c>
      <c r="BM96" s="1">
        <f t="shared" si="44"/>
        <v>5.6828659266624371</v>
      </c>
    </row>
    <row r="97" spans="2:65" x14ac:dyDescent="0.45">
      <c r="B97">
        <v>960</v>
      </c>
      <c r="C97" s="2">
        <f t="shared" si="25"/>
        <v>6.3154350718412484</v>
      </c>
      <c r="D97" s="3">
        <f t="shared" si="26"/>
        <v>1.0416666666666667E-3</v>
      </c>
      <c r="E97" s="3">
        <f t="shared" si="27"/>
        <v>0.15834221848922478</v>
      </c>
      <c r="G97">
        <v>960</v>
      </c>
      <c r="H97" s="1">
        <f t="shared" si="28"/>
        <v>5.9927740061741748</v>
      </c>
      <c r="I97" s="1"/>
      <c r="J97">
        <v>960</v>
      </c>
      <c r="K97" s="1">
        <f t="shared" si="29"/>
        <v>5.623669406593037</v>
      </c>
      <c r="M97">
        <v>960</v>
      </c>
      <c r="N97" s="1">
        <f t="shared" si="30"/>
        <v>5.465802145332666</v>
      </c>
      <c r="P97">
        <v>960</v>
      </c>
      <c r="Q97" s="1">
        <f t="shared" si="31"/>
        <v>5.2528218389014567</v>
      </c>
      <c r="S97">
        <v>960</v>
      </c>
      <c r="T97" s="1">
        <f t="shared" si="32"/>
        <v>5.0965817279735157</v>
      </c>
      <c r="V97">
        <v>960</v>
      </c>
      <c r="W97" s="1">
        <f t="shared" si="33"/>
        <v>4.9451759948275464</v>
      </c>
      <c r="Y97">
        <v>960</v>
      </c>
      <c r="Z97" s="1">
        <f t="shared" si="34"/>
        <v>4.9164875700923343</v>
      </c>
      <c r="AB97">
        <v>960</v>
      </c>
      <c r="AC97" s="1">
        <f t="shared" si="35"/>
        <v>4.7471695389731989</v>
      </c>
      <c r="AD97" s="1"/>
      <c r="AE97">
        <v>960</v>
      </c>
      <c r="AF97" s="1">
        <f t="shared" si="36"/>
        <v>4.5910340025907876</v>
      </c>
      <c r="AH97">
        <v>960</v>
      </c>
      <c r="AI97" s="1">
        <f t="shared" si="37"/>
        <v>4.4619244315132436</v>
      </c>
      <c r="AK97">
        <v>960</v>
      </c>
      <c r="AL97" s="1">
        <f t="shared" si="38"/>
        <v>4.4235234152613598</v>
      </c>
      <c r="AN97">
        <v>960</v>
      </c>
      <c r="AO97" s="1">
        <f t="shared" si="39"/>
        <v>4.3780236855327299</v>
      </c>
      <c r="AQ97">
        <v>960</v>
      </c>
      <c r="AR97" s="1">
        <f t="shared" si="40"/>
        <v>4.2289538461467551</v>
      </c>
      <c r="AT97">
        <v>960</v>
      </c>
      <c r="AU97" s="1">
        <f t="shared" si="41"/>
        <v>3.9007091525562387</v>
      </c>
      <c r="AW97">
        <v>950</v>
      </c>
      <c r="AX97" s="1">
        <f t="shared" si="45"/>
        <v>0.23978602570635177</v>
      </c>
      <c r="AZ97">
        <v>950</v>
      </c>
      <c r="BA97" s="1">
        <f t="shared" si="46"/>
        <v>0.22577852502198717</v>
      </c>
      <c r="BC97">
        <v>960</v>
      </c>
      <c r="BD97" s="1">
        <f t="shared" si="24"/>
        <v>1.398161312048682</v>
      </c>
      <c r="BF97">
        <v>960</v>
      </c>
      <c r="BG97" s="1">
        <f t="shared" si="42"/>
        <v>3.2431770833333333</v>
      </c>
      <c r="BI97">
        <v>960</v>
      </c>
      <c r="BJ97" s="1">
        <f t="shared" si="43"/>
        <v>4.9164875700923343</v>
      </c>
      <c r="BL97">
        <v>960</v>
      </c>
      <c r="BM97" s="1">
        <f t="shared" si="44"/>
        <v>5.623669406593037</v>
      </c>
    </row>
    <row r="98" spans="2:65" x14ac:dyDescent="0.45">
      <c r="B98">
        <v>970</v>
      </c>
      <c r="C98" s="2">
        <f t="shared" si="25"/>
        <v>6.2503274937810289</v>
      </c>
      <c r="D98" s="3">
        <f t="shared" si="26"/>
        <v>1.0309278350515464E-3</v>
      </c>
      <c r="E98" s="3">
        <f t="shared" si="27"/>
        <v>0.15999161659848754</v>
      </c>
      <c r="G98">
        <v>970</v>
      </c>
      <c r="H98" s="1">
        <f t="shared" si="28"/>
        <v>5.9309928308527917</v>
      </c>
      <c r="I98" s="1"/>
      <c r="J98">
        <v>970</v>
      </c>
      <c r="K98" s="1">
        <f t="shared" si="29"/>
        <v>5.5656934333291916</v>
      </c>
      <c r="M98">
        <v>970</v>
      </c>
      <c r="N98" s="1">
        <f t="shared" si="30"/>
        <v>5.4094536696075872</v>
      </c>
      <c r="P98">
        <v>970</v>
      </c>
      <c r="Q98" s="1">
        <f t="shared" si="31"/>
        <v>5.198669036438555</v>
      </c>
      <c r="S98">
        <v>970</v>
      </c>
      <c r="T98" s="1">
        <f t="shared" si="32"/>
        <v>5.044039648303686</v>
      </c>
      <c r="V98">
        <v>970</v>
      </c>
      <c r="W98" s="1">
        <f t="shared" si="33"/>
        <v>4.8941947990045813</v>
      </c>
      <c r="Y98">
        <v>970</v>
      </c>
      <c r="Z98" s="1">
        <f t="shared" si="34"/>
        <v>4.8658021312254034</v>
      </c>
      <c r="AB98">
        <v>970</v>
      </c>
      <c r="AC98" s="1">
        <f t="shared" si="35"/>
        <v>4.6982296468188363</v>
      </c>
      <c r="AD98" s="1"/>
      <c r="AE98">
        <v>970</v>
      </c>
      <c r="AF98" s="1">
        <f t="shared" si="36"/>
        <v>4.5437037551413981</v>
      </c>
      <c r="AH98">
        <v>970</v>
      </c>
      <c r="AI98" s="1">
        <f t="shared" si="37"/>
        <v>4.4159252105698084</v>
      </c>
      <c r="AK98">
        <v>970</v>
      </c>
      <c r="AL98" s="1">
        <f t="shared" si="38"/>
        <v>4.377920081083408</v>
      </c>
      <c r="AN98">
        <v>970</v>
      </c>
      <c r="AO98" s="1">
        <f t="shared" si="39"/>
        <v>4.3328894207334239</v>
      </c>
      <c r="AQ98">
        <v>970</v>
      </c>
      <c r="AR98" s="1">
        <f t="shared" si="40"/>
        <v>4.1853563838153454</v>
      </c>
      <c r="AT98">
        <v>970</v>
      </c>
      <c r="AU98" s="1">
        <f t="shared" si="41"/>
        <v>3.8604956561381334</v>
      </c>
      <c r="AW98">
        <v>960</v>
      </c>
      <c r="AX98" s="1">
        <f t="shared" si="45"/>
        <v>0.23728825460524394</v>
      </c>
      <c r="AZ98">
        <v>960</v>
      </c>
      <c r="BA98" s="1">
        <f t="shared" si="46"/>
        <v>0.22342666538634148</v>
      </c>
      <c r="BC98">
        <v>970</v>
      </c>
      <c r="BD98" s="1">
        <f t="shared" ref="BD98:BD100" si="47">$BB$2/BC98</f>
        <v>1.3837472779038502</v>
      </c>
      <c r="BF98">
        <v>970</v>
      </c>
      <c r="BG98" s="1">
        <f t="shared" si="42"/>
        <v>3.2097422680412371</v>
      </c>
      <c r="BI98">
        <v>970</v>
      </c>
      <c r="BJ98" s="1">
        <f t="shared" si="43"/>
        <v>4.8658021312254034</v>
      </c>
      <c r="BL98">
        <v>970</v>
      </c>
      <c r="BM98" s="1">
        <f t="shared" si="44"/>
        <v>5.5656934333291916</v>
      </c>
    </row>
    <row r="99" spans="2:65" x14ac:dyDescent="0.45">
      <c r="B99">
        <v>980</v>
      </c>
      <c r="C99" s="2">
        <f t="shared" si="25"/>
        <v>6.1865486418036717</v>
      </c>
      <c r="D99" s="3">
        <f t="shared" si="26"/>
        <v>1.0204081632653062E-3</v>
      </c>
      <c r="E99" s="3">
        <f t="shared" si="27"/>
        <v>0.16164101470775027</v>
      </c>
      <c r="G99">
        <v>980</v>
      </c>
      <c r="H99" s="1">
        <f t="shared" si="28"/>
        <v>5.8704724958440897</v>
      </c>
      <c r="I99" s="1"/>
      <c r="J99">
        <v>980</v>
      </c>
      <c r="K99" s="1">
        <f t="shared" si="29"/>
        <v>5.5089006431931793</v>
      </c>
      <c r="M99">
        <v>980</v>
      </c>
      <c r="N99" s="1">
        <f t="shared" si="30"/>
        <v>5.3542551627748569</v>
      </c>
      <c r="P99">
        <v>980</v>
      </c>
      <c r="Q99" s="1">
        <f t="shared" si="31"/>
        <v>5.1456213932095904</v>
      </c>
      <c r="S99">
        <v>980</v>
      </c>
      <c r="T99" s="1">
        <f t="shared" si="32"/>
        <v>4.9925698559740566</v>
      </c>
      <c r="V99">
        <v>980</v>
      </c>
      <c r="W99" s="1">
        <f t="shared" si="33"/>
        <v>4.844254035749433</v>
      </c>
      <c r="Y99">
        <v>980</v>
      </c>
      <c r="Z99" s="1">
        <f t="shared" si="34"/>
        <v>4.8161510890700425</v>
      </c>
      <c r="AB99">
        <v>980</v>
      </c>
      <c r="AC99" s="1">
        <f t="shared" si="35"/>
        <v>4.6502885279737463</v>
      </c>
      <c r="AD99" s="1"/>
      <c r="AE99">
        <v>980</v>
      </c>
      <c r="AF99" s="1">
        <f t="shared" si="36"/>
        <v>4.4973394311093431</v>
      </c>
      <c r="AH99">
        <v>980</v>
      </c>
      <c r="AI99" s="1">
        <f t="shared" si="37"/>
        <v>4.3708647492374633</v>
      </c>
      <c r="AK99">
        <v>980</v>
      </c>
      <c r="AL99" s="1">
        <f t="shared" si="38"/>
        <v>4.3332474271948014</v>
      </c>
      <c r="AN99">
        <v>980</v>
      </c>
      <c r="AO99" s="1">
        <f t="shared" si="39"/>
        <v>4.288676263379001</v>
      </c>
      <c r="AQ99">
        <v>980</v>
      </c>
      <c r="AR99" s="1">
        <f t="shared" si="40"/>
        <v>4.1426486656131472</v>
      </c>
      <c r="AT99">
        <v>980</v>
      </c>
      <c r="AU99" s="1">
        <f t="shared" si="41"/>
        <v>3.8211028433203973</v>
      </c>
      <c r="AW99">
        <v>970</v>
      </c>
      <c r="AX99" s="1">
        <f t="shared" si="45"/>
        <v>0.23484198393921049</v>
      </c>
      <c r="AZ99">
        <v>970</v>
      </c>
      <c r="BA99" s="1">
        <f t="shared" si="46"/>
        <v>0.22112329770194622</v>
      </c>
      <c r="BC99">
        <v>980</v>
      </c>
      <c r="BD99" s="1">
        <f t="shared" si="47"/>
        <v>1.3696274077211579</v>
      </c>
      <c r="BF99">
        <v>980</v>
      </c>
      <c r="BG99" s="1">
        <f t="shared" si="42"/>
        <v>3.1769897959183671</v>
      </c>
      <c r="BI99">
        <v>980</v>
      </c>
      <c r="BJ99" s="1">
        <f t="shared" si="43"/>
        <v>4.8161510890700425</v>
      </c>
      <c r="BL99">
        <v>980</v>
      </c>
      <c r="BM99" s="1">
        <f t="shared" si="44"/>
        <v>5.5089006431931793</v>
      </c>
    </row>
    <row r="100" spans="2:65" x14ac:dyDescent="0.45">
      <c r="B100">
        <v>990</v>
      </c>
      <c r="C100" s="2">
        <f t="shared" si="25"/>
        <v>6.1240582514824222</v>
      </c>
      <c r="D100" s="3">
        <f t="shared" si="26"/>
        <v>1.0101010101010101E-3</v>
      </c>
      <c r="E100" s="3">
        <f t="shared" si="27"/>
        <v>0.16329041281701306</v>
      </c>
      <c r="G100">
        <v>990</v>
      </c>
      <c r="H100" s="1">
        <f t="shared" si="28"/>
        <v>5.8111747938658667</v>
      </c>
      <c r="I100" s="1"/>
      <c r="J100">
        <v>990</v>
      </c>
      <c r="K100" s="1">
        <f t="shared" si="29"/>
        <v>5.4532551821508237</v>
      </c>
      <c r="M100">
        <v>990</v>
      </c>
      <c r="N100" s="1">
        <f t="shared" si="30"/>
        <v>5.3001717772922827</v>
      </c>
      <c r="P100">
        <v>990</v>
      </c>
      <c r="Q100" s="1">
        <f t="shared" si="31"/>
        <v>5.093645419540807</v>
      </c>
      <c r="S100">
        <v>990</v>
      </c>
      <c r="T100" s="1">
        <f t="shared" si="32"/>
        <v>4.942139857428864</v>
      </c>
      <c r="V100">
        <v>990</v>
      </c>
      <c r="W100" s="1">
        <f t="shared" si="33"/>
        <v>4.7953221768024692</v>
      </c>
      <c r="Y100">
        <v>990</v>
      </c>
      <c r="Z100" s="1">
        <f t="shared" si="34"/>
        <v>4.7675030982713551</v>
      </c>
      <c r="AB100">
        <v>990</v>
      </c>
      <c r="AC100" s="1">
        <f t="shared" si="35"/>
        <v>4.6033159165800717</v>
      </c>
      <c r="AD100" s="1"/>
      <c r="AE100">
        <v>990</v>
      </c>
      <c r="AF100" s="1">
        <f t="shared" si="36"/>
        <v>4.451911760088036</v>
      </c>
      <c r="AH100">
        <v>990</v>
      </c>
      <c r="AI100" s="1">
        <f t="shared" si="37"/>
        <v>4.3267146002552668</v>
      </c>
      <c r="AK100">
        <v>990</v>
      </c>
      <c r="AL100" s="1">
        <f t="shared" si="38"/>
        <v>4.2894772511625305</v>
      </c>
      <c r="AN100">
        <v>990</v>
      </c>
      <c r="AO100" s="1">
        <f t="shared" si="39"/>
        <v>4.2453563011226478</v>
      </c>
      <c r="AQ100">
        <v>990</v>
      </c>
      <c r="AR100" s="1">
        <f t="shared" si="40"/>
        <v>4.1008037295968531</v>
      </c>
      <c r="AT100">
        <v>990</v>
      </c>
      <c r="AU100" s="1">
        <f t="shared" si="41"/>
        <v>3.7825058449030196</v>
      </c>
      <c r="AW100">
        <v>980</v>
      </c>
      <c r="AX100" s="1">
        <f t="shared" si="45"/>
        <v>0.2324456371643206</v>
      </c>
      <c r="AZ100">
        <v>980</v>
      </c>
      <c r="BA100" s="1">
        <f t="shared" si="46"/>
        <v>0.21886693752131411</v>
      </c>
      <c r="BC100">
        <v>990</v>
      </c>
      <c r="BD100" s="1">
        <f t="shared" si="47"/>
        <v>1.3557927874411462</v>
      </c>
      <c r="BF100">
        <v>990</v>
      </c>
      <c r="BG100" s="1">
        <f t="shared" si="42"/>
        <v>3.1448989898989899</v>
      </c>
      <c r="BI100">
        <v>990</v>
      </c>
      <c r="BJ100" s="1">
        <f t="shared" si="43"/>
        <v>4.7675030982713551</v>
      </c>
      <c r="BL100">
        <v>990</v>
      </c>
      <c r="BM100" s="1">
        <f t="shared" si="44"/>
        <v>5.4532551821508237</v>
      </c>
    </row>
    <row r="101" spans="2:65" x14ac:dyDescent="0.45">
      <c r="B101">
        <v>1000</v>
      </c>
      <c r="C101" s="2">
        <f t="shared" si="25"/>
        <v>6.0628176689675986</v>
      </c>
      <c r="D101" s="3">
        <f t="shared" si="26"/>
        <v>1E-3</v>
      </c>
      <c r="E101" s="3">
        <f t="shared" si="27"/>
        <v>0.16493981092627583</v>
      </c>
      <c r="AL101" s="1"/>
      <c r="AW101">
        <v>990</v>
      </c>
      <c r="AX101" s="1">
        <f t="shared" si="45"/>
        <v>0.23009770143538807</v>
      </c>
      <c r="AZ101">
        <v>990</v>
      </c>
      <c r="BA101" s="1">
        <f t="shared" si="46"/>
        <v>0.21665616037463417</v>
      </c>
    </row>
    <row r="102" spans="2:65" x14ac:dyDescent="0.45">
      <c r="B102">
        <v>2000</v>
      </c>
      <c r="C102" s="2">
        <f t="shared" si="25"/>
        <v>3.0314088344837993</v>
      </c>
      <c r="D102" s="3">
        <f t="shared" si="26"/>
        <v>5.0000000000000001E-4</v>
      </c>
      <c r="E102" s="3">
        <f t="shared" si="27"/>
        <v>0.32987962185255165</v>
      </c>
    </row>
    <row r="103" spans="2:65" x14ac:dyDescent="0.45">
      <c r="B103">
        <v>5000</v>
      </c>
      <c r="C103" s="2">
        <f t="shared" si="25"/>
        <v>1.2125635337935197</v>
      </c>
      <c r="D103" s="3">
        <f t="shared" si="26"/>
        <v>2.0000000000000001E-4</v>
      </c>
      <c r="E103" s="3">
        <f t="shared" si="27"/>
        <v>0.82469905463137916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F14"/>
  <sheetViews>
    <sheetView zoomScaleNormal="100" workbookViewId="0">
      <selection activeCell="A2" sqref="A2"/>
    </sheetView>
  </sheetViews>
  <sheetFormatPr baseColWidth="10" defaultColWidth="8.86328125" defaultRowHeight="14.25" x14ac:dyDescent="0.45"/>
  <cols>
    <col min="1" max="1" width="8.86328125" style="21"/>
    <col min="2" max="2" width="25" style="21" customWidth="1"/>
    <col min="3" max="3" width="8.86328125" style="21"/>
    <col min="4" max="4" width="9.265625" style="21" bestFit="1" customWidth="1"/>
    <col min="5" max="8" width="8.86328125" style="21"/>
    <col min="9" max="9" width="9.59765625" style="22" bestFit="1" customWidth="1"/>
    <col min="10" max="10" width="8.86328125" style="45"/>
    <col min="11" max="11" width="8.86328125" style="22"/>
    <col min="12" max="12" width="12.1328125" style="21" customWidth="1"/>
    <col min="13" max="14" width="8.86328125" style="21"/>
    <col min="15" max="15" width="13.59765625" style="44" customWidth="1"/>
    <col min="16" max="17" width="15.86328125" style="21" customWidth="1"/>
    <col min="18" max="18" width="18.1328125" style="21" customWidth="1"/>
    <col min="19" max="19" width="10.73046875" style="21" customWidth="1"/>
    <col min="20" max="20" width="12.1328125" style="51" customWidth="1"/>
    <col min="21" max="21" width="14.73046875" style="21" customWidth="1"/>
    <col min="22" max="22" width="8.86328125" style="21"/>
    <col min="23" max="23" width="13" style="51" customWidth="1"/>
    <col min="24" max="24" width="15.265625" style="21" customWidth="1"/>
    <col min="25" max="25" width="12.3984375" style="21" customWidth="1"/>
    <col min="26" max="26" width="9" style="34" bestFit="1" customWidth="1"/>
    <col min="27" max="27" width="13.265625" style="51" customWidth="1"/>
    <col min="28" max="28" width="13.1328125" style="21" customWidth="1"/>
    <col min="29" max="29" width="8.86328125" style="21"/>
    <col min="30" max="30" width="16.73046875" style="51" customWidth="1"/>
    <col min="31" max="31" width="17.73046875" style="21" customWidth="1"/>
    <col min="32" max="32" width="11.265625" style="21" customWidth="1"/>
    <col min="33" max="16384" width="8.86328125" style="21"/>
  </cols>
  <sheetData>
    <row r="1" spans="1:32" ht="25.5" x14ac:dyDescent="0.75">
      <c r="A1" s="68" t="s">
        <v>315</v>
      </c>
    </row>
    <row r="3" spans="1:32" x14ac:dyDescent="0.45">
      <c r="A3" s="142" t="s">
        <v>0</v>
      </c>
      <c r="B3" s="142"/>
      <c r="C3" s="137" t="s">
        <v>22</v>
      </c>
      <c r="D3" s="137"/>
      <c r="E3" s="137" t="s">
        <v>51</v>
      </c>
      <c r="F3" s="137"/>
      <c r="G3" s="63" t="s">
        <v>156</v>
      </c>
      <c r="H3" s="137" t="s">
        <v>264</v>
      </c>
      <c r="I3" s="137"/>
      <c r="J3" s="71" t="s">
        <v>41</v>
      </c>
      <c r="K3" s="72" t="s">
        <v>133</v>
      </c>
      <c r="L3" s="63" t="s">
        <v>251</v>
      </c>
      <c r="M3" s="137" t="s">
        <v>246</v>
      </c>
      <c r="N3" s="137"/>
      <c r="O3" s="70" t="s">
        <v>248</v>
      </c>
      <c r="P3" s="63" t="s">
        <v>253</v>
      </c>
      <c r="Q3" s="63" t="s">
        <v>219</v>
      </c>
      <c r="R3" s="63" t="s">
        <v>265</v>
      </c>
      <c r="S3" s="63"/>
      <c r="T3" s="107" t="s">
        <v>188</v>
      </c>
      <c r="U3" s="63" t="s">
        <v>194</v>
      </c>
      <c r="V3" s="63" t="s">
        <v>151</v>
      </c>
      <c r="W3" s="107" t="s">
        <v>198</v>
      </c>
      <c r="X3" s="63" t="s">
        <v>212</v>
      </c>
      <c r="Y3" s="63" t="s">
        <v>197</v>
      </c>
      <c r="Z3" s="108" t="s">
        <v>237</v>
      </c>
      <c r="AA3" s="107" t="s">
        <v>200</v>
      </c>
      <c r="AB3" s="63" t="s">
        <v>232</v>
      </c>
      <c r="AC3" s="63" t="s">
        <v>234</v>
      </c>
      <c r="AD3" s="107" t="s">
        <v>201</v>
      </c>
      <c r="AE3" s="63" t="s">
        <v>233</v>
      </c>
      <c r="AF3" s="63" t="s">
        <v>235</v>
      </c>
    </row>
    <row r="4" spans="1:32" x14ac:dyDescent="0.45">
      <c r="A4" s="106"/>
      <c r="B4" s="106"/>
      <c r="C4" s="64" t="s">
        <v>126</v>
      </c>
      <c r="D4" s="64" t="s">
        <v>30</v>
      </c>
      <c r="E4" s="64" t="s">
        <v>127</v>
      </c>
      <c r="F4" s="64" t="s">
        <v>29</v>
      </c>
      <c r="G4" s="64" t="s">
        <v>157</v>
      </c>
      <c r="H4" s="64" t="s">
        <v>128</v>
      </c>
      <c r="I4" s="83" t="s">
        <v>129</v>
      </c>
      <c r="J4" s="79"/>
      <c r="K4" s="80" t="s">
        <v>29</v>
      </c>
      <c r="L4" s="64" t="s">
        <v>30</v>
      </c>
      <c r="M4" s="64"/>
      <c r="N4" s="64" t="s">
        <v>31</v>
      </c>
      <c r="O4" s="78"/>
      <c r="P4" s="64" t="s">
        <v>29</v>
      </c>
      <c r="Q4" s="64" t="s">
        <v>22</v>
      </c>
      <c r="R4" s="64" t="s">
        <v>220</v>
      </c>
      <c r="S4" s="64" t="s">
        <v>192</v>
      </c>
      <c r="T4" s="109" t="s">
        <v>37</v>
      </c>
      <c r="U4" s="64" t="s">
        <v>132</v>
      </c>
      <c r="V4" s="64" t="s">
        <v>152</v>
      </c>
      <c r="W4" s="109" t="s">
        <v>37</v>
      </c>
      <c r="X4" s="64" t="s">
        <v>132</v>
      </c>
      <c r="Y4" s="64" t="s">
        <v>152</v>
      </c>
      <c r="Z4" s="105" t="s">
        <v>36</v>
      </c>
      <c r="AA4" s="109" t="s">
        <v>166</v>
      </c>
      <c r="AB4" s="64" t="s">
        <v>231</v>
      </c>
      <c r="AC4" s="64"/>
      <c r="AD4" s="109" t="s">
        <v>166</v>
      </c>
      <c r="AE4" s="64" t="s">
        <v>231</v>
      </c>
      <c r="AF4" s="64"/>
    </row>
    <row r="5" spans="1:32" x14ac:dyDescent="0.45">
      <c r="A5" s="21" t="s">
        <v>114</v>
      </c>
      <c r="B5" s="21" t="s">
        <v>115</v>
      </c>
      <c r="C5" s="21">
        <v>155</v>
      </c>
      <c r="D5" s="22">
        <f>C5/2.205</f>
        <v>70.29478458049887</v>
      </c>
      <c r="E5" s="21">
        <v>3</v>
      </c>
      <c r="F5" s="22">
        <f>E5/2.237</f>
        <v>1.3410818059901652</v>
      </c>
      <c r="G5" s="22">
        <f>1/F5</f>
        <v>0.7456666666666667</v>
      </c>
      <c r="H5" s="21">
        <v>8.4000000000000005E-2</v>
      </c>
      <c r="I5" s="22">
        <f>H5*745.7</f>
        <v>62.63880000000001</v>
      </c>
      <c r="J5" s="45">
        <f>D5*9.81*F5/I5</f>
        <v>14.763997167957216</v>
      </c>
      <c r="K5" s="22">
        <f>J5*F5</f>
        <v>19.799727985637748</v>
      </c>
      <c r="L5" s="21">
        <f>D5</f>
        <v>70.29478458049887</v>
      </c>
      <c r="M5" s="21">
        <f>L5/D5</f>
        <v>1</v>
      </c>
      <c r="N5" s="21">
        <f>M5*100</f>
        <v>100</v>
      </c>
      <c r="O5" s="45">
        <f>M5*J5</f>
        <v>14.763997167957216</v>
      </c>
      <c r="P5" s="22">
        <f>O5*F5</f>
        <v>19.799727985637748</v>
      </c>
      <c r="Q5" s="22"/>
      <c r="R5" s="22"/>
      <c r="S5" s="22">
        <v>200</v>
      </c>
      <c r="T5" s="52">
        <f>S5/100</f>
        <v>2</v>
      </c>
      <c r="U5" s="21">
        <f>1/T5</f>
        <v>0.5</v>
      </c>
      <c r="V5" s="21">
        <f t="shared" ref="V5:V11" si="0">U5*F5</f>
        <v>0.67054090299508262</v>
      </c>
      <c r="W5" s="51">
        <f>T5</f>
        <v>2</v>
      </c>
      <c r="X5" s="21">
        <f>1/W5</f>
        <v>0.5</v>
      </c>
      <c r="Y5" s="21">
        <f>X5*F5</f>
        <v>0.67054090299508262</v>
      </c>
      <c r="Z5" s="34">
        <v>1.8E-5</v>
      </c>
      <c r="AA5" s="51">
        <f>(Z5*10^7)/L5</f>
        <v>2.5606451612903225</v>
      </c>
      <c r="AB5" s="21">
        <f>1/AA5</f>
        <v>0.39052658100277149</v>
      </c>
      <c r="AC5" s="21">
        <f>AB5*F5</f>
        <v>0.52372809253836139</v>
      </c>
      <c r="AD5" s="51">
        <f>AA5</f>
        <v>2.5606451612903225</v>
      </c>
      <c r="AE5" s="21">
        <f>1/AD5</f>
        <v>0.39052658100277149</v>
      </c>
      <c r="AF5" s="21">
        <f>AE5*F5</f>
        <v>0.52372809253836139</v>
      </c>
    </row>
    <row r="6" spans="1:32" x14ac:dyDescent="0.45">
      <c r="B6" s="21" t="s">
        <v>116</v>
      </c>
      <c r="C6" s="21">
        <v>135</v>
      </c>
      <c r="D6" s="22">
        <f t="shared" ref="D6:D13" si="1">C6/2.205</f>
        <v>61.224489795918366</v>
      </c>
      <c r="E6" s="21">
        <v>9</v>
      </c>
      <c r="F6" s="22">
        <f t="shared" ref="F6:F13" si="2">E6/2.237</f>
        <v>4.0232454179704957</v>
      </c>
      <c r="G6" s="22">
        <f t="shared" ref="G6:G13" si="3">1/F6</f>
        <v>0.24855555555555559</v>
      </c>
      <c r="H6" s="21">
        <v>0.3</v>
      </c>
      <c r="I6" s="22">
        <f t="shared" ref="I6:I13" si="4">H6*745.7</f>
        <v>223.71</v>
      </c>
      <c r="J6" s="45">
        <f t="shared" ref="J6:J13" si="5">D6*9.81*F6/I6</f>
        <v>10.801530831266762</v>
      </c>
      <c r="K6" s="22">
        <f t="shared" ref="K6:K13" si="6">J6*F6</f>
        <v>43.457209423961039</v>
      </c>
      <c r="L6" s="21">
        <f>D6</f>
        <v>61.224489795918366</v>
      </c>
      <c r="M6" s="21">
        <f t="shared" ref="M6:M13" si="7">L6/D6</f>
        <v>1</v>
      </c>
      <c r="N6" s="21">
        <f t="shared" ref="N6:N13" si="8">M6*100</f>
        <v>100</v>
      </c>
      <c r="O6" s="45">
        <f t="shared" ref="O6:O13" si="9">M6*J6</f>
        <v>10.801530831266762</v>
      </c>
      <c r="P6" s="22">
        <f t="shared" ref="P6:P13" si="10">O6*F6</f>
        <v>43.457209423961039</v>
      </c>
      <c r="Q6" s="22"/>
      <c r="R6" s="22"/>
      <c r="S6" s="22">
        <v>200</v>
      </c>
      <c r="T6" s="52">
        <f t="shared" ref="T6:T10" si="11">S6/100</f>
        <v>2</v>
      </c>
      <c r="U6" s="21">
        <f t="shared" ref="U6:U11" si="12">1/T6</f>
        <v>0.5</v>
      </c>
      <c r="V6" s="21">
        <f t="shared" si="0"/>
        <v>2.0116227089852479</v>
      </c>
      <c r="W6" s="51">
        <f t="shared" ref="W6:W13" si="13">T6</f>
        <v>2</v>
      </c>
      <c r="X6" s="21">
        <f t="shared" ref="X6:X13" si="14">1/W6</f>
        <v>0.5</v>
      </c>
      <c r="Y6" s="21">
        <f t="shared" ref="Y6:Y13" si="15">X6*F6</f>
        <v>2.0116227089852479</v>
      </c>
      <c r="Z6" s="34">
        <v>1.8E-5</v>
      </c>
      <c r="AA6" s="51">
        <f t="shared" ref="AA6:AA10" si="16">(Z6*10^7)/L6</f>
        <v>2.94</v>
      </c>
      <c r="AB6" s="21">
        <f t="shared" ref="AB6:AB10" si="17">1/AA6</f>
        <v>0.3401360544217687</v>
      </c>
      <c r="AC6" s="21">
        <f t="shared" ref="AC6:AC10" si="18">AB6*F6</f>
        <v>1.368450822438944</v>
      </c>
      <c r="AD6" s="51">
        <f t="shared" ref="AD6:AD10" si="19">AA6</f>
        <v>2.94</v>
      </c>
      <c r="AE6" s="21">
        <f t="shared" ref="AE6:AE10" si="20">1/AD6</f>
        <v>0.3401360544217687</v>
      </c>
      <c r="AF6" s="21">
        <f t="shared" ref="AF6:AF10" si="21">AE6*F6</f>
        <v>1.368450822438944</v>
      </c>
    </row>
    <row r="7" spans="1:32" x14ac:dyDescent="0.45">
      <c r="B7" s="21" t="s">
        <v>117</v>
      </c>
      <c r="C7" s="21">
        <v>122</v>
      </c>
      <c r="D7" s="22">
        <f t="shared" si="1"/>
        <v>55.328798185941039</v>
      </c>
      <c r="E7" s="21">
        <v>22.4</v>
      </c>
      <c r="F7" s="22">
        <f t="shared" si="2"/>
        <v>10.013410818059901</v>
      </c>
      <c r="G7" s="22">
        <f t="shared" si="3"/>
        <v>9.9866071428571429E-2</v>
      </c>
      <c r="H7" s="21">
        <v>0.9</v>
      </c>
      <c r="I7" s="22">
        <f t="shared" si="4"/>
        <v>671.13000000000011</v>
      </c>
      <c r="J7" s="45">
        <f t="shared" si="5"/>
        <v>8.0983329096531698</v>
      </c>
      <c r="K7" s="22">
        <f t="shared" si="6"/>
        <v>81.091934365771564</v>
      </c>
      <c r="L7" s="21">
        <f>D7</f>
        <v>55.328798185941039</v>
      </c>
      <c r="M7" s="21">
        <f t="shared" si="7"/>
        <v>1</v>
      </c>
      <c r="N7" s="21">
        <f t="shared" si="8"/>
        <v>100</v>
      </c>
      <c r="O7" s="45">
        <f t="shared" si="9"/>
        <v>8.0983329096531698</v>
      </c>
      <c r="P7" s="22">
        <f t="shared" si="10"/>
        <v>81.091934365771564</v>
      </c>
      <c r="Q7" s="22"/>
      <c r="R7" s="22"/>
      <c r="S7" s="22">
        <v>200</v>
      </c>
      <c r="T7" s="52">
        <f t="shared" si="11"/>
        <v>2</v>
      </c>
      <c r="U7" s="21">
        <f t="shared" si="12"/>
        <v>0.5</v>
      </c>
      <c r="V7" s="21">
        <f t="shared" si="0"/>
        <v>5.0067054090299505</v>
      </c>
      <c r="W7" s="51">
        <f t="shared" si="13"/>
        <v>2</v>
      </c>
      <c r="X7" s="21">
        <f t="shared" si="14"/>
        <v>0.5</v>
      </c>
      <c r="Y7" s="21">
        <f t="shared" si="15"/>
        <v>5.0067054090299505</v>
      </c>
      <c r="Z7" s="34">
        <v>1.8E-5</v>
      </c>
      <c r="AA7" s="51">
        <f t="shared" si="16"/>
        <v>3.2532786885245906</v>
      </c>
      <c r="AB7" s="21">
        <f t="shared" si="17"/>
        <v>0.30738221214411687</v>
      </c>
      <c r="AC7" s="21">
        <f t="shared" si="18"/>
        <v>3.0779443683630836</v>
      </c>
      <c r="AD7" s="51">
        <f t="shared" si="19"/>
        <v>3.2532786885245906</v>
      </c>
      <c r="AE7" s="21">
        <f t="shared" si="20"/>
        <v>0.30738221214411687</v>
      </c>
      <c r="AF7" s="21">
        <f t="shared" si="21"/>
        <v>3.0779443683630836</v>
      </c>
    </row>
    <row r="8" spans="1:32" x14ac:dyDescent="0.45">
      <c r="A8" s="21" t="s">
        <v>118</v>
      </c>
      <c r="B8" s="21" t="s">
        <v>119</v>
      </c>
      <c r="C8" s="21">
        <v>185</v>
      </c>
      <c r="D8" s="22">
        <f t="shared" si="1"/>
        <v>83.900226757369609</v>
      </c>
      <c r="E8" s="21">
        <v>15.5</v>
      </c>
      <c r="F8" s="22">
        <f t="shared" si="2"/>
        <v>6.9289226642825206</v>
      </c>
      <c r="G8" s="22">
        <f t="shared" si="3"/>
        <v>0.14432258064516129</v>
      </c>
      <c r="H8" s="21">
        <v>0.25</v>
      </c>
      <c r="I8" s="22">
        <f t="shared" si="4"/>
        <v>186.42500000000001</v>
      </c>
      <c r="J8" s="45">
        <f t="shared" si="5"/>
        <v>30.591002132007347</v>
      </c>
      <c r="K8" s="22">
        <f t="shared" si="6"/>
        <v>211.96268799558061</v>
      </c>
      <c r="L8" s="21">
        <v>70.290000000000006</v>
      </c>
      <c r="M8" s="21">
        <f t="shared" si="7"/>
        <v>0.83778081081081091</v>
      </c>
      <c r="N8" s="21">
        <f t="shared" si="8"/>
        <v>83.778081081081098</v>
      </c>
      <c r="O8" s="45">
        <f t="shared" si="9"/>
        <v>25.62855456966836</v>
      </c>
      <c r="P8" s="22">
        <f t="shared" si="10"/>
        <v>177.57827261057645</v>
      </c>
      <c r="Q8" s="22"/>
      <c r="R8" s="22"/>
      <c r="S8" s="22">
        <v>110</v>
      </c>
      <c r="T8" s="52">
        <f t="shared" si="11"/>
        <v>1.1000000000000001</v>
      </c>
      <c r="U8" s="21">
        <f t="shared" si="12"/>
        <v>0.90909090909090906</v>
      </c>
      <c r="V8" s="21">
        <f t="shared" si="0"/>
        <v>6.2990206038932</v>
      </c>
      <c r="W8" s="51">
        <f t="shared" si="13"/>
        <v>1.1000000000000001</v>
      </c>
      <c r="X8" s="21">
        <f t="shared" si="14"/>
        <v>0.90909090909090906</v>
      </c>
      <c r="Y8" s="21">
        <f t="shared" si="15"/>
        <v>6.2990206038932</v>
      </c>
      <c r="Z8" s="34">
        <v>7.7700000000000001E-6</v>
      </c>
      <c r="AA8" s="51">
        <f t="shared" si="16"/>
        <v>1.105420401195049</v>
      </c>
      <c r="AB8" s="21">
        <f t="shared" si="17"/>
        <v>0.90463320463320462</v>
      </c>
      <c r="AC8" s="21">
        <f t="shared" si="18"/>
        <v>6.2681335144455392</v>
      </c>
      <c r="AD8" s="51">
        <f t="shared" si="19"/>
        <v>1.105420401195049</v>
      </c>
      <c r="AE8" s="21">
        <f t="shared" si="20"/>
        <v>0.90463320463320462</v>
      </c>
      <c r="AF8" s="21">
        <f t="shared" si="21"/>
        <v>6.2681335144455392</v>
      </c>
    </row>
    <row r="9" spans="1:32" x14ac:dyDescent="0.45">
      <c r="B9" s="21" t="s">
        <v>120</v>
      </c>
      <c r="C9" s="21">
        <v>160</v>
      </c>
      <c r="D9" s="22">
        <f t="shared" si="1"/>
        <v>72.562358276643991</v>
      </c>
      <c r="E9" s="21">
        <v>25</v>
      </c>
      <c r="F9" s="22">
        <f t="shared" si="2"/>
        <v>11.175681716584711</v>
      </c>
      <c r="G9" s="22">
        <f t="shared" si="3"/>
        <v>8.9480000000000004E-2</v>
      </c>
      <c r="H9" s="21">
        <v>0.47</v>
      </c>
      <c r="I9" s="22">
        <f t="shared" si="4"/>
        <v>350.47899999999998</v>
      </c>
      <c r="J9" s="45">
        <f t="shared" si="5"/>
        <v>22.69825233783402</v>
      </c>
      <c r="K9" s="22">
        <f t="shared" si="6"/>
        <v>253.66844365035783</v>
      </c>
      <c r="L9" s="21">
        <v>61.22</v>
      </c>
      <c r="M9" s="21">
        <f t="shared" si="7"/>
        <v>0.84368812500000001</v>
      </c>
      <c r="N9" s="21">
        <f t="shared" si="8"/>
        <v>84.368812500000004</v>
      </c>
      <c r="O9" s="45">
        <f t="shared" si="9"/>
        <v>19.150245955684053</v>
      </c>
      <c r="P9" s="22">
        <f t="shared" si="10"/>
        <v>214.01705359503856</v>
      </c>
      <c r="Q9" s="22"/>
      <c r="R9" s="22"/>
      <c r="S9" s="22">
        <v>110</v>
      </c>
      <c r="T9" s="52">
        <f t="shared" si="11"/>
        <v>1.1000000000000001</v>
      </c>
      <c r="U9" s="21">
        <f t="shared" si="12"/>
        <v>0.90909090909090906</v>
      </c>
      <c r="V9" s="21">
        <f t="shared" si="0"/>
        <v>10.159710651440646</v>
      </c>
      <c r="W9" s="51">
        <f t="shared" si="13"/>
        <v>1.1000000000000001</v>
      </c>
      <c r="X9" s="21">
        <f t="shared" si="14"/>
        <v>0.90909090909090906</v>
      </c>
      <c r="Y9" s="21">
        <f t="shared" si="15"/>
        <v>10.159710651440646</v>
      </c>
      <c r="Z9" s="34">
        <v>7.7700000000000001E-6</v>
      </c>
      <c r="AA9" s="51">
        <f t="shared" si="16"/>
        <v>1.2691930741587718</v>
      </c>
      <c r="AB9" s="21">
        <f t="shared" si="17"/>
        <v>0.7879021879021878</v>
      </c>
      <c r="AC9" s="21">
        <f t="shared" si="18"/>
        <v>8.8053440757955705</v>
      </c>
      <c r="AD9" s="51">
        <f t="shared" si="19"/>
        <v>1.2691930741587718</v>
      </c>
      <c r="AE9" s="21">
        <f t="shared" si="20"/>
        <v>0.7879021879021878</v>
      </c>
      <c r="AF9" s="21">
        <f t="shared" si="21"/>
        <v>8.8053440757955705</v>
      </c>
    </row>
    <row r="10" spans="1:32" x14ac:dyDescent="0.45">
      <c r="B10" s="21" t="s">
        <v>121</v>
      </c>
      <c r="C10" s="21">
        <v>155</v>
      </c>
      <c r="D10" s="22">
        <f t="shared" si="1"/>
        <v>70.29478458049887</v>
      </c>
      <c r="E10" s="21">
        <v>38.1</v>
      </c>
      <c r="F10" s="22">
        <f t="shared" si="2"/>
        <v>17.031738936075101</v>
      </c>
      <c r="G10" s="22">
        <f t="shared" si="3"/>
        <v>5.8713910761154856E-2</v>
      </c>
      <c r="H10" s="21">
        <v>1.01</v>
      </c>
      <c r="I10" s="22">
        <f t="shared" si="4"/>
        <v>753.15700000000004</v>
      </c>
      <c r="J10" s="45">
        <f t="shared" si="5"/>
        <v>15.594289285917586</v>
      </c>
      <c r="K10" s="22">
        <f t="shared" si="6"/>
        <v>265.59786401138132</v>
      </c>
      <c r="L10" s="21">
        <v>55.33</v>
      </c>
      <c r="M10" s="21">
        <f t="shared" si="7"/>
        <v>0.78711387096774188</v>
      </c>
      <c r="N10" s="21">
        <f t="shared" si="8"/>
        <v>78.711387096774189</v>
      </c>
      <c r="O10" s="45">
        <f t="shared" si="9"/>
        <v>12.274481404829375</v>
      </c>
      <c r="P10" s="22">
        <f t="shared" si="10"/>
        <v>209.05576286276226</v>
      </c>
      <c r="Q10" s="22"/>
      <c r="R10" s="22"/>
      <c r="S10" s="22">
        <v>110</v>
      </c>
      <c r="T10" s="52">
        <f t="shared" si="11"/>
        <v>1.1000000000000001</v>
      </c>
      <c r="U10" s="21">
        <f t="shared" si="12"/>
        <v>0.90909090909090906</v>
      </c>
      <c r="V10" s="21">
        <f t="shared" si="0"/>
        <v>15.483399032795546</v>
      </c>
      <c r="W10" s="51">
        <f t="shared" si="13"/>
        <v>1.1000000000000001</v>
      </c>
      <c r="X10" s="21">
        <f t="shared" si="14"/>
        <v>0.90909090909090906</v>
      </c>
      <c r="Y10" s="21">
        <f t="shared" si="15"/>
        <v>15.483399032795546</v>
      </c>
      <c r="Z10" s="34">
        <v>7.7700000000000001E-6</v>
      </c>
      <c r="AA10" s="51">
        <f t="shared" si="16"/>
        <v>1.4043014639436111</v>
      </c>
      <c r="AB10" s="21">
        <f t="shared" si="17"/>
        <v>0.71209781209781209</v>
      </c>
      <c r="AC10" s="21">
        <f t="shared" si="18"/>
        <v>12.128264032600198</v>
      </c>
      <c r="AD10" s="51">
        <f t="shared" si="19"/>
        <v>1.4043014639436111</v>
      </c>
      <c r="AE10" s="21">
        <f t="shared" si="20"/>
        <v>0.71209781209781209</v>
      </c>
      <c r="AF10" s="21">
        <f t="shared" si="21"/>
        <v>12.128264032600198</v>
      </c>
    </row>
    <row r="11" spans="1:32" x14ac:dyDescent="0.45">
      <c r="A11" s="21" t="s">
        <v>122</v>
      </c>
      <c r="B11" s="21" t="s">
        <v>123</v>
      </c>
      <c r="C11" s="21">
        <v>3500</v>
      </c>
      <c r="D11" s="22">
        <f t="shared" si="1"/>
        <v>1587.3015873015872</v>
      </c>
      <c r="E11" s="21">
        <v>4.5</v>
      </c>
      <c r="F11" s="22">
        <f t="shared" si="2"/>
        <v>2.0116227089852479</v>
      </c>
      <c r="G11" s="22">
        <f t="shared" si="3"/>
        <v>0.49711111111111117</v>
      </c>
      <c r="H11" s="21">
        <v>0.64</v>
      </c>
      <c r="I11" s="22">
        <f t="shared" si="4"/>
        <v>477.24800000000005</v>
      </c>
      <c r="J11" s="45">
        <f t="shared" si="5"/>
        <v>65.634301926100107</v>
      </c>
      <c r="K11" s="22">
        <f t="shared" si="6"/>
        <v>132.03145224293718</v>
      </c>
      <c r="L11" s="21">
        <f>70.29*3</f>
        <v>210.87</v>
      </c>
      <c r="M11" s="21">
        <f t="shared" si="7"/>
        <v>0.1328481</v>
      </c>
      <c r="N11" s="21">
        <f t="shared" si="8"/>
        <v>13.28481</v>
      </c>
      <c r="O11" s="45">
        <f t="shared" si="9"/>
        <v>8.7193923057087392</v>
      </c>
      <c r="P11" s="22">
        <f t="shared" si="10"/>
        <v>17.54012757071494</v>
      </c>
      <c r="Q11" s="22">
        <v>5500</v>
      </c>
      <c r="R11" s="22">
        <v>2.23E-2</v>
      </c>
      <c r="S11" s="22"/>
      <c r="T11" s="52">
        <f>R11*10^6/Q11</f>
        <v>4.0545454545454547</v>
      </c>
      <c r="U11" s="21">
        <f t="shared" si="12"/>
        <v>0.24663677130044842</v>
      </c>
      <c r="V11" s="21">
        <f t="shared" si="0"/>
        <v>0.4961401300187831</v>
      </c>
      <c r="W11" s="51">
        <f t="shared" si="13"/>
        <v>4.0545454545454547</v>
      </c>
      <c r="X11" s="21">
        <f t="shared" si="14"/>
        <v>0.24663677130044842</v>
      </c>
      <c r="Y11" s="21">
        <f t="shared" si="15"/>
        <v>0.4961401300187831</v>
      </c>
    </row>
    <row r="12" spans="1:32" x14ac:dyDescent="0.45">
      <c r="B12" s="21" t="s">
        <v>124</v>
      </c>
      <c r="C12" s="21">
        <v>2650</v>
      </c>
      <c r="D12" s="22">
        <f t="shared" si="1"/>
        <v>1201.8140589569161</v>
      </c>
      <c r="E12" s="21">
        <v>9</v>
      </c>
      <c r="F12" s="22">
        <f t="shared" si="2"/>
        <v>4.0232454179704957</v>
      </c>
      <c r="G12" s="22">
        <f t="shared" si="3"/>
        <v>0.24855555555555559</v>
      </c>
      <c r="H12" s="21">
        <v>0.85</v>
      </c>
      <c r="I12" s="22">
        <f t="shared" si="4"/>
        <v>633.84500000000003</v>
      </c>
      <c r="J12" s="45">
        <f t="shared" si="5"/>
        <v>74.834135170867782</v>
      </c>
      <c r="K12" s="22">
        <f t="shared" si="6"/>
        <v>301.07609143397855</v>
      </c>
      <c r="L12" s="21">
        <f>70.29*3</f>
        <v>210.87</v>
      </c>
      <c r="M12" s="21">
        <f t="shared" si="7"/>
        <v>0.17545975471698114</v>
      </c>
      <c r="N12" s="21">
        <f t="shared" si="8"/>
        <v>17.545975471698114</v>
      </c>
      <c r="O12" s="45">
        <f t="shared" si="9"/>
        <v>13.130379001537872</v>
      </c>
      <c r="P12" s="22">
        <f t="shared" si="10"/>
        <v>52.826737154153257</v>
      </c>
      <c r="Q12" s="22">
        <v>5500</v>
      </c>
      <c r="R12" s="22">
        <v>2.23E-2</v>
      </c>
      <c r="S12" s="22"/>
      <c r="T12" s="52">
        <f t="shared" ref="T12:T13" si="22">R12*10^6/Q12</f>
        <v>4.0545454545454547</v>
      </c>
      <c r="U12" s="21">
        <f t="shared" ref="U12:U13" si="23">1/T12</f>
        <v>0.24663677130044842</v>
      </c>
      <c r="V12" s="21">
        <f t="shared" ref="V12:V13" si="24">U12*F12</f>
        <v>0.9922802600375662</v>
      </c>
      <c r="W12" s="51">
        <f t="shared" si="13"/>
        <v>4.0545454545454547</v>
      </c>
      <c r="X12" s="21">
        <f t="shared" si="14"/>
        <v>0.24663677130044842</v>
      </c>
      <c r="Y12" s="21">
        <f t="shared" si="15"/>
        <v>0.9922802600375662</v>
      </c>
    </row>
    <row r="13" spans="1:32" x14ac:dyDescent="0.45">
      <c r="B13" s="21" t="s">
        <v>125</v>
      </c>
      <c r="C13" s="21">
        <v>1000</v>
      </c>
      <c r="D13" s="22">
        <f t="shared" si="1"/>
        <v>453.51473922902494</v>
      </c>
      <c r="E13" s="21">
        <v>38.5</v>
      </c>
      <c r="F13" s="22">
        <f t="shared" si="2"/>
        <v>17.210549843540456</v>
      </c>
      <c r="G13" s="22">
        <f t="shared" si="3"/>
        <v>5.8103896103896102E-2</v>
      </c>
      <c r="H13" s="21">
        <v>2</v>
      </c>
      <c r="I13" s="22">
        <f t="shared" si="4"/>
        <v>1491.4</v>
      </c>
      <c r="J13" s="45">
        <f t="shared" si="5"/>
        <v>51.340609506638323</v>
      </c>
      <c r="K13" s="22">
        <f t="shared" si="6"/>
        <v>883.60011891174577</v>
      </c>
      <c r="L13" s="21">
        <v>55.33</v>
      </c>
      <c r="M13" s="21">
        <f t="shared" si="7"/>
        <v>0.12200264999999999</v>
      </c>
      <c r="N13" s="21">
        <f t="shared" si="8"/>
        <v>12.200264999999998</v>
      </c>
      <c r="O13" s="45">
        <f t="shared" si="9"/>
        <v>6.2636904124250679</v>
      </c>
      <c r="P13" s="22">
        <f t="shared" si="10"/>
        <v>107.8015560475481</v>
      </c>
      <c r="Q13" s="22">
        <v>5500</v>
      </c>
      <c r="R13" s="22">
        <v>2.23E-2</v>
      </c>
      <c r="S13" s="22"/>
      <c r="T13" s="52">
        <f t="shared" si="22"/>
        <v>4.0545454545454547</v>
      </c>
      <c r="U13" s="21">
        <f t="shared" si="23"/>
        <v>0.24663677130044842</v>
      </c>
      <c r="V13" s="21">
        <f t="shared" si="24"/>
        <v>4.2447544457162554</v>
      </c>
      <c r="W13" s="51">
        <f t="shared" si="13"/>
        <v>4.0545454545454547</v>
      </c>
      <c r="X13" s="21">
        <f t="shared" si="14"/>
        <v>0.24663677130044842</v>
      </c>
      <c r="Y13" s="21">
        <f t="shared" si="15"/>
        <v>4.2447544457162554</v>
      </c>
    </row>
    <row r="14" spans="1:32" x14ac:dyDescent="0.45">
      <c r="O14" s="45"/>
      <c r="P14" s="22"/>
      <c r="Q14" s="22"/>
      <c r="R14" s="22"/>
      <c r="S14" s="22"/>
      <c r="T14" s="52"/>
    </row>
  </sheetData>
  <mergeCells count="5">
    <mergeCell ref="A3:B3"/>
    <mergeCell ref="C3:D3"/>
    <mergeCell ref="E3:F3"/>
    <mergeCell ref="H3:I3"/>
    <mergeCell ref="M3:N3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C8"/>
  <sheetViews>
    <sheetView workbookViewId="0">
      <selection activeCell="A5" sqref="A5"/>
    </sheetView>
  </sheetViews>
  <sheetFormatPr baseColWidth="10" defaultColWidth="8.86328125" defaultRowHeight="14.25" x14ac:dyDescent="0.45"/>
  <cols>
    <col min="1" max="1" width="31.73046875" style="21" customWidth="1"/>
    <col min="2" max="2" width="16.265625" style="21" customWidth="1"/>
    <col min="3" max="3" width="12.73046875" style="21" customWidth="1"/>
    <col min="4" max="4" width="8.86328125" style="21"/>
    <col min="5" max="5" width="10.73046875" style="21" customWidth="1"/>
    <col min="6" max="6" width="8.86328125" style="21"/>
    <col min="7" max="7" width="11" style="21" customWidth="1"/>
    <col min="8" max="8" width="8.86328125" style="51"/>
    <col min="9" max="9" width="11.265625" style="21" customWidth="1"/>
    <col min="10" max="10" width="12.73046875" style="21" customWidth="1"/>
    <col min="11" max="11" width="13.3984375" style="21" customWidth="1"/>
    <col min="12" max="12" width="11.73046875" style="21" customWidth="1"/>
    <col min="13" max="14" width="8.86328125" style="21"/>
    <col min="15" max="15" width="10.3984375" style="51" customWidth="1"/>
    <col min="16" max="16" width="10.3984375" style="21" customWidth="1"/>
    <col min="17" max="17" width="14.265625" style="21" customWidth="1"/>
    <col min="18" max="18" width="11.86328125" style="51" customWidth="1"/>
    <col min="19" max="19" width="12.265625" style="21" customWidth="1"/>
    <col min="20" max="20" width="8.86328125" style="21"/>
    <col min="21" max="21" width="12.1328125" style="51" customWidth="1"/>
    <col min="22" max="22" width="15.265625" style="21" customWidth="1"/>
    <col min="23" max="23" width="12.1328125" style="21" customWidth="1"/>
    <col min="24" max="24" width="14.265625" style="51" customWidth="1"/>
    <col min="25" max="25" width="14.73046875" style="21" customWidth="1"/>
    <col min="26" max="26" width="11.265625" style="21" customWidth="1"/>
    <col min="27" max="27" width="16.1328125" style="51" customWidth="1"/>
    <col min="28" max="28" width="16.1328125" style="21" customWidth="1"/>
    <col min="29" max="29" width="11.1328125" style="21" customWidth="1"/>
    <col min="30" max="16384" width="8.86328125" style="21"/>
  </cols>
  <sheetData>
    <row r="1" spans="1:29" ht="25.5" x14ac:dyDescent="0.75">
      <c r="A1" s="68" t="s">
        <v>316</v>
      </c>
    </row>
    <row r="3" spans="1:29" x14ac:dyDescent="0.45">
      <c r="A3" s="21" t="s">
        <v>0</v>
      </c>
      <c r="B3" s="63" t="s">
        <v>266</v>
      </c>
      <c r="C3" s="63" t="s">
        <v>267</v>
      </c>
      <c r="D3" s="63" t="s">
        <v>255</v>
      </c>
      <c r="E3" s="137" t="s">
        <v>51</v>
      </c>
      <c r="F3" s="137"/>
      <c r="G3" s="63" t="s">
        <v>22</v>
      </c>
      <c r="H3" s="107" t="s">
        <v>41</v>
      </c>
      <c r="I3" s="63" t="s">
        <v>133</v>
      </c>
      <c r="J3" s="63" t="s">
        <v>268</v>
      </c>
      <c r="K3" s="63" t="s">
        <v>269</v>
      </c>
      <c r="L3" s="63" t="s">
        <v>251</v>
      </c>
      <c r="M3" s="137" t="s">
        <v>246</v>
      </c>
      <c r="N3" s="137"/>
      <c r="O3" s="107" t="s">
        <v>248</v>
      </c>
      <c r="P3" s="63" t="s">
        <v>253</v>
      </c>
      <c r="Q3" s="63"/>
      <c r="R3" s="107" t="s">
        <v>188</v>
      </c>
      <c r="S3" s="63" t="s">
        <v>194</v>
      </c>
      <c r="T3" s="63" t="s">
        <v>151</v>
      </c>
      <c r="U3" s="107" t="s">
        <v>211</v>
      </c>
      <c r="V3" s="63" t="s">
        <v>212</v>
      </c>
      <c r="W3" s="63" t="s">
        <v>197</v>
      </c>
      <c r="X3" s="107" t="s">
        <v>200</v>
      </c>
      <c r="Y3" s="63" t="s">
        <v>232</v>
      </c>
      <c r="Z3" s="63" t="s">
        <v>234</v>
      </c>
      <c r="AA3" s="107" t="s">
        <v>201</v>
      </c>
      <c r="AB3" s="63" t="s">
        <v>233</v>
      </c>
      <c r="AC3" s="63" t="s">
        <v>235</v>
      </c>
    </row>
    <row r="4" spans="1:29" x14ac:dyDescent="0.45">
      <c r="A4" s="69"/>
      <c r="B4" s="64" t="s">
        <v>54</v>
      </c>
      <c r="C4" s="64" t="s">
        <v>54</v>
      </c>
      <c r="D4" s="64" t="s">
        <v>54</v>
      </c>
      <c r="E4" s="64" t="s">
        <v>49</v>
      </c>
      <c r="F4" s="64" t="s">
        <v>29</v>
      </c>
      <c r="G4" s="64" t="s">
        <v>30</v>
      </c>
      <c r="H4" s="109"/>
      <c r="I4" s="64" t="s">
        <v>29</v>
      </c>
      <c r="J4" s="64" t="s">
        <v>30</v>
      </c>
      <c r="K4" s="64" t="s">
        <v>30</v>
      </c>
      <c r="L4" s="64" t="s">
        <v>30</v>
      </c>
      <c r="M4" s="64"/>
      <c r="N4" s="64" t="s">
        <v>31</v>
      </c>
      <c r="O4" s="109"/>
      <c r="P4" s="64" t="s">
        <v>29</v>
      </c>
      <c r="Q4" s="64" t="s">
        <v>213</v>
      </c>
      <c r="R4" s="109" t="s">
        <v>37</v>
      </c>
      <c r="S4" s="64" t="s">
        <v>132</v>
      </c>
      <c r="T4" s="64" t="s">
        <v>152</v>
      </c>
      <c r="U4" s="109" t="s">
        <v>37</v>
      </c>
      <c r="V4" s="64" t="s">
        <v>132</v>
      </c>
      <c r="W4" s="64" t="s">
        <v>152</v>
      </c>
      <c r="X4" s="109" t="s">
        <v>166</v>
      </c>
      <c r="Y4" s="64" t="s">
        <v>231</v>
      </c>
      <c r="Z4" s="64"/>
      <c r="AA4" s="109" t="s">
        <v>166</v>
      </c>
      <c r="AB4" s="64" t="s">
        <v>231</v>
      </c>
      <c r="AC4" s="64"/>
    </row>
    <row r="5" spans="1:29" x14ac:dyDescent="0.45">
      <c r="A5" s="21" t="s">
        <v>130</v>
      </c>
      <c r="B5" s="21">
        <v>910</v>
      </c>
      <c r="C5" s="21">
        <v>187</v>
      </c>
      <c r="D5" s="21">
        <f>B5+C5</f>
        <v>1097</v>
      </c>
      <c r="E5" s="21">
        <v>1223.0999999999999</v>
      </c>
      <c r="F5" s="21">
        <v>339.75</v>
      </c>
      <c r="G5" s="21">
        <v>26000</v>
      </c>
      <c r="H5" s="52">
        <f>G5*9.81/D5</f>
        <v>232.50683682771194</v>
      </c>
      <c r="I5" s="22">
        <f>H5*F5</f>
        <v>78994.197812215134</v>
      </c>
      <c r="J5" s="21">
        <v>1400</v>
      </c>
      <c r="K5" s="21">
        <v>7500</v>
      </c>
      <c r="L5" s="21">
        <f>J5+K5</f>
        <v>8900</v>
      </c>
      <c r="M5" s="21">
        <f>L5/G5</f>
        <v>0.34230769230769231</v>
      </c>
      <c r="N5" s="21">
        <f>M5*100</f>
        <v>34.230769230769234</v>
      </c>
      <c r="O5" s="51">
        <f>M5*H5</f>
        <v>79.588878760255241</v>
      </c>
      <c r="P5" s="21">
        <f>O5*F5</f>
        <v>27040.321558796717</v>
      </c>
      <c r="Q5" s="21">
        <v>4.4000000000000004</v>
      </c>
      <c r="R5" s="51">
        <f t="shared" ref="R5:R6" si="0">Q5*3600000/(100000*100)</f>
        <v>1.5840000000000003</v>
      </c>
      <c r="S5" s="21">
        <f>1/R5</f>
        <v>0.63131313131313116</v>
      </c>
      <c r="T5" s="21">
        <f>S5*F5</f>
        <v>214.48863636363632</v>
      </c>
      <c r="U5" s="51">
        <f>R5</f>
        <v>1.5840000000000003</v>
      </c>
      <c r="V5" s="21">
        <f>1/U5</f>
        <v>0.63131313131313116</v>
      </c>
      <c r="W5" s="21">
        <f>V5*F5</f>
        <v>214.48863636363632</v>
      </c>
      <c r="X5" s="51">
        <f>3.15*0.4*U5/(43000000*10^-7)</f>
        <v>0.46414883720930239</v>
      </c>
      <c r="Y5" s="21">
        <f>1/X5</f>
        <v>2.1544813211479874</v>
      </c>
      <c r="Z5" s="21">
        <f>F5*Y5</f>
        <v>731.98502886002871</v>
      </c>
      <c r="AA5" s="51">
        <f>X5</f>
        <v>0.46414883720930239</v>
      </c>
      <c r="AB5" s="21">
        <f>1/AA5</f>
        <v>2.1544813211479874</v>
      </c>
      <c r="AC5" s="21">
        <f>F5*AB5</f>
        <v>731.98502886002871</v>
      </c>
    </row>
    <row r="6" spans="1:29" x14ac:dyDescent="0.45">
      <c r="A6" s="21" t="s">
        <v>131</v>
      </c>
      <c r="B6" s="21">
        <v>310</v>
      </c>
      <c r="C6" s="21">
        <v>140</v>
      </c>
      <c r="D6" s="21">
        <f>B6+C6</f>
        <v>450</v>
      </c>
      <c r="E6" s="21">
        <v>1223.0999999999999</v>
      </c>
      <c r="F6" s="21">
        <v>339.75</v>
      </c>
      <c r="G6" s="21">
        <v>15000</v>
      </c>
      <c r="H6" s="52">
        <f>G6*9.81/D6</f>
        <v>327</v>
      </c>
      <c r="I6" s="22">
        <f>H6*F6</f>
        <v>111098.25</v>
      </c>
      <c r="J6" s="21">
        <v>2800</v>
      </c>
      <c r="K6" s="21">
        <v>0</v>
      </c>
      <c r="L6" s="21">
        <f>J6+K6</f>
        <v>2800</v>
      </c>
      <c r="M6" s="21">
        <f>L6/G6</f>
        <v>0.18666666666666668</v>
      </c>
      <c r="N6" s="21">
        <f>M6*100</f>
        <v>18.666666666666668</v>
      </c>
      <c r="O6" s="51">
        <f>M6*H6</f>
        <v>61.040000000000006</v>
      </c>
      <c r="P6" s="21">
        <f>O6*F6</f>
        <v>20738.340000000004</v>
      </c>
      <c r="Q6" s="21">
        <v>4.4000000000000004</v>
      </c>
      <c r="R6" s="51">
        <f t="shared" si="0"/>
        <v>1.5840000000000003</v>
      </c>
      <c r="S6" s="21">
        <f>1/R6</f>
        <v>0.63131313131313116</v>
      </c>
      <c r="T6" s="21">
        <f>S6*F6</f>
        <v>214.48863636363632</v>
      </c>
      <c r="U6" s="51">
        <f>R6</f>
        <v>1.5840000000000003</v>
      </c>
      <c r="V6" s="21">
        <f>1/U6</f>
        <v>0.63131313131313116</v>
      </c>
      <c r="W6" s="21">
        <f>V6*F6</f>
        <v>214.48863636363632</v>
      </c>
      <c r="X6" s="51">
        <f>3.15*0.4*U6/(43000000*10^-7)</f>
        <v>0.46414883720930239</v>
      </c>
      <c r="Y6" s="21">
        <f>1/X6</f>
        <v>2.1544813211479874</v>
      </c>
      <c r="Z6" s="21">
        <f>F6*Y6</f>
        <v>731.98502886002871</v>
      </c>
      <c r="AA6" s="51">
        <f>X6</f>
        <v>0.46414883720930239</v>
      </c>
      <c r="AB6" s="21">
        <f>1/AA6</f>
        <v>2.1544813211479874</v>
      </c>
      <c r="AC6" s="21">
        <f>F6*AB6</f>
        <v>731.98502886002871</v>
      </c>
    </row>
    <row r="7" spans="1:29" x14ac:dyDescent="0.45">
      <c r="W7" s="21">
        <f>V7*F7</f>
        <v>0</v>
      </c>
    </row>
    <row r="8" spans="1:29" x14ac:dyDescent="0.45">
      <c r="H8" s="52"/>
      <c r="I8" s="22"/>
    </row>
  </sheetData>
  <mergeCells count="2">
    <mergeCell ref="E3:F3"/>
    <mergeCell ref="M3:N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P12"/>
  <sheetViews>
    <sheetView zoomScaleNormal="115" workbookViewId="0">
      <selection activeCell="A2" sqref="A2"/>
    </sheetView>
  </sheetViews>
  <sheetFormatPr baseColWidth="10" defaultColWidth="9.1328125" defaultRowHeight="14.25" x14ac:dyDescent="0.45"/>
  <cols>
    <col min="1" max="1" width="25.265625" customWidth="1"/>
    <col min="5" max="5" width="14.1328125" customWidth="1"/>
    <col min="6" max="6" width="12" customWidth="1"/>
    <col min="7" max="7" width="13.73046875" style="18" customWidth="1"/>
    <col min="8" max="8" width="11.265625" style="19" bestFit="1" customWidth="1"/>
    <col min="9" max="9" width="8.86328125" style="6"/>
    <col min="10" max="10" width="8.86328125" style="53"/>
    <col min="14" max="14" width="9.86328125" style="54" bestFit="1" customWidth="1"/>
    <col min="15" max="15" width="11.86328125" customWidth="1"/>
    <col min="16" max="16" width="13.59765625" style="54" customWidth="1"/>
    <col min="17" max="17" width="15.59765625" customWidth="1"/>
    <col min="19" max="19" width="15.3984375" style="53" customWidth="1"/>
    <col min="20" max="20" width="14.265625" style="56" customWidth="1"/>
    <col min="21" max="21" width="12.265625" style="56" customWidth="1"/>
    <col min="22" max="22" width="20.73046875" style="53" customWidth="1"/>
    <col min="23" max="23" width="16.265625" customWidth="1"/>
    <col min="24" max="24" width="13.59765625" customWidth="1"/>
    <col min="25" max="25" width="20.59765625" style="53" customWidth="1"/>
    <col min="26" max="26" width="22.265625" customWidth="1"/>
    <col min="27" max="27" width="11.73046875" customWidth="1"/>
    <col min="28" max="28" width="23.265625" style="53" customWidth="1"/>
    <col min="29" max="29" width="25.1328125" customWidth="1"/>
    <col min="30" max="30" width="18.73046875" customWidth="1"/>
    <col min="31" max="31" width="20.73046875" style="54" customWidth="1"/>
    <col min="32" max="32" width="18.73046875" customWidth="1"/>
    <col min="33" max="33" width="13.3984375" customWidth="1"/>
    <col min="34" max="34" width="23.265625" style="54" customWidth="1"/>
    <col min="35" max="35" width="20.73046875" customWidth="1"/>
    <col min="36" max="36" width="16.1328125" customWidth="1"/>
    <col min="37" max="37" width="22.59765625" style="54" customWidth="1"/>
    <col min="38" max="38" width="19.73046875" customWidth="1"/>
    <col min="39" max="39" width="14.265625" customWidth="1"/>
    <col min="40" max="40" width="25.3984375" style="54" customWidth="1"/>
    <col min="41" max="41" width="18.3984375" customWidth="1"/>
    <col min="42" max="42" width="11.86328125" customWidth="1"/>
  </cols>
  <sheetData>
    <row r="1" spans="1:42" ht="25.5" x14ac:dyDescent="0.75">
      <c r="A1" s="143" t="s">
        <v>317</v>
      </c>
      <c r="B1" s="143"/>
    </row>
    <row r="3" spans="1:42" x14ac:dyDescent="0.45">
      <c r="A3" t="s">
        <v>176</v>
      </c>
      <c r="B3" t="s">
        <v>179</v>
      </c>
      <c r="C3" s="87" t="s">
        <v>177</v>
      </c>
      <c r="D3" s="87" t="s">
        <v>178</v>
      </c>
      <c r="E3" s="87" t="s">
        <v>182</v>
      </c>
      <c r="F3" s="87" t="s">
        <v>185</v>
      </c>
      <c r="G3" s="110" t="s">
        <v>183</v>
      </c>
      <c r="H3" s="60" t="s">
        <v>242</v>
      </c>
      <c r="I3" s="98" t="s">
        <v>187</v>
      </c>
      <c r="J3" s="111" t="s">
        <v>41</v>
      </c>
      <c r="K3" s="87" t="s">
        <v>191</v>
      </c>
      <c r="L3" s="139" t="s">
        <v>246</v>
      </c>
      <c r="M3" s="139"/>
      <c r="N3" s="112" t="s">
        <v>283</v>
      </c>
      <c r="O3" s="87" t="s">
        <v>285</v>
      </c>
      <c r="P3" s="112" t="s">
        <v>284</v>
      </c>
      <c r="Q3" s="87" t="s">
        <v>286</v>
      </c>
      <c r="R3" s="87" t="s">
        <v>188</v>
      </c>
      <c r="S3" s="111" t="s">
        <v>273</v>
      </c>
      <c r="T3" s="87" t="s">
        <v>194</v>
      </c>
      <c r="U3" s="87" t="s">
        <v>275</v>
      </c>
      <c r="V3" s="111" t="s">
        <v>274</v>
      </c>
      <c r="W3" s="87" t="s">
        <v>194</v>
      </c>
      <c r="X3" s="87" t="s">
        <v>276</v>
      </c>
      <c r="Y3" s="111" t="s">
        <v>203</v>
      </c>
      <c r="Z3" s="87" t="s">
        <v>204</v>
      </c>
      <c r="AA3" s="87" t="s">
        <v>205</v>
      </c>
      <c r="AB3" s="111" t="s">
        <v>190</v>
      </c>
      <c r="AC3" s="87" t="s">
        <v>193</v>
      </c>
      <c r="AD3" s="87" t="s">
        <v>206</v>
      </c>
      <c r="AE3" s="112" t="s">
        <v>207</v>
      </c>
      <c r="AF3" s="87" t="s">
        <v>232</v>
      </c>
      <c r="AG3" s="87" t="s">
        <v>234</v>
      </c>
      <c r="AH3" s="112" t="s">
        <v>208</v>
      </c>
      <c r="AI3" s="87" t="s">
        <v>233</v>
      </c>
      <c r="AJ3" s="87" t="s">
        <v>235</v>
      </c>
      <c r="AK3" s="112" t="s">
        <v>209</v>
      </c>
      <c r="AL3" s="87" t="s">
        <v>232</v>
      </c>
      <c r="AM3" s="87" t="s">
        <v>234</v>
      </c>
      <c r="AN3" s="112" t="s">
        <v>210</v>
      </c>
      <c r="AO3" s="87" t="s">
        <v>233</v>
      </c>
      <c r="AP3" s="87" t="s">
        <v>235</v>
      </c>
    </row>
    <row r="4" spans="1:42" x14ac:dyDescent="0.45">
      <c r="A4" s="61"/>
      <c r="B4" s="61"/>
      <c r="C4" s="89" t="s">
        <v>22</v>
      </c>
      <c r="D4" s="89" t="s">
        <v>29</v>
      </c>
      <c r="E4" s="89" t="s">
        <v>181</v>
      </c>
      <c r="F4" s="89" t="s">
        <v>186</v>
      </c>
      <c r="G4" s="113" t="s">
        <v>184</v>
      </c>
      <c r="H4" s="62"/>
      <c r="I4" s="99"/>
      <c r="J4" s="114"/>
      <c r="K4" s="89" t="s">
        <v>29</v>
      </c>
      <c r="L4" s="89"/>
      <c r="M4" s="89" t="s">
        <v>31</v>
      </c>
      <c r="N4" s="115"/>
      <c r="O4" s="89"/>
      <c r="P4" s="115"/>
      <c r="Q4" s="89"/>
      <c r="R4" s="89" t="s">
        <v>37</v>
      </c>
      <c r="S4" s="114" t="s">
        <v>37</v>
      </c>
      <c r="T4" s="116"/>
      <c r="U4" s="116"/>
      <c r="V4" s="114" t="s">
        <v>37</v>
      </c>
      <c r="W4" s="89" t="s">
        <v>132</v>
      </c>
      <c r="X4" s="89" t="s">
        <v>152</v>
      </c>
      <c r="Y4" s="114" t="s">
        <v>37</v>
      </c>
      <c r="Z4" s="89" t="s">
        <v>132</v>
      </c>
      <c r="AA4" s="89" t="s">
        <v>152</v>
      </c>
      <c r="AB4" s="114" t="s">
        <v>37</v>
      </c>
      <c r="AC4" s="89" t="s">
        <v>132</v>
      </c>
      <c r="AD4" s="89" t="s">
        <v>152</v>
      </c>
      <c r="AE4" s="115" t="s">
        <v>166</v>
      </c>
      <c r="AF4" s="89" t="s">
        <v>231</v>
      </c>
      <c r="AG4" s="89"/>
      <c r="AH4" s="115" t="s">
        <v>166</v>
      </c>
      <c r="AI4" s="89" t="s">
        <v>231</v>
      </c>
      <c r="AJ4" s="89"/>
      <c r="AK4" s="115" t="s">
        <v>166</v>
      </c>
      <c r="AL4" s="89" t="s">
        <v>231</v>
      </c>
      <c r="AM4" s="89"/>
      <c r="AN4" s="115" t="s">
        <v>166</v>
      </c>
      <c r="AO4" s="89" t="s">
        <v>231</v>
      </c>
      <c r="AP4" s="89"/>
    </row>
    <row r="5" spans="1:42" x14ac:dyDescent="0.45">
      <c r="A5" t="s">
        <v>215</v>
      </c>
      <c r="B5" t="s">
        <v>180</v>
      </c>
      <c r="C5">
        <v>1</v>
      </c>
      <c r="D5">
        <v>2</v>
      </c>
      <c r="E5">
        <v>1</v>
      </c>
      <c r="F5">
        <v>997</v>
      </c>
      <c r="G5" s="18">
        <f>E5/F5</f>
        <v>1.0030090270812437E-3</v>
      </c>
      <c r="H5" s="19">
        <f>D5*C5/G5</f>
        <v>1994</v>
      </c>
      <c r="I5" s="6">
        <f>0.3164/(H5)^(1/4)</f>
        <v>4.7348386748159228E-2</v>
      </c>
      <c r="J5" s="53">
        <f>(2*C5*9.81)/(I5*(D5)^2)</f>
        <v>103.59381463383635</v>
      </c>
      <c r="K5">
        <f>D5*J5</f>
        <v>207.18762926767269</v>
      </c>
      <c r="L5">
        <v>1</v>
      </c>
      <c r="M5">
        <v>100</v>
      </c>
      <c r="N5" s="54">
        <f>L5*J5</f>
        <v>103.59381463383635</v>
      </c>
      <c r="O5">
        <f>N5*D5</f>
        <v>207.18762926767269</v>
      </c>
      <c r="P5" s="55">
        <f>J5*L5*0.9</f>
        <v>93.234433170452718</v>
      </c>
      <c r="Q5" s="2">
        <f>P5*D5</f>
        <v>186.46886634090544</v>
      </c>
      <c r="R5" s="56">
        <f>(0.5*(I5/C5)*(D5)^2)/0.75</f>
        <v>0.12626236466175794</v>
      </c>
      <c r="S5" s="53">
        <f>(0.5*(I5/C5)*(D5)^2)/(0.75*0.9)</f>
        <v>0.14029151629084216</v>
      </c>
      <c r="T5" s="56">
        <f>1/S5</f>
        <v>7.1280147683832338</v>
      </c>
      <c r="U5" s="56">
        <f>T5*D5</f>
        <v>14.256029536766468</v>
      </c>
      <c r="V5" s="53">
        <f>(0.5*(I5/C5)*(D5)^2)/(0.75*0.3*0.9)</f>
        <v>0.46763838763614057</v>
      </c>
      <c r="W5" s="2">
        <f>1/V5</f>
        <v>2.1384044305149699</v>
      </c>
      <c r="X5">
        <f>W5*D5</f>
        <v>4.2768088610299397</v>
      </c>
      <c r="Y5" s="53">
        <f>S5*2.1</f>
        <v>0.29461218421076857</v>
      </c>
      <c r="Z5">
        <f>1/Y5</f>
        <v>3.3942927468491586</v>
      </c>
      <c r="AA5">
        <f>Z5*D5</f>
        <v>6.7885854936983172</v>
      </c>
      <c r="AB5" s="53">
        <f>V5*1.1</f>
        <v>0.51440222639975464</v>
      </c>
      <c r="AC5">
        <f t="shared" ref="AC5:AC7" si="0">1/AB5</f>
        <v>1.9440040277408819</v>
      </c>
      <c r="AD5">
        <f>AC5*D5</f>
        <v>3.8880080554817638</v>
      </c>
      <c r="AE5" s="54">
        <f>3.15*0.4*Y5/(43*10^6*10^-7)</f>
        <v>8.6328221419899626E-2</v>
      </c>
      <c r="AF5">
        <f>1/AE5</f>
        <v>11.583697469405859</v>
      </c>
      <c r="AG5">
        <f>D5*AF5</f>
        <v>23.167394938811718</v>
      </c>
      <c r="AH5" s="54">
        <f>AE5</f>
        <v>8.6328221419899626E-2</v>
      </c>
      <c r="AI5">
        <f>1/AH5</f>
        <v>11.583697469405859</v>
      </c>
      <c r="AJ5">
        <f>D5*AI5</f>
        <v>23.167394938811718</v>
      </c>
      <c r="AK5" s="54">
        <f>3.15*1.1*AB5/(43000000*10^-7)</f>
        <v>0.41451249173840699</v>
      </c>
      <c r="AL5">
        <f>1/AK5</f>
        <v>2.4124725308184103</v>
      </c>
      <c r="AM5">
        <f>D5*AL5</f>
        <v>4.8249450616368206</v>
      </c>
      <c r="AN5" s="54">
        <f>AK5</f>
        <v>0.41451249173840699</v>
      </c>
      <c r="AO5">
        <f>1/AN5</f>
        <v>2.4124725308184103</v>
      </c>
      <c r="AP5">
        <f>D5*AO5</f>
        <v>4.8249450616368206</v>
      </c>
    </row>
    <row r="6" spans="1:42" x14ac:dyDescent="0.45">
      <c r="A6" t="s">
        <v>216</v>
      </c>
      <c r="B6" t="s">
        <v>214</v>
      </c>
      <c r="C6">
        <v>1</v>
      </c>
      <c r="D6">
        <v>2</v>
      </c>
      <c r="E6">
        <v>30</v>
      </c>
      <c r="F6">
        <v>1000</v>
      </c>
      <c r="G6" s="18">
        <f>E6/F6</f>
        <v>0.03</v>
      </c>
      <c r="H6" s="19">
        <f t="shared" ref="H6:H7" si="1">D6*C6/G6</f>
        <v>66.666666666666671</v>
      </c>
      <c r="I6" s="6">
        <f t="shared" ref="I6:I7" si="2">0.3164/(H6)^(1/4)</f>
        <v>0.11072846758640965</v>
      </c>
      <c r="J6" s="53">
        <f t="shared" ref="J6:J7" si="3">(2*C6*9.81)/(I6*(D6)^2)</f>
        <v>44.297551541316729</v>
      </c>
      <c r="K6">
        <f t="shared" ref="K6:K7" si="4">D6*J6</f>
        <v>88.595103082633457</v>
      </c>
      <c r="L6">
        <v>1</v>
      </c>
      <c r="M6">
        <v>100</v>
      </c>
      <c r="N6" s="54">
        <f t="shared" ref="N6:N7" si="5">L6*J6</f>
        <v>44.297551541316729</v>
      </c>
      <c r="O6">
        <f t="shared" ref="O6:O7" si="6">N6*D6</f>
        <v>88.595103082633457</v>
      </c>
      <c r="P6" s="55">
        <f t="shared" ref="P6:P7" si="7">J6*L6*0.9</f>
        <v>39.867796387185059</v>
      </c>
      <c r="Q6" s="2">
        <f t="shared" ref="Q6:Q7" si="8">P6*D6</f>
        <v>79.735592774370119</v>
      </c>
      <c r="R6" s="56">
        <f t="shared" ref="R6:R7" si="9">(0.5*(I6/C6)*(D6)^2)/0.75</f>
        <v>0.2952759135637591</v>
      </c>
      <c r="S6" s="53">
        <f t="shared" ref="S6:S7" si="10">(0.5*(I6/C6)*(D6)^2)/(0.75*0.9)</f>
        <v>0.32808434840417672</v>
      </c>
      <c r="T6" s="56">
        <f t="shared" ref="T6:T7" si="11">1/S6</f>
        <v>3.0479966656869308</v>
      </c>
      <c r="U6" s="56">
        <f t="shared" ref="U6:U7" si="12">T6*D6</f>
        <v>6.0959933313738617</v>
      </c>
      <c r="V6" s="53">
        <f t="shared" ref="V6:V7" si="13">(0.5*(I6/C6)*(D6)^2)/(0.75*0.3*0.9)</f>
        <v>1.0936144946805892</v>
      </c>
      <c r="W6" s="2">
        <f t="shared" ref="W6:W7" si="14">1/V6</f>
        <v>0.91439899970607907</v>
      </c>
      <c r="X6">
        <f t="shared" ref="X6:X7" si="15">W6*D6</f>
        <v>1.8287979994121581</v>
      </c>
      <c r="Y6" s="53">
        <f t="shared" ref="Y6:Y7" si="16">S6*2.1</f>
        <v>0.68897713164877117</v>
      </c>
      <c r="Z6">
        <f t="shared" ref="Z6:Z7" si="17">1/Y6</f>
        <v>1.4514269836604432</v>
      </c>
      <c r="AA6">
        <f t="shared" ref="AA6:AA7" si="18">Z6*D6</f>
        <v>2.9028539673208864</v>
      </c>
      <c r="AB6" s="53">
        <f t="shared" ref="AB6:AB7" si="19">V6*1.1</f>
        <v>1.2029759441486483</v>
      </c>
      <c r="AC6">
        <f t="shared" si="0"/>
        <v>0.83127181791461735</v>
      </c>
      <c r="AD6">
        <f t="shared" ref="AD6:AD7" si="20">AC6*D6</f>
        <v>1.6625436358292347</v>
      </c>
      <c r="AE6" s="54">
        <f t="shared" ref="AE6:AE7" si="21">3.15*0.4*Y6/(43*10^6*10^-7)</f>
        <v>0.20188632229708181</v>
      </c>
      <c r="AF6">
        <f t="shared" ref="AF6:AF7" si="22">1/AE6</f>
        <v>4.9532825632856392</v>
      </c>
      <c r="AG6">
        <f t="shared" ref="AG6:AG7" si="23">D6*AF6</f>
        <v>9.9065651265712784</v>
      </c>
      <c r="AH6" s="54">
        <f t="shared" ref="AH6:AH7" si="24">AE6</f>
        <v>0.20188632229708181</v>
      </c>
      <c r="AI6">
        <f t="shared" ref="AI6:AI7" si="25">1/AH6</f>
        <v>4.9532825632856392</v>
      </c>
      <c r="AJ6">
        <f t="shared" ref="AJ6:AJ7" si="26">D6*AI6</f>
        <v>9.9065651265712784</v>
      </c>
      <c r="AK6" s="54">
        <f t="shared" ref="AK6:AK7" si="27">3.15*1.1*AB6/(43000000*10^-7)</f>
        <v>0.96937480150582944</v>
      </c>
      <c r="AL6">
        <f t="shared" ref="AL6:AL7" si="28">1/AK6</f>
        <v>1.031592732188414</v>
      </c>
      <c r="AM6">
        <f t="shared" ref="AM6:AM7" si="29">D6*AL6</f>
        <v>2.0631854643768279</v>
      </c>
      <c r="AN6" s="54">
        <f t="shared" ref="AN6:AN7" si="30">AK6</f>
        <v>0.96937480150582944</v>
      </c>
      <c r="AO6">
        <f t="shared" ref="AO6:AO7" si="31">1/AN6</f>
        <v>1.031592732188414</v>
      </c>
      <c r="AP6">
        <f t="shared" ref="AP6:AP7" si="32">D6*AO6</f>
        <v>2.0631854643768279</v>
      </c>
    </row>
    <row r="7" spans="1:42" x14ac:dyDescent="0.45">
      <c r="A7" t="s">
        <v>217</v>
      </c>
      <c r="B7" t="s">
        <v>189</v>
      </c>
      <c r="C7">
        <v>1</v>
      </c>
      <c r="D7">
        <v>10</v>
      </c>
      <c r="G7" s="18">
        <f>13.9/10^6</f>
        <v>1.3900000000000001E-5</v>
      </c>
      <c r="H7" s="19">
        <f t="shared" si="1"/>
        <v>719424.46043165459</v>
      </c>
      <c r="I7" s="6">
        <f t="shared" si="2"/>
        <v>1.0864010455211614E-2</v>
      </c>
      <c r="J7" s="53">
        <f t="shared" si="3"/>
        <v>18.059629158942883</v>
      </c>
      <c r="K7">
        <f t="shared" si="4"/>
        <v>180.59629158942883</v>
      </c>
      <c r="L7">
        <v>1</v>
      </c>
      <c r="M7">
        <v>100</v>
      </c>
      <c r="N7" s="54">
        <f t="shared" si="5"/>
        <v>18.059629158942883</v>
      </c>
      <c r="O7">
        <f t="shared" si="6"/>
        <v>180.59629158942883</v>
      </c>
      <c r="P7" s="55">
        <f t="shared" si="7"/>
        <v>16.253666243048595</v>
      </c>
      <c r="Q7" s="2">
        <f t="shared" si="8"/>
        <v>162.53666243048596</v>
      </c>
      <c r="R7" s="56">
        <f t="shared" si="9"/>
        <v>0.72426736368077427</v>
      </c>
      <c r="S7" s="53">
        <f t="shared" si="10"/>
        <v>0.80474151520086024</v>
      </c>
      <c r="T7" s="56">
        <f t="shared" si="11"/>
        <v>1.2426350338722167</v>
      </c>
      <c r="U7" s="56">
        <f t="shared" si="12"/>
        <v>12.426350338722168</v>
      </c>
      <c r="V7" s="53">
        <f t="shared" si="13"/>
        <v>2.6824717173362012</v>
      </c>
      <c r="W7" s="2">
        <f t="shared" si="14"/>
        <v>0.37279051016166498</v>
      </c>
      <c r="X7">
        <f t="shared" si="15"/>
        <v>3.72790510161665</v>
      </c>
      <c r="Y7" s="53">
        <f t="shared" si="16"/>
        <v>1.6899571819218067</v>
      </c>
      <c r="Z7">
        <f t="shared" si="17"/>
        <v>0.59173096851057938</v>
      </c>
      <c r="AA7">
        <f t="shared" si="18"/>
        <v>5.9173096851057938</v>
      </c>
      <c r="AB7" s="53">
        <f t="shared" si="19"/>
        <v>2.9507188890698215</v>
      </c>
      <c r="AC7">
        <f t="shared" si="0"/>
        <v>0.33890046378333177</v>
      </c>
      <c r="AD7">
        <f t="shared" si="20"/>
        <v>3.3890046378333176</v>
      </c>
      <c r="AE7" s="54">
        <f t="shared" si="21"/>
        <v>0.49519675563290144</v>
      </c>
      <c r="AF7">
        <f t="shared" si="22"/>
        <v>2.0193993369805487</v>
      </c>
      <c r="AG7">
        <f t="shared" si="23"/>
        <v>20.193993369805487</v>
      </c>
      <c r="AH7" s="54">
        <f t="shared" si="24"/>
        <v>0.49519675563290144</v>
      </c>
      <c r="AI7">
        <f t="shared" si="25"/>
        <v>2.0193993369805487</v>
      </c>
      <c r="AJ7">
        <f t="shared" si="26"/>
        <v>20.193993369805487</v>
      </c>
      <c r="AK7" s="54">
        <f t="shared" si="27"/>
        <v>2.3777304536341703</v>
      </c>
      <c r="AL7">
        <f t="shared" si="28"/>
        <v>0.42056911811495712</v>
      </c>
      <c r="AM7">
        <f t="shared" si="29"/>
        <v>4.2056911811495716</v>
      </c>
      <c r="AN7" s="54">
        <f t="shared" si="30"/>
        <v>2.3777304536341703</v>
      </c>
      <c r="AO7">
        <f t="shared" si="31"/>
        <v>0.42056911811495712</v>
      </c>
      <c r="AP7">
        <f t="shared" si="32"/>
        <v>4.2056911811495716</v>
      </c>
    </row>
    <row r="9" spans="1:42" x14ac:dyDescent="0.45">
      <c r="AE9" s="55"/>
      <c r="AF9" s="2"/>
      <c r="AG9" s="2"/>
      <c r="AH9" s="55"/>
      <c r="AI9" s="2"/>
      <c r="AJ9" s="2"/>
    </row>
    <row r="10" spans="1:42" x14ac:dyDescent="0.45">
      <c r="AE10" s="55"/>
      <c r="AF10" s="2"/>
      <c r="AG10" s="2"/>
      <c r="AH10" s="55"/>
      <c r="AI10" s="2"/>
      <c r="AJ10" s="2"/>
    </row>
    <row r="11" spans="1:42" x14ac:dyDescent="0.45">
      <c r="AE11" s="55"/>
      <c r="AF11" s="2"/>
      <c r="AG11" s="2"/>
      <c r="AH11" s="55"/>
      <c r="AI11" s="2"/>
      <c r="AJ11" s="2"/>
    </row>
    <row r="12" spans="1:42" x14ac:dyDescent="0.45">
      <c r="AE12" s="55"/>
      <c r="AF12" s="2"/>
      <c r="AG12" s="2"/>
      <c r="AH12" s="55"/>
      <c r="AI12" s="2"/>
      <c r="AJ12" s="2"/>
    </row>
  </sheetData>
  <mergeCells count="2">
    <mergeCell ref="L3:M3"/>
    <mergeCell ref="A1:B1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25"/>
  <sheetViews>
    <sheetView workbookViewId="0">
      <selection activeCell="A26" sqref="A26"/>
    </sheetView>
  </sheetViews>
  <sheetFormatPr baseColWidth="10" defaultRowHeight="14.25" x14ac:dyDescent="0.45"/>
  <sheetData>
    <row r="1" spans="1:7" x14ac:dyDescent="0.45">
      <c r="A1" s="123" t="s">
        <v>323</v>
      </c>
      <c r="B1" s="124"/>
      <c r="C1" s="124"/>
      <c r="D1" s="124"/>
      <c r="E1" s="124"/>
      <c r="F1" s="124"/>
      <c r="G1" s="124"/>
    </row>
    <row r="2" spans="1:7" x14ac:dyDescent="0.45">
      <c r="A2" s="123" t="s">
        <v>320</v>
      </c>
      <c r="B2" s="124"/>
      <c r="C2" s="124"/>
      <c r="D2" s="124"/>
      <c r="E2" s="124"/>
      <c r="F2" s="124"/>
      <c r="G2" s="124"/>
    </row>
    <row r="3" spans="1:7" x14ac:dyDescent="0.45">
      <c r="A3" s="124"/>
      <c r="B3" s="124"/>
      <c r="C3" s="124"/>
      <c r="D3" s="124"/>
      <c r="E3" s="124"/>
      <c r="F3" s="124"/>
      <c r="G3" s="124"/>
    </row>
    <row r="4" spans="1:7" x14ac:dyDescent="0.45">
      <c r="A4" s="124"/>
      <c r="B4" s="124"/>
      <c r="C4" s="124"/>
      <c r="D4" s="124"/>
      <c r="E4" s="124"/>
      <c r="F4" s="124"/>
      <c r="G4" s="124"/>
    </row>
    <row r="5" spans="1:7" x14ac:dyDescent="0.45">
      <c r="A5" s="124"/>
      <c r="B5" s="124"/>
      <c r="C5" s="124"/>
      <c r="D5" s="124"/>
      <c r="E5" s="124"/>
      <c r="F5" s="124"/>
      <c r="G5" s="124"/>
    </row>
    <row r="6" spans="1:7" x14ac:dyDescent="0.45">
      <c r="A6" s="124"/>
      <c r="B6" s="124"/>
      <c r="C6" s="124"/>
      <c r="D6" s="124"/>
      <c r="E6" s="124"/>
      <c r="F6" s="124"/>
      <c r="G6" s="124"/>
    </row>
    <row r="7" spans="1:7" x14ac:dyDescent="0.45">
      <c r="A7" s="124"/>
      <c r="B7" s="124"/>
      <c r="C7" s="124"/>
      <c r="D7" s="124"/>
      <c r="E7" s="124"/>
      <c r="F7" s="124"/>
      <c r="G7" s="124"/>
    </row>
    <row r="8" spans="1:7" x14ac:dyDescent="0.45">
      <c r="A8" s="124"/>
      <c r="B8" s="124"/>
      <c r="C8" s="124"/>
      <c r="D8" s="124"/>
      <c r="E8" s="124"/>
      <c r="F8" s="124"/>
      <c r="G8" s="124"/>
    </row>
    <row r="9" spans="1:7" x14ac:dyDescent="0.45">
      <c r="A9" s="125" t="s">
        <v>334</v>
      </c>
      <c r="B9" s="124"/>
      <c r="C9" s="124"/>
      <c r="D9" s="124"/>
      <c r="E9" s="124"/>
      <c r="F9" s="124"/>
      <c r="G9" s="124"/>
    </row>
    <row r="10" spans="1:7" x14ac:dyDescent="0.45">
      <c r="A10" s="126" t="s">
        <v>335</v>
      </c>
      <c r="B10" s="124"/>
      <c r="C10" s="124"/>
      <c r="D10" s="124"/>
      <c r="E10" s="124"/>
      <c r="F10" s="124"/>
      <c r="G10" s="124"/>
    </row>
    <row r="11" spans="1:7" x14ac:dyDescent="0.45">
      <c r="A11" s="125"/>
      <c r="B11" s="124"/>
      <c r="C11" s="124"/>
      <c r="D11" s="124"/>
      <c r="E11" s="124"/>
      <c r="F11" s="124"/>
      <c r="G11" s="124"/>
    </row>
    <row r="12" spans="1:7" x14ac:dyDescent="0.45">
      <c r="A12" s="125" t="s">
        <v>324</v>
      </c>
      <c r="B12" s="124"/>
      <c r="C12" s="124"/>
      <c r="D12" s="124"/>
      <c r="E12" s="124"/>
      <c r="F12" s="124"/>
      <c r="G12" s="124"/>
    </row>
    <row r="13" spans="1:7" x14ac:dyDescent="0.45">
      <c r="A13" s="125" t="s">
        <v>325</v>
      </c>
      <c r="B13" s="124"/>
      <c r="C13" s="124"/>
      <c r="D13" s="124"/>
      <c r="E13" s="124"/>
      <c r="F13" s="124"/>
      <c r="G13" s="124"/>
    </row>
    <row r="14" spans="1:7" x14ac:dyDescent="0.45">
      <c r="A14" s="125" t="s">
        <v>326</v>
      </c>
      <c r="B14" s="124"/>
      <c r="C14" s="124"/>
      <c r="D14" s="124"/>
      <c r="E14" s="124"/>
      <c r="F14" s="124"/>
      <c r="G14" s="124"/>
    </row>
    <row r="15" spans="1:7" x14ac:dyDescent="0.45">
      <c r="A15" s="125"/>
      <c r="B15" s="124"/>
      <c r="C15" s="124"/>
      <c r="D15" s="124"/>
      <c r="E15" s="124"/>
      <c r="F15" s="124"/>
      <c r="G15" s="124"/>
    </row>
    <row r="16" spans="1:7" x14ac:dyDescent="0.45">
      <c r="A16" s="125" t="s">
        <v>327</v>
      </c>
      <c r="B16" s="124"/>
      <c r="C16" s="124"/>
      <c r="D16" s="124"/>
      <c r="E16" s="124"/>
      <c r="F16" s="124"/>
      <c r="G16" s="124"/>
    </row>
    <row r="17" spans="1:7" x14ac:dyDescent="0.45">
      <c r="A17" s="125" t="s">
        <v>328</v>
      </c>
      <c r="B17" s="124"/>
      <c r="C17" s="124"/>
      <c r="D17" s="124"/>
      <c r="E17" s="124"/>
      <c r="F17" s="124"/>
      <c r="G17" s="124"/>
    </row>
    <row r="18" spans="1:7" x14ac:dyDescent="0.45">
      <c r="A18" s="125" t="s">
        <v>329</v>
      </c>
      <c r="B18" s="124"/>
      <c r="C18" s="124"/>
      <c r="D18" s="124"/>
      <c r="E18" s="124"/>
      <c r="F18" s="124"/>
      <c r="G18" s="124"/>
    </row>
    <row r="19" spans="1:7" x14ac:dyDescent="0.45">
      <c r="A19" s="125" t="s">
        <v>330</v>
      </c>
      <c r="B19" s="124"/>
      <c r="C19" s="124"/>
      <c r="D19" s="124"/>
      <c r="E19" s="124"/>
      <c r="F19" s="124"/>
      <c r="G19" s="124"/>
    </row>
    <row r="20" spans="1:7" x14ac:dyDescent="0.45">
      <c r="A20" s="124"/>
      <c r="B20" s="124"/>
      <c r="C20" s="124"/>
      <c r="D20" s="124"/>
      <c r="E20" s="124"/>
      <c r="F20" s="124"/>
      <c r="G20" s="124"/>
    </row>
    <row r="21" spans="1:7" x14ac:dyDescent="0.45">
      <c r="A21" s="127" t="s">
        <v>331</v>
      </c>
      <c r="B21" s="124"/>
      <c r="C21" s="124"/>
      <c r="D21" s="124"/>
      <c r="E21" s="124"/>
      <c r="F21" s="124"/>
      <c r="G21" s="124"/>
    </row>
    <row r="22" spans="1:7" x14ac:dyDescent="0.45">
      <c r="A22" s="124"/>
      <c r="B22" s="124"/>
      <c r="C22" s="124"/>
      <c r="D22" s="124"/>
      <c r="E22" s="124"/>
      <c r="F22" s="124"/>
      <c r="G22" s="124"/>
    </row>
    <row r="23" spans="1:7" x14ac:dyDescent="0.45">
      <c r="A23" s="124" t="s">
        <v>332</v>
      </c>
      <c r="B23" s="124"/>
      <c r="C23" s="124"/>
      <c r="D23" s="124"/>
      <c r="E23" s="124"/>
      <c r="F23" s="124"/>
      <c r="G23" s="124"/>
    </row>
    <row r="24" spans="1:7" x14ac:dyDescent="0.45">
      <c r="A24" s="128" t="s">
        <v>333</v>
      </c>
      <c r="B24" s="124"/>
      <c r="C24" s="124"/>
      <c r="D24" s="124"/>
      <c r="E24" s="124"/>
      <c r="F24" s="124"/>
      <c r="G24" s="124"/>
    </row>
    <row r="25" spans="1:7" x14ac:dyDescent="0.45">
      <c r="A25" s="124"/>
      <c r="B25" s="124"/>
      <c r="C25" s="124"/>
      <c r="D25" s="124"/>
      <c r="E25" s="124"/>
      <c r="F25" s="124"/>
      <c r="G25" s="124"/>
    </row>
  </sheetData>
  <hyperlinks>
    <hyperlink ref="A21" r:id="rId1" xr:uid="{00000000-0004-0000-2000-000000000000}"/>
    <hyperlink ref="A24" r:id="rId2" xr:uid="{00000000-0004-0000-2000-000001000000}"/>
  </hyperlinks>
  <pageMargins left="0.7" right="0.7" top="0.78740157499999996" bottom="0.78740157499999996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>
      <selection activeCell="A2" sqref="A2"/>
    </sheetView>
  </sheetViews>
  <sheetFormatPr baseColWidth="10" defaultColWidth="9.1328125" defaultRowHeight="14.25" x14ac:dyDescent="0.45"/>
  <cols>
    <col min="1" max="1" width="32.59765625" customWidth="1"/>
    <col min="3" max="3" width="12.1328125" customWidth="1"/>
  </cols>
  <sheetData>
    <row r="1" spans="1:3" x14ac:dyDescent="0.45">
      <c r="A1" t="s">
        <v>153</v>
      </c>
      <c r="B1" t="s">
        <v>148</v>
      </c>
      <c r="C1" t="s">
        <v>147</v>
      </c>
    </row>
    <row r="2" spans="1:3" x14ac:dyDescent="0.45">
      <c r="A2" s="1">
        <v>111098.25</v>
      </c>
      <c r="B2">
        <v>1</v>
      </c>
      <c r="C2" s="2">
        <f>$A$2/B2</f>
        <v>111098.25</v>
      </c>
    </row>
    <row r="3" spans="1:3" x14ac:dyDescent="0.45">
      <c r="B3">
        <v>10</v>
      </c>
      <c r="C3" s="2">
        <f t="shared" ref="C3:C66" si="0">$A$2/B3</f>
        <v>11109.825000000001</v>
      </c>
    </row>
    <row r="4" spans="1:3" x14ac:dyDescent="0.45">
      <c r="B4">
        <v>20</v>
      </c>
      <c r="C4" s="2">
        <f t="shared" si="0"/>
        <v>5554.9125000000004</v>
      </c>
    </row>
    <row r="5" spans="1:3" x14ac:dyDescent="0.45">
      <c r="B5">
        <v>30</v>
      </c>
      <c r="C5" s="2">
        <f t="shared" si="0"/>
        <v>3703.2750000000001</v>
      </c>
    </row>
    <row r="6" spans="1:3" x14ac:dyDescent="0.45">
      <c r="B6">
        <v>40</v>
      </c>
      <c r="C6" s="2">
        <f t="shared" si="0"/>
        <v>2777.4562500000002</v>
      </c>
    </row>
    <row r="7" spans="1:3" x14ac:dyDescent="0.45">
      <c r="B7">
        <v>50</v>
      </c>
      <c r="C7" s="2">
        <f t="shared" si="0"/>
        <v>2221.9650000000001</v>
      </c>
    </row>
    <row r="8" spans="1:3" x14ac:dyDescent="0.45">
      <c r="B8">
        <v>60</v>
      </c>
      <c r="C8" s="2">
        <f t="shared" si="0"/>
        <v>1851.6375</v>
      </c>
    </row>
    <row r="9" spans="1:3" x14ac:dyDescent="0.45">
      <c r="B9">
        <v>70</v>
      </c>
      <c r="C9" s="2">
        <f t="shared" si="0"/>
        <v>1587.1178571428572</v>
      </c>
    </row>
    <row r="10" spans="1:3" x14ac:dyDescent="0.45">
      <c r="B10">
        <v>80</v>
      </c>
      <c r="C10" s="2">
        <f t="shared" si="0"/>
        <v>1388.7281250000001</v>
      </c>
    </row>
    <row r="11" spans="1:3" x14ac:dyDescent="0.45">
      <c r="B11">
        <v>90</v>
      </c>
      <c r="C11" s="2">
        <f t="shared" si="0"/>
        <v>1234.425</v>
      </c>
    </row>
    <row r="12" spans="1:3" x14ac:dyDescent="0.45">
      <c r="B12">
        <v>100</v>
      </c>
      <c r="C12" s="2">
        <f t="shared" si="0"/>
        <v>1110.9825000000001</v>
      </c>
    </row>
    <row r="13" spans="1:3" x14ac:dyDescent="0.45">
      <c r="B13">
        <v>110</v>
      </c>
      <c r="C13" s="2">
        <f t="shared" si="0"/>
        <v>1009.9840909090909</v>
      </c>
    </row>
    <row r="14" spans="1:3" x14ac:dyDescent="0.45">
      <c r="B14">
        <v>120</v>
      </c>
      <c r="C14" s="2">
        <f t="shared" si="0"/>
        <v>925.81875000000002</v>
      </c>
    </row>
    <row r="15" spans="1:3" x14ac:dyDescent="0.45">
      <c r="B15">
        <v>130</v>
      </c>
      <c r="C15" s="2">
        <f t="shared" si="0"/>
        <v>854.60192307692307</v>
      </c>
    </row>
    <row r="16" spans="1:3" x14ac:dyDescent="0.45">
      <c r="B16">
        <v>140</v>
      </c>
      <c r="C16" s="2">
        <f t="shared" si="0"/>
        <v>793.55892857142862</v>
      </c>
    </row>
    <row r="17" spans="2:3" x14ac:dyDescent="0.45">
      <c r="B17">
        <v>150</v>
      </c>
      <c r="C17" s="2">
        <f t="shared" si="0"/>
        <v>740.65499999999997</v>
      </c>
    </row>
    <row r="18" spans="2:3" x14ac:dyDescent="0.45">
      <c r="B18">
        <v>160</v>
      </c>
      <c r="C18" s="2">
        <f t="shared" si="0"/>
        <v>694.36406250000005</v>
      </c>
    </row>
    <row r="19" spans="2:3" x14ac:dyDescent="0.45">
      <c r="B19">
        <v>170</v>
      </c>
      <c r="C19" s="2">
        <f t="shared" si="0"/>
        <v>653.51911764705881</v>
      </c>
    </row>
    <row r="20" spans="2:3" x14ac:dyDescent="0.45">
      <c r="B20">
        <v>180</v>
      </c>
      <c r="C20" s="2">
        <f t="shared" si="0"/>
        <v>617.21249999999998</v>
      </c>
    </row>
    <row r="21" spans="2:3" x14ac:dyDescent="0.45">
      <c r="B21">
        <v>190</v>
      </c>
      <c r="C21" s="2">
        <f t="shared" si="0"/>
        <v>584.72763157894735</v>
      </c>
    </row>
    <row r="22" spans="2:3" x14ac:dyDescent="0.45">
      <c r="B22">
        <v>200</v>
      </c>
      <c r="C22" s="2">
        <f t="shared" si="0"/>
        <v>555.49125000000004</v>
      </c>
    </row>
    <row r="23" spans="2:3" x14ac:dyDescent="0.45">
      <c r="B23">
        <v>210</v>
      </c>
      <c r="C23" s="2">
        <f t="shared" si="0"/>
        <v>529.03928571428571</v>
      </c>
    </row>
    <row r="24" spans="2:3" x14ac:dyDescent="0.45">
      <c r="B24">
        <v>220</v>
      </c>
      <c r="C24" s="2">
        <f t="shared" si="0"/>
        <v>504.99204545454546</v>
      </c>
    </row>
    <row r="25" spans="2:3" x14ac:dyDescent="0.45">
      <c r="B25">
        <v>230</v>
      </c>
      <c r="C25" s="2">
        <f t="shared" si="0"/>
        <v>483.03586956521741</v>
      </c>
    </row>
    <row r="26" spans="2:3" x14ac:dyDescent="0.45">
      <c r="B26">
        <v>240</v>
      </c>
      <c r="C26" s="2">
        <f t="shared" si="0"/>
        <v>462.90937500000001</v>
      </c>
    </row>
    <row r="27" spans="2:3" x14ac:dyDescent="0.45">
      <c r="B27">
        <v>250</v>
      </c>
      <c r="C27" s="2">
        <f t="shared" si="0"/>
        <v>444.39299999999997</v>
      </c>
    </row>
    <row r="28" spans="2:3" x14ac:dyDescent="0.45">
      <c r="B28">
        <v>260</v>
      </c>
      <c r="C28" s="2">
        <f t="shared" si="0"/>
        <v>427.30096153846154</v>
      </c>
    </row>
    <row r="29" spans="2:3" x14ac:dyDescent="0.45">
      <c r="B29">
        <v>270</v>
      </c>
      <c r="C29" s="2">
        <f t="shared" si="0"/>
        <v>411.47500000000002</v>
      </c>
    </row>
    <row r="30" spans="2:3" x14ac:dyDescent="0.45">
      <c r="B30">
        <v>280</v>
      </c>
      <c r="C30" s="2">
        <f t="shared" si="0"/>
        <v>396.77946428571431</v>
      </c>
    </row>
    <row r="31" spans="2:3" x14ac:dyDescent="0.45">
      <c r="B31">
        <v>290</v>
      </c>
      <c r="C31" s="2">
        <f t="shared" si="0"/>
        <v>383.09741379310344</v>
      </c>
    </row>
    <row r="32" spans="2:3" x14ac:dyDescent="0.45">
      <c r="B32">
        <v>300</v>
      </c>
      <c r="C32" s="2">
        <f t="shared" si="0"/>
        <v>370.32749999999999</v>
      </c>
    </row>
    <row r="33" spans="2:3" x14ac:dyDescent="0.45">
      <c r="B33">
        <v>310</v>
      </c>
      <c r="C33" s="2">
        <f t="shared" si="0"/>
        <v>358.38145161290322</v>
      </c>
    </row>
    <row r="34" spans="2:3" x14ac:dyDescent="0.45">
      <c r="B34">
        <v>320</v>
      </c>
      <c r="C34" s="2">
        <f t="shared" si="0"/>
        <v>347.18203125000002</v>
      </c>
    </row>
    <row r="35" spans="2:3" x14ac:dyDescent="0.45">
      <c r="B35">
        <v>330</v>
      </c>
      <c r="C35" s="2">
        <f t="shared" si="0"/>
        <v>336.66136363636366</v>
      </c>
    </row>
    <row r="36" spans="2:3" x14ac:dyDescent="0.45">
      <c r="B36">
        <v>340</v>
      </c>
      <c r="C36" s="2">
        <f t="shared" si="0"/>
        <v>326.7595588235294</v>
      </c>
    </row>
    <row r="37" spans="2:3" x14ac:dyDescent="0.45">
      <c r="B37">
        <v>350</v>
      </c>
      <c r="C37" s="2">
        <f t="shared" si="0"/>
        <v>317.42357142857145</v>
      </c>
    </row>
    <row r="38" spans="2:3" x14ac:dyDescent="0.45">
      <c r="B38">
        <v>360</v>
      </c>
      <c r="C38" s="2">
        <f t="shared" si="0"/>
        <v>308.60624999999999</v>
      </c>
    </row>
    <row r="39" spans="2:3" x14ac:dyDescent="0.45">
      <c r="B39">
        <v>370</v>
      </c>
      <c r="C39" s="2">
        <f t="shared" si="0"/>
        <v>300.26554054054054</v>
      </c>
    </row>
    <row r="40" spans="2:3" x14ac:dyDescent="0.45">
      <c r="B40">
        <v>380</v>
      </c>
      <c r="C40" s="2">
        <f t="shared" si="0"/>
        <v>292.36381578947368</v>
      </c>
    </row>
    <row r="41" spans="2:3" x14ac:dyDescent="0.45">
      <c r="B41">
        <v>390</v>
      </c>
      <c r="C41" s="2">
        <f t="shared" si="0"/>
        <v>284.86730769230769</v>
      </c>
    </row>
    <row r="42" spans="2:3" x14ac:dyDescent="0.45">
      <c r="B42">
        <v>400</v>
      </c>
      <c r="C42" s="2">
        <f t="shared" si="0"/>
        <v>277.74562500000002</v>
      </c>
    </row>
    <row r="43" spans="2:3" x14ac:dyDescent="0.45">
      <c r="B43">
        <v>410</v>
      </c>
      <c r="C43" s="2">
        <f t="shared" si="0"/>
        <v>270.97134146341466</v>
      </c>
    </row>
    <row r="44" spans="2:3" x14ac:dyDescent="0.45">
      <c r="B44">
        <v>420</v>
      </c>
      <c r="C44" s="2">
        <f t="shared" si="0"/>
        <v>264.51964285714286</v>
      </c>
    </row>
    <row r="45" spans="2:3" x14ac:dyDescent="0.45">
      <c r="B45">
        <v>430</v>
      </c>
      <c r="C45" s="2">
        <f t="shared" si="0"/>
        <v>258.36802325581397</v>
      </c>
    </row>
    <row r="46" spans="2:3" x14ac:dyDescent="0.45">
      <c r="B46">
        <v>440</v>
      </c>
      <c r="C46" s="2">
        <f t="shared" si="0"/>
        <v>252.49602272727273</v>
      </c>
    </row>
    <row r="47" spans="2:3" x14ac:dyDescent="0.45">
      <c r="B47">
        <v>450</v>
      </c>
      <c r="C47" s="2">
        <f t="shared" si="0"/>
        <v>246.88499999999999</v>
      </c>
    </row>
    <row r="48" spans="2:3" x14ac:dyDescent="0.45">
      <c r="B48">
        <v>460</v>
      </c>
      <c r="C48" s="2">
        <f t="shared" si="0"/>
        <v>241.51793478260871</v>
      </c>
    </row>
    <row r="49" spans="2:3" x14ac:dyDescent="0.45">
      <c r="B49">
        <v>470</v>
      </c>
      <c r="C49" s="2">
        <f t="shared" si="0"/>
        <v>236.37925531914894</v>
      </c>
    </row>
    <row r="50" spans="2:3" x14ac:dyDescent="0.45">
      <c r="B50">
        <v>480</v>
      </c>
      <c r="C50" s="2">
        <f t="shared" si="0"/>
        <v>231.45468750000001</v>
      </c>
    </row>
    <row r="51" spans="2:3" x14ac:dyDescent="0.45">
      <c r="B51">
        <v>490</v>
      </c>
      <c r="C51" s="2">
        <f t="shared" si="0"/>
        <v>226.73112244897959</v>
      </c>
    </row>
    <row r="52" spans="2:3" x14ac:dyDescent="0.45">
      <c r="B52">
        <v>500</v>
      </c>
      <c r="C52" s="2">
        <f t="shared" si="0"/>
        <v>222.19649999999999</v>
      </c>
    </row>
    <row r="53" spans="2:3" x14ac:dyDescent="0.45">
      <c r="B53">
        <v>510</v>
      </c>
      <c r="C53" s="2">
        <f t="shared" si="0"/>
        <v>217.83970588235294</v>
      </c>
    </row>
    <row r="54" spans="2:3" x14ac:dyDescent="0.45">
      <c r="B54">
        <v>520</v>
      </c>
      <c r="C54" s="2">
        <f t="shared" si="0"/>
        <v>213.65048076923077</v>
      </c>
    </row>
    <row r="55" spans="2:3" x14ac:dyDescent="0.45">
      <c r="B55">
        <v>530</v>
      </c>
      <c r="C55" s="2">
        <f t="shared" si="0"/>
        <v>209.61933962264152</v>
      </c>
    </row>
    <row r="56" spans="2:3" x14ac:dyDescent="0.45">
      <c r="B56">
        <v>540</v>
      </c>
      <c r="C56" s="2">
        <f t="shared" si="0"/>
        <v>205.73750000000001</v>
      </c>
    </row>
    <row r="57" spans="2:3" x14ac:dyDescent="0.45">
      <c r="B57">
        <v>550</v>
      </c>
      <c r="C57" s="2">
        <f t="shared" si="0"/>
        <v>201.99681818181818</v>
      </c>
    </row>
    <row r="58" spans="2:3" x14ac:dyDescent="0.45">
      <c r="B58">
        <v>560</v>
      </c>
      <c r="C58" s="2">
        <f t="shared" si="0"/>
        <v>198.38973214285716</v>
      </c>
    </row>
    <row r="59" spans="2:3" x14ac:dyDescent="0.45">
      <c r="B59">
        <v>570</v>
      </c>
      <c r="C59" s="2">
        <f t="shared" si="0"/>
        <v>194.9092105263158</v>
      </c>
    </row>
    <row r="60" spans="2:3" x14ac:dyDescent="0.45">
      <c r="B60">
        <v>580</v>
      </c>
      <c r="C60" s="2">
        <f t="shared" si="0"/>
        <v>191.54870689655172</v>
      </c>
    </row>
    <row r="61" spans="2:3" x14ac:dyDescent="0.45">
      <c r="B61">
        <v>590</v>
      </c>
      <c r="C61" s="2">
        <f t="shared" si="0"/>
        <v>188.3021186440678</v>
      </c>
    </row>
    <row r="62" spans="2:3" x14ac:dyDescent="0.45">
      <c r="B62">
        <v>600</v>
      </c>
      <c r="C62" s="2">
        <f t="shared" si="0"/>
        <v>185.16374999999999</v>
      </c>
    </row>
    <row r="63" spans="2:3" x14ac:dyDescent="0.45">
      <c r="B63">
        <v>610</v>
      </c>
      <c r="C63" s="2">
        <f t="shared" si="0"/>
        <v>182.1282786885246</v>
      </c>
    </row>
    <row r="64" spans="2:3" x14ac:dyDescent="0.45">
      <c r="B64">
        <v>620</v>
      </c>
      <c r="C64" s="2">
        <f t="shared" si="0"/>
        <v>179.19072580645161</v>
      </c>
    </row>
    <row r="65" spans="2:3" x14ac:dyDescent="0.45">
      <c r="B65">
        <v>630</v>
      </c>
      <c r="C65" s="2">
        <f t="shared" si="0"/>
        <v>176.34642857142856</v>
      </c>
    </row>
    <row r="66" spans="2:3" x14ac:dyDescent="0.45">
      <c r="B66">
        <v>640</v>
      </c>
      <c r="C66" s="2">
        <f t="shared" si="0"/>
        <v>173.59101562500001</v>
      </c>
    </row>
    <row r="67" spans="2:3" x14ac:dyDescent="0.45">
      <c r="B67">
        <v>650</v>
      </c>
      <c r="C67" s="2">
        <f t="shared" ref="C67:C130" si="1">$A$2/B67</f>
        <v>170.92038461538462</v>
      </c>
    </row>
    <row r="68" spans="2:3" x14ac:dyDescent="0.45">
      <c r="B68">
        <v>660</v>
      </c>
      <c r="C68" s="2">
        <f t="shared" si="1"/>
        <v>168.33068181818183</v>
      </c>
    </row>
    <row r="69" spans="2:3" x14ac:dyDescent="0.45">
      <c r="B69">
        <v>670</v>
      </c>
      <c r="C69" s="2">
        <f t="shared" si="1"/>
        <v>165.81828358208955</v>
      </c>
    </row>
    <row r="70" spans="2:3" x14ac:dyDescent="0.45">
      <c r="B70">
        <v>680</v>
      </c>
      <c r="C70" s="2">
        <f t="shared" si="1"/>
        <v>163.3797794117647</v>
      </c>
    </row>
    <row r="71" spans="2:3" x14ac:dyDescent="0.45">
      <c r="B71">
        <v>690</v>
      </c>
      <c r="C71" s="2">
        <f t="shared" si="1"/>
        <v>161.01195652173914</v>
      </c>
    </row>
    <row r="72" spans="2:3" x14ac:dyDescent="0.45">
      <c r="B72">
        <v>700</v>
      </c>
      <c r="C72" s="2">
        <f t="shared" si="1"/>
        <v>158.71178571428572</v>
      </c>
    </row>
    <row r="73" spans="2:3" x14ac:dyDescent="0.45">
      <c r="B73">
        <v>710</v>
      </c>
      <c r="C73" s="2">
        <f t="shared" si="1"/>
        <v>156.47640845070421</v>
      </c>
    </row>
    <row r="74" spans="2:3" x14ac:dyDescent="0.45">
      <c r="B74">
        <v>720</v>
      </c>
      <c r="C74" s="2">
        <f t="shared" si="1"/>
        <v>154.30312499999999</v>
      </c>
    </row>
    <row r="75" spans="2:3" x14ac:dyDescent="0.45">
      <c r="B75">
        <v>730</v>
      </c>
      <c r="C75" s="2">
        <f t="shared" si="1"/>
        <v>152.18938356164384</v>
      </c>
    </row>
    <row r="76" spans="2:3" x14ac:dyDescent="0.45">
      <c r="B76">
        <v>740</v>
      </c>
      <c r="C76" s="2">
        <f t="shared" si="1"/>
        <v>150.13277027027027</v>
      </c>
    </row>
    <row r="77" spans="2:3" x14ac:dyDescent="0.45">
      <c r="B77">
        <v>750</v>
      </c>
      <c r="C77" s="2">
        <f t="shared" si="1"/>
        <v>148.131</v>
      </c>
    </row>
    <row r="78" spans="2:3" x14ac:dyDescent="0.45">
      <c r="B78">
        <v>760</v>
      </c>
      <c r="C78" s="2">
        <f t="shared" si="1"/>
        <v>146.18190789473684</v>
      </c>
    </row>
    <row r="79" spans="2:3" x14ac:dyDescent="0.45">
      <c r="B79">
        <v>770</v>
      </c>
      <c r="C79" s="2">
        <f t="shared" si="1"/>
        <v>144.28344155844155</v>
      </c>
    </row>
    <row r="80" spans="2:3" x14ac:dyDescent="0.45">
      <c r="B80">
        <v>780</v>
      </c>
      <c r="C80" s="2">
        <f t="shared" si="1"/>
        <v>142.43365384615385</v>
      </c>
    </row>
    <row r="81" spans="2:3" x14ac:dyDescent="0.45">
      <c r="B81">
        <v>790</v>
      </c>
      <c r="C81" s="2">
        <f t="shared" si="1"/>
        <v>140.63069620253165</v>
      </c>
    </row>
    <row r="82" spans="2:3" x14ac:dyDescent="0.45">
      <c r="B82">
        <v>800</v>
      </c>
      <c r="C82" s="2">
        <f t="shared" si="1"/>
        <v>138.87281250000001</v>
      </c>
    </row>
    <row r="83" spans="2:3" x14ac:dyDescent="0.45">
      <c r="B83">
        <v>810</v>
      </c>
      <c r="C83" s="2">
        <f t="shared" si="1"/>
        <v>137.15833333333333</v>
      </c>
    </row>
    <row r="84" spans="2:3" x14ac:dyDescent="0.45">
      <c r="B84">
        <v>820</v>
      </c>
      <c r="C84" s="2">
        <f t="shared" si="1"/>
        <v>135.48567073170733</v>
      </c>
    </row>
    <row r="85" spans="2:3" x14ac:dyDescent="0.45">
      <c r="B85">
        <v>830</v>
      </c>
      <c r="C85" s="2">
        <f t="shared" si="1"/>
        <v>133.85331325301206</v>
      </c>
    </row>
    <row r="86" spans="2:3" x14ac:dyDescent="0.45">
      <c r="B86">
        <v>840</v>
      </c>
      <c r="C86" s="2">
        <f t="shared" si="1"/>
        <v>132.25982142857143</v>
      </c>
    </row>
    <row r="87" spans="2:3" x14ac:dyDescent="0.45">
      <c r="B87">
        <v>850</v>
      </c>
      <c r="C87" s="2">
        <f t="shared" si="1"/>
        <v>130.70382352941178</v>
      </c>
    </row>
    <row r="88" spans="2:3" x14ac:dyDescent="0.45">
      <c r="B88">
        <v>860</v>
      </c>
      <c r="C88" s="2">
        <f t="shared" si="1"/>
        <v>129.18401162790698</v>
      </c>
    </row>
    <row r="89" spans="2:3" x14ac:dyDescent="0.45">
      <c r="B89">
        <v>870</v>
      </c>
      <c r="C89" s="2">
        <f t="shared" si="1"/>
        <v>127.69913793103449</v>
      </c>
    </row>
    <row r="90" spans="2:3" x14ac:dyDescent="0.45">
      <c r="B90">
        <v>880</v>
      </c>
      <c r="C90" s="2">
        <f t="shared" si="1"/>
        <v>126.24801136363637</v>
      </c>
    </row>
    <row r="91" spans="2:3" x14ac:dyDescent="0.45">
      <c r="B91">
        <v>890</v>
      </c>
      <c r="C91" s="2">
        <f t="shared" si="1"/>
        <v>124.82949438202247</v>
      </c>
    </row>
    <row r="92" spans="2:3" x14ac:dyDescent="0.45">
      <c r="B92">
        <v>900</v>
      </c>
      <c r="C92" s="2">
        <f t="shared" si="1"/>
        <v>123.4425</v>
      </c>
    </row>
    <row r="93" spans="2:3" x14ac:dyDescent="0.45">
      <c r="B93">
        <v>910</v>
      </c>
      <c r="C93" s="2">
        <f t="shared" si="1"/>
        <v>122.08598901098901</v>
      </c>
    </row>
    <row r="94" spans="2:3" x14ac:dyDescent="0.45">
      <c r="B94">
        <v>920</v>
      </c>
      <c r="C94" s="2">
        <f t="shared" si="1"/>
        <v>120.75896739130435</v>
      </c>
    </row>
    <row r="95" spans="2:3" x14ac:dyDescent="0.45">
      <c r="B95">
        <v>930</v>
      </c>
      <c r="C95" s="2">
        <f t="shared" si="1"/>
        <v>119.46048387096774</v>
      </c>
    </row>
    <row r="96" spans="2:3" x14ac:dyDescent="0.45">
      <c r="B96">
        <v>940</v>
      </c>
      <c r="C96" s="2">
        <f t="shared" si="1"/>
        <v>118.18962765957447</v>
      </c>
    </row>
    <row r="97" spans="2:3" x14ac:dyDescent="0.45">
      <c r="B97">
        <v>950</v>
      </c>
      <c r="C97" s="2">
        <f t="shared" si="1"/>
        <v>116.94552631578948</v>
      </c>
    </row>
    <row r="98" spans="2:3" x14ac:dyDescent="0.45">
      <c r="B98">
        <v>960</v>
      </c>
      <c r="C98" s="2">
        <f t="shared" si="1"/>
        <v>115.72734375</v>
      </c>
    </row>
    <row r="99" spans="2:3" x14ac:dyDescent="0.45">
      <c r="B99">
        <v>970</v>
      </c>
      <c r="C99" s="2">
        <f t="shared" si="1"/>
        <v>114.53427835051546</v>
      </c>
    </row>
    <row r="100" spans="2:3" x14ac:dyDescent="0.45">
      <c r="B100">
        <v>980</v>
      </c>
      <c r="C100" s="2">
        <f t="shared" si="1"/>
        <v>113.3655612244898</v>
      </c>
    </row>
    <row r="101" spans="2:3" x14ac:dyDescent="0.45">
      <c r="B101">
        <v>990</v>
      </c>
      <c r="C101" s="2">
        <f t="shared" si="1"/>
        <v>112.22045454545454</v>
      </c>
    </row>
    <row r="102" spans="2:3" x14ac:dyDescent="0.45">
      <c r="B102">
        <v>1000</v>
      </c>
      <c r="C102" s="2">
        <f t="shared" si="1"/>
        <v>111.09824999999999</v>
      </c>
    </row>
    <row r="103" spans="2:3" x14ac:dyDescent="0.45">
      <c r="B103">
        <v>1010</v>
      </c>
      <c r="C103" s="2">
        <f t="shared" si="1"/>
        <v>109.99826732673267</v>
      </c>
    </row>
    <row r="104" spans="2:3" x14ac:dyDescent="0.45">
      <c r="B104">
        <v>1020</v>
      </c>
      <c r="C104" s="2">
        <f t="shared" si="1"/>
        <v>108.91985294117647</v>
      </c>
    </row>
    <row r="105" spans="2:3" x14ac:dyDescent="0.45">
      <c r="B105">
        <v>1030</v>
      </c>
      <c r="C105" s="2">
        <f t="shared" si="1"/>
        <v>107.8623786407767</v>
      </c>
    </row>
    <row r="106" spans="2:3" x14ac:dyDescent="0.45">
      <c r="B106">
        <v>1040</v>
      </c>
      <c r="C106" s="2">
        <f t="shared" si="1"/>
        <v>106.82524038461538</v>
      </c>
    </row>
    <row r="107" spans="2:3" x14ac:dyDescent="0.45">
      <c r="B107">
        <v>1050</v>
      </c>
      <c r="C107" s="2">
        <f t="shared" si="1"/>
        <v>105.80785714285715</v>
      </c>
    </row>
    <row r="108" spans="2:3" x14ac:dyDescent="0.45">
      <c r="B108">
        <v>1060</v>
      </c>
      <c r="C108" s="2">
        <f t="shared" si="1"/>
        <v>104.80966981132076</v>
      </c>
    </row>
    <row r="109" spans="2:3" x14ac:dyDescent="0.45">
      <c r="B109">
        <v>1070</v>
      </c>
      <c r="C109" s="2">
        <f t="shared" si="1"/>
        <v>103.83014018691588</v>
      </c>
    </row>
    <row r="110" spans="2:3" x14ac:dyDescent="0.45">
      <c r="B110">
        <v>1080</v>
      </c>
      <c r="C110" s="2">
        <f t="shared" si="1"/>
        <v>102.86875000000001</v>
      </c>
    </row>
    <row r="111" spans="2:3" x14ac:dyDescent="0.45">
      <c r="B111">
        <v>1090</v>
      </c>
      <c r="C111" s="2">
        <f t="shared" si="1"/>
        <v>101.925</v>
      </c>
    </row>
    <row r="112" spans="2:3" x14ac:dyDescent="0.45">
      <c r="B112">
        <v>1100</v>
      </c>
      <c r="C112" s="2">
        <f t="shared" si="1"/>
        <v>100.99840909090909</v>
      </c>
    </row>
    <row r="113" spans="2:3" x14ac:dyDescent="0.45">
      <c r="B113">
        <v>1110</v>
      </c>
      <c r="C113" s="2">
        <f t="shared" si="1"/>
        <v>100.08851351351352</v>
      </c>
    </row>
    <row r="114" spans="2:3" x14ac:dyDescent="0.45">
      <c r="B114">
        <v>1120</v>
      </c>
      <c r="C114" s="2">
        <f t="shared" si="1"/>
        <v>99.194866071428578</v>
      </c>
    </row>
    <row r="115" spans="2:3" x14ac:dyDescent="0.45">
      <c r="B115">
        <v>1130</v>
      </c>
      <c r="C115" s="2">
        <f t="shared" si="1"/>
        <v>98.31703539823009</v>
      </c>
    </row>
    <row r="116" spans="2:3" x14ac:dyDescent="0.45">
      <c r="B116">
        <v>1140</v>
      </c>
      <c r="C116" s="2">
        <f t="shared" si="1"/>
        <v>97.454605263157902</v>
      </c>
    </row>
    <row r="117" spans="2:3" x14ac:dyDescent="0.45">
      <c r="B117">
        <v>1150</v>
      </c>
      <c r="C117" s="2">
        <f t="shared" si="1"/>
        <v>96.607173913043482</v>
      </c>
    </row>
    <row r="118" spans="2:3" x14ac:dyDescent="0.45">
      <c r="B118">
        <v>1160</v>
      </c>
      <c r="C118" s="2">
        <f t="shared" si="1"/>
        <v>95.774353448275861</v>
      </c>
    </row>
    <row r="119" spans="2:3" x14ac:dyDescent="0.45">
      <c r="B119">
        <v>1170</v>
      </c>
      <c r="C119" s="2">
        <f t="shared" si="1"/>
        <v>94.955769230769235</v>
      </c>
    </row>
    <row r="120" spans="2:3" x14ac:dyDescent="0.45">
      <c r="B120">
        <v>1180</v>
      </c>
      <c r="C120" s="2">
        <f t="shared" si="1"/>
        <v>94.151059322033902</v>
      </c>
    </row>
    <row r="121" spans="2:3" x14ac:dyDescent="0.45">
      <c r="B121">
        <v>1190</v>
      </c>
      <c r="C121" s="2">
        <f t="shared" si="1"/>
        <v>93.359873949579836</v>
      </c>
    </row>
    <row r="122" spans="2:3" x14ac:dyDescent="0.45">
      <c r="B122">
        <v>1200</v>
      </c>
      <c r="C122" s="2">
        <f t="shared" si="1"/>
        <v>92.581874999999997</v>
      </c>
    </row>
    <row r="123" spans="2:3" x14ac:dyDescent="0.45">
      <c r="B123">
        <v>1210</v>
      </c>
      <c r="C123" s="2">
        <f t="shared" si="1"/>
        <v>91.816735537190084</v>
      </c>
    </row>
    <row r="124" spans="2:3" x14ac:dyDescent="0.45">
      <c r="B124">
        <v>1220</v>
      </c>
      <c r="C124" s="2">
        <f t="shared" si="1"/>
        <v>91.064139344262301</v>
      </c>
    </row>
    <row r="125" spans="2:3" x14ac:dyDescent="0.45">
      <c r="B125">
        <v>1230</v>
      </c>
      <c r="C125" s="2">
        <f t="shared" si="1"/>
        <v>90.323780487804882</v>
      </c>
    </row>
    <row r="126" spans="2:3" x14ac:dyDescent="0.45">
      <c r="B126">
        <v>1240</v>
      </c>
      <c r="C126" s="2">
        <f t="shared" si="1"/>
        <v>89.595362903225805</v>
      </c>
    </row>
    <row r="127" spans="2:3" x14ac:dyDescent="0.45">
      <c r="B127">
        <v>1250</v>
      </c>
      <c r="C127" s="2">
        <f t="shared" si="1"/>
        <v>88.878600000000006</v>
      </c>
    </row>
    <row r="128" spans="2:3" x14ac:dyDescent="0.45">
      <c r="B128">
        <v>1260</v>
      </c>
      <c r="C128" s="2">
        <f t="shared" si="1"/>
        <v>88.17321428571428</v>
      </c>
    </row>
    <row r="129" spans="2:3" x14ac:dyDescent="0.45">
      <c r="B129">
        <v>1270</v>
      </c>
      <c r="C129" s="2">
        <f t="shared" si="1"/>
        <v>87.478937007874009</v>
      </c>
    </row>
    <row r="130" spans="2:3" x14ac:dyDescent="0.45">
      <c r="B130">
        <v>1280</v>
      </c>
      <c r="C130" s="2">
        <f t="shared" si="1"/>
        <v>86.795507812500006</v>
      </c>
    </row>
    <row r="131" spans="2:3" x14ac:dyDescent="0.45">
      <c r="B131">
        <v>1290</v>
      </c>
      <c r="C131" s="2">
        <f t="shared" ref="C131:C194" si="2">$A$2/B131</f>
        <v>86.122674418604646</v>
      </c>
    </row>
    <row r="132" spans="2:3" x14ac:dyDescent="0.45">
      <c r="B132">
        <v>1300</v>
      </c>
      <c r="C132" s="2">
        <f t="shared" si="2"/>
        <v>85.46019230769231</v>
      </c>
    </row>
    <row r="133" spans="2:3" x14ac:dyDescent="0.45">
      <c r="B133">
        <v>1310</v>
      </c>
      <c r="C133" s="2">
        <f t="shared" si="2"/>
        <v>84.807824427480909</v>
      </c>
    </row>
    <row r="134" spans="2:3" x14ac:dyDescent="0.45">
      <c r="B134">
        <v>1320</v>
      </c>
      <c r="C134" s="2">
        <f t="shared" si="2"/>
        <v>84.165340909090915</v>
      </c>
    </row>
    <row r="135" spans="2:3" x14ac:dyDescent="0.45">
      <c r="B135">
        <v>1330</v>
      </c>
      <c r="C135" s="2">
        <f t="shared" si="2"/>
        <v>83.532518796992477</v>
      </c>
    </row>
    <row r="136" spans="2:3" x14ac:dyDescent="0.45">
      <c r="B136">
        <v>1340</v>
      </c>
      <c r="C136" s="2">
        <f t="shared" si="2"/>
        <v>82.909141791044775</v>
      </c>
    </row>
    <row r="137" spans="2:3" x14ac:dyDescent="0.45">
      <c r="B137">
        <v>1350</v>
      </c>
      <c r="C137" s="2">
        <f t="shared" si="2"/>
        <v>82.295000000000002</v>
      </c>
    </row>
    <row r="138" spans="2:3" x14ac:dyDescent="0.45">
      <c r="B138">
        <v>1360</v>
      </c>
      <c r="C138" s="2">
        <f t="shared" si="2"/>
        <v>81.689889705882351</v>
      </c>
    </row>
    <row r="139" spans="2:3" x14ac:dyDescent="0.45">
      <c r="B139">
        <v>1370</v>
      </c>
      <c r="C139" s="2">
        <f t="shared" si="2"/>
        <v>81.093613138686138</v>
      </c>
    </row>
    <row r="140" spans="2:3" x14ac:dyDescent="0.45">
      <c r="B140">
        <v>1380</v>
      </c>
      <c r="C140" s="2">
        <f t="shared" si="2"/>
        <v>80.505978260869568</v>
      </c>
    </row>
    <row r="141" spans="2:3" x14ac:dyDescent="0.45">
      <c r="B141">
        <v>1390</v>
      </c>
      <c r="C141" s="2">
        <f t="shared" si="2"/>
        <v>79.926798561151074</v>
      </c>
    </row>
    <row r="142" spans="2:3" x14ac:dyDescent="0.45">
      <c r="B142">
        <v>1400</v>
      </c>
      <c r="C142" s="2">
        <f t="shared" si="2"/>
        <v>79.355892857142862</v>
      </c>
    </row>
    <row r="143" spans="2:3" x14ac:dyDescent="0.45">
      <c r="B143">
        <v>1410</v>
      </c>
      <c r="C143" s="2">
        <f t="shared" si="2"/>
        <v>78.793085106382975</v>
      </c>
    </row>
    <row r="144" spans="2:3" x14ac:dyDescent="0.45">
      <c r="B144">
        <v>1420</v>
      </c>
      <c r="C144" s="2">
        <f t="shared" si="2"/>
        <v>78.238204225352106</v>
      </c>
    </row>
    <row r="145" spans="2:3" x14ac:dyDescent="0.45">
      <c r="B145">
        <v>1430</v>
      </c>
      <c r="C145" s="2">
        <f t="shared" si="2"/>
        <v>77.691083916083912</v>
      </c>
    </row>
    <row r="146" spans="2:3" x14ac:dyDescent="0.45">
      <c r="B146">
        <v>1440</v>
      </c>
      <c r="C146" s="2">
        <f t="shared" si="2"/>
        <v>77.151562499999997</v>
      </c>
    </row>
    <row r="147" spans="2:3" x14ac:dyDescent="0.45">
      <c r="B147">
        <v>1450</v>
      </c>
      <c r="C147" s="2">
        <f t="shared" si="2"/>
        <v>76.619482758620691</v>
      </c>
    </row>
    <row r="148" spans="2:3" x14ac:dyDescent="0.45">
      <c r="B148">
        <v>1460</v>
      </c>
      <c r="C148" s="2">
        <f t="shared" si="2"/>
        <v>76.094691780821918</v>
      </c>
    </row>
    <row r="149" spans="2:3" x14ac:dyDescent="0.45">
      <c r="B149">
        <v>1470</v>
      </c>
      <c r="C149" s="2">
        <f t="shared" si="2"/>
        <v>75.57704081632653</v>
      </c>
    </row>
    <row r="150" spans="2:3" x14ac:dyDescent="0.45">
      <c r="B150">
        <v>1480</v>
      </c>
      <c r="C150" s="2">
        <f t="shared" si="2"/>
        <v>75.066385135135135</v>
      </c>
    </row>
    <row r="151" spans="2:3" x14ac:dyDescent="0.45">
      <c r="B151">
        <v>1490</v>
      </c>
      <c r="C151" s="2">
        <f t="shared" si="2"/>
        <v>74.562583892617454</v>
      </c>
    </row>
    <row r="152" spans="2:3" x14ac:dyDescent="0.45">
      <c r="B152">
        <v>1500</v>
      </c>
      <c r="C152" s="2">
        <f t="shared" si="2"/>
        <v>74.0655</v>
      </c>
    </row>
    <row r="153" spans="2:3" x14ac:dyDescent="0.45">
      <c r="B153">
        <v>1510</v>
      </c>
      <c r="C153" s="2">
        <f t="shared" si="2"/>
        <v>73.575000000000003</v>
      </c>
    </row>
    <row r="154" spans="2:3" x14ac:dyDescent="0.45">
      <c r="B154">
        <v>1520</v>
      </c>
      <c r="C154" s="2">
        <f t="shared" si="2"/>
        <v>73.090953947368419</v>
      </c>
    </row>
    <row r="155" spans="2:3" x14ac:dyDescent="0.45">
      <c r="B155">
        <v>1530</v>
      </c>
      <c r="C155" s="2">
        <f t="shared" si="2"/>
        <v>72.613235294117644</v>
      </c>
    </row>
    <row r="156" spans="2:3" x14ac:dyDescent="0.45">
      <c r="B156">
        <v>1540</v>
      </c>
      <c r="C156" s="2">
        <f t="shared" si="2"/>
        <v>72.141720779220776</v>
      </c>
    </row>
    <row r="157" spans="2:3" x14ac:dyDescent="0.45">
      <c r="B157">
        <v>1550</v>
      </c>
      <c r="C157" s="2">
        <f t="shared" si="2"/>
        <v>71.676290322580641</v>
      </c>
    </row>
    <row r="158" spans="2:3" x14ac:dyDescent="0.45">
      <c r="B158">
        <v>1560</v>
      </c>
      <c r="C158" s="2">
        <f t="shared" si="2"/>
        <v>71.216826923076923</v>
      </c>
    </row>
    <row r="159" spans="2:3" x14ac:dyDescent="0.45">
      <c r="B159">
        <v>1570</v>
      </c>
      <c r="C159" s="2">
        <f t="shared" si="2"/>
        <v>70.763216560509548</v>
      </c>
    </row>
    <row r="160" spans="2:3" x14ac:dyDescent="0.45">
      <c r="B160">
        <v>1580</v>
      </c>
      <c r="C160" s="2">
        <f t="shared" si="2"/>
        <v>70.315348101265826</v>
      </c>
    </row>
    <row r="161" spans="2:3" x14ac:dyDescent="0.45">
      <c r="B161">
        <v>1590</v>
      </c>
      <c r="C161" s="2">
        <f t="shared" si="2"/>
        <v>69.873113207547163</v>
      </c>
    </row>
    <row r="162" spans="2:3" x14ac:dyDescent="0.45">
      <c r="B162">
        <v>1600</v>
      </c>
      <c r="C162" s="2">
        <f t="shared" si="2"/>
        <v>69.436406250000005</v>
      </c>
    </row>
    <row r="163" spans="2:3" x14ac:dyDescent="0.45">
      <c r="B163">
        <v>1610</v>
      </c>
      <c r="C163" s="2">
        <f t="shared" si="2"/>
        <v>69.005124223602479</v>
      </c>
    </row>
    <row r="164" spans="2:3" x14ac:dyDescent="0.45">
      <c r="B164">
        <v>1620</v>
      </c>
      <c r="C164" s="2">
        <f t="shared" si="2"/>
        <v>68.579166666666666</v>
      </c>
    </row>
    <row r="165" spans="2:3" x14ac:dyDescent="0.45">
      <c r="B165">
        <v>1630</v>
      </c>
      <c r="C165" s="2">
        <f t="shared" si="2"/>
        <v>68.158435582822079</v>
      </c>
    </row>
    <row r="166" spans="2:3" x14ac:dyDescent="0.45">
      <c r="B166">
        <v>1640</v>
      </c>
      <c r="C166" s="2">
        <f t="shared" si="2"/>
        <v>67.742835365853665</v>
      </c>
    </row>
    <row r="167" spans="2:3" x14ac:dyDescent="0.45">
      <c r="B167">
        <v>1650</v>
      </c>
      <c r="C167" s="2">
        <f t="shared" si="2"/>
        <v>67.332272727272724</v>
      </c>
    </row>
    <row r="168" spans="2:3" x14ac:dyDescent="0.45">
      <c r="B168">
        <v>1660</v>
      </c>
      <c r="C168" s="2">
        <f t="shared" si="2"/>
        <v>66.926656626506031</v>
      </c>
    </row>
    <row r="169" spans="2:3" x14ac:dyDescent="0.45">
      <c r="B169">
        <v>1670</v>
      </c>
      <c r="C169" s="2">
        <f t="shared" si="2"/>
        <v>66.525898203592817</v>
      </c>
    </row>
    <row r="170" spans="2:3" x14ac:dyDescent="0.45">
      <c r="B170">
        <v>1680</v>
      </c>
      <c r="C170" s="2">
        <f t="shared" si="2"/>
        <v>66.129910714285714</v>
      </c>
    </row>
    <row r="171" spans="2:3" x14ac:dyDescent="0.45">
      <c r="B171">
        <v>1690</v>
      </c>
      <c r="C171" s="2">
        <f t="shared" si="2"/>
        <v>65.738609467455618</v>
      </c>
    </row>
    <row r="172" spans="2:3" x14ac:dyDescent="0.45">
      <c r="B172">
        <v>1700</v>
      </c>
      <c r="C172" s="2">
        <f t="shared" si="2"/>
        <v>65.351911764705889</v>
      </c>
    </row>
    <row r="173" spans="2:3" x14ac:dyDescent="0.45">
      <c r="B173">
        <v>1710</v>
      </c>
      <c r="C173" s="2">
        <f t="shared" si="2"/>
        <v>64.969736842105263</v>
      </c>
    </row>
    <row r="174" spans="2:3" x14ac:dyDescent="0.45">
      <c r="B174">
        <v>1720</v>
      </c>
      <c r="C174" s="2">
        <f t="shared" si="2"/>
        <v>64.592005813953492</v>
      </c>
    </row>
    <row r="175" spans="2:3" x14ac:dyDescent="0.45">
      <c r="B175">
        <v>1730</v>
      </c>
      <c r="C175" s="2">
        <f t="shared" si="2"/>
        <v>64.218641618497116</v>
      </c>
    </row>
    <row r="176" spans="2:3" x14ac:dyDescent="0.45">
      <c r="B176">
        <v>1740</v>
      </c>
      <c r="C176" s="2">
        <f t="shared" si="2"/>
        <v>63.849568965517243</v>
      </c>
    </row>
    <row r="177" spans="2:3" x14ac:dyDescent="0.45">
      <c r="B177">
        <v>1750</v>
      </c>
      <c r="C177" s="2">
        <f t="shared" si="2"/>
        <v>63.484714285714283</v>
      </c>
    </row>
    <row r="178" spans="2:3" x14ac:dyDescent="0.45">
      <c r="B178">
        <v>1760</v>
      </c>
      <c r="C178" s="2">
        <f t="shared" si="2"/>
        <v>63.124005681818183</v>
      </c>
    </row>
    <row r="179" spans="2:3" x14ac:dyDescent="0.45">
      <c r="B179">
        <v>1770</v>
      </c>
      <c r="C179" s="2">
        <f t="shared" si="2"/>
        <v>62.767372881355932</v>
      </c>
    </row>
    <row r="180" spans="2:3" x14ac:dyDescent="0.45">
      <c r="B180">
        <v>1780</v>
      </c>
      <c r="C180" s="2">
        <f t="shared" si="2"/>
        <v>62.414747191011237</v>
      </c>
    </row>
    <row r="181" spans="2:3" x14ac:dyDescent="0.45">
      <c r="B181">
        <v>1790</v>
      </c>
      <c r="C181" s="2">
        <f t="shared" si="2"/>
        <v>62.066061452513964</v>
      </c>
    </row>
    <row r="182" spans="2:3" x14ac:dyDescent="0.45">
      <c r="B182">
        <v>1800</v>
      </c>
      <c r="C182" s="2">
        <f t="shared" si="2"/>
        <v>61.721249999999998</v>
      </c>
    </row>
    <row r="183" spans="2:3" x14ac:dyDescent="0.45">
      <c r="B183">
        <v>1810</v>
      </c>
      <c r="C183" s="2">
        <f t="shared" si="2"/>
        <v>61.380248618784528</v>
      </c>
    </row>
    <row r="184" spans="2:3" x14ac:dyDescent="0.45">
      <c r="B184">
        <v>1820</v>
      </c>
      <c r="C184" s="2">
        <f t="shared" si="2"/>
        <v>61.042994505494505</v>
      </c>
    </row>
    <row r="185" spans="2:3" x14ac:dyDescent="0.45">
      <c r="B185">
        <v>1830</v>
      </c>
      <c r="C185" s="2">
        <f t="shared" si="2"/>
        <v>60.709426229508196</v>
      </c>
    </row>
    <row r="186" spans="2:3" x14ac:dyDescent="0.45">
      <c r="B186">
        <v>1840</v>
      </c>
      <c r="C186" s="2">
        <f t="shared" si="2"/>
        <v>60.379483695652176</v>
      </c>
    </row>
    <row r="187" spans="2:3" x14ac:dyDescent="0.45">
      <c r="B187">
        <v>1850</v>
      </c>
      <c r="C187" s="2">
        <f t="shared" si="2"/>
        <v>60.053108108108106</v>
      </c>
    </row>
    <row r="188" spans="2:3" x14ac:dyDescent="0.45">
      <c r="B188">
        <v>1860</v>
      </c>
      <c r="C188" s="2">
        <f t="shared" si="2"/>
        <v>59.730241935483868</v>
      </c>
    </row>
    <row r="189" spans="2:3" x14ac:dyDescent="0.45">
      <c r="B189">
        <v>1870</v>
      </c>
      <c r="C189" s="2">
        <f t="shared" si="2"/>
        <v>59.410828877005351</v>
      </c>
    </row>
    <row r="190" spans="2:3" x14ac:dyDescent="0.45">
      <c r="B190">
        <v>1880</v>
      </c>
      <c r="C190" s="2">
        <f t="shared" si="2"/>
        <v>59.094813829787235</v>
      </c>
    </row>
    <row r="191" spans="2:3" x14ac:dyDescent="0.45">
      <c r="B191">
        <v>1890</v>
      </c>
      <c r="C191" s="2">
        <f t="shared" si="2"/>
        <v>58.782142857142858</v>
      </c>
    </row>
    <row r="192" spans="2:3" x14ac:dyDescent="0.45">
      <c r="B192">
        <v>1900</v>
      </c>
      <c r="C192" s="2">
        <f t="shared" si="2"/>
        <v>58.47276315789474</v>
      </c>
    </row>
    <row r="193" spans="2:3" x14ac:dyDescent="0.45">
      <c r="B193">
        <v>1910</v>
      </c>
      <c r="C193" s="2">
        <f t="shared" si="2"/>
        <v>58.166623036649213</v>
      </c>
    </row>
    <row r="194" spans="2:3" x14ac:dyDescent="0.45">
      <c r="B194">
        <v>1920</v>
      </c>
      <c r="C194" s="2">
        <f t="shared" si="2"/>
        <v>57.863671875000001</v>
      </c>
    </row>
    <row r="195" spans="2:3" x14ac:dyDescent="0.45">
      <c r="B195">
        <v>1930</v>
      </c>
      <c r="C195" s="2">
        <f t="shared" ref="C195:C258" si="3">$A$2/B195</f>
        <v>57.563860103626943</v>
      </c>
    </row>
    <row r="196" spans="2:3" x14ac:dyDescent="0.45">
      <c r="B196">
        <v>1940</v>
      </c>
      <c r="C196" s="2">
        <f t="shared" si="3"/>
        <v>57.267139175257732</v>
      </c>
    </row>
    <row r="197" spans="2:3" x14ac:dyDescent="0.45">
      <c r="B197">
        <v>1950</v>
      </c>
      <c r="C197" s="2">
        <f t="shared" si="3"/>
        <v>56.973461538461535</v>
      </c>
    </row>
    <row r="198" spans="2:3" x14ac:dyDescent="0.45">
      <c r="B198">
        <v>1960</v>
      </c>
      <c r="C198" s="2">
        <f t="shared" si="3"/>
        <v>56.682780612244898</v>
      </c>
    </row>
    <row r="199" spans="2:3" x14ac:dyDescent="0.45">
      <c r="B199">
        <v>1970</v>
      </c>
      <c r="C199" s="2">
        <f t="shared" si="3"/>
        <v>56.395050761421317</v>
      </c>
    </row>
    <row r="200" spans="2:3" x14ac:dyDescent="0.45">
      <c r="B200">
        <v>1980</v>
      </c>
      <c r="C200" s="2">
        <f t="shared" si="3"/>
        <v>56.110227272727272</v>
      </c>
    </row>
    <row r="201" spans="2:3" x14ac:dyDescent="0.45">
      <c r="B201">
        <v>1990</v>
      </c>
      <c r="C201" s="2">
        <f t="shared" si="3"/>
        <v>55.828266331658291</v>
      </c>
    </row>
    <row r="202" spans="2:3" x14ac:dyDescent="0.45">
      <c r="B202">
        <v>2000</v>
      </c>
      <c r="C202" s="2">
        <f t="shared" si="3"/>
        <v>55.549124999999997</v>
      </c>
    </row>
    <row r="203" spans="2:3" x14ac:dyDescent="0.45">
      <c r="B203">
        <v>2010</v>
      </c>
      <c r="C203" s="2">
        <f t="shared" si="3"/>
        <v>55.272761194029847</v>
      </c>
    </row>
    <row r="204" spans="2:3" x14ac:dyDescent="0.45">
      <c r="B204">
        <v>2020</v>
      </c>
      <c r="C204" s="2">
        <f t="shared" si="3"/>
        <v>54.999133663366337</v>
      </c>
    </row>
    <row r="205" spans="2:3" x14ac:dyDescent="0.45">
      <c r="B205">
        <v>2030</v>
      </c>
      <c r="C205" s="2">
        <f t="shared" si="3"/>
        <v>54.728201970443351</v>
      </c>
    </row>
    <row r="206" spans="2:3" x14ac:dyDescent="0.45">
      <c r="B206">
        <v>2040</v>
      </c>
      <c r="C206" s="2">
        <f t="shared" si="3"/>
        <v>54.459926470588236</v>
      </c>
    </row>
    <row r="207" spans="2:3" x14ac:dyDescent="0.45">
      <c r="B207">
        <v>2050</v>
      </c>
      <c r="C207" s="2">
        <f t="shared" si="3"/>
        <v>54.194268292682928</v>
      </c>
    </row>
    <row r="208" spans="2:3" x14ac:dyDescent="0.45">
      <c r="B208">
        <v>2060</v>
      </c>
      <c r="C208" s="2">
        <f t="shared" si="3"/>
        <v>53.931189320388349</v>
      </c>
    </row>
    <row r="209" spans="2:3" x14ac:dyDescent="0.45">
      <c r="B209">
        <v>2070</v>
      </c>
      <c r="C209" s="2">
        <f t="shared" si="3"/>
        <v>53.670652173913041</v>
      </c>
    </row>
    <row r="210" spans="2:3" x14ac:dyDescent="0.45">
      <c r="B210">
        <v>2080</v>
      </c>
      <c r="C210" s="2">
        <f t="shared" si="3"/>
        <v>53.412620192307692</v>
      </c>
    </row>
    <row r="211" spans="2:3" x14ac:dyDescent="0.45">
      <c r="B211">
        <v>2090</v>
      </c>
      <c r="C211" s="2">
        <f t="shared" si="3"/>
        <v>53.157057416267939</v>
      </c>
    </row>
    <row r="212" spans="2:3" x14ac:dyDescent="0.45">
      <c r="B212">
        <v>2100</v>
      </c>
      <c r="C212" s="2">
        <f t="shared" si="3"/>
        <v>52.903928571428573</v>
      </c>
    </row>
    <row r="213" spans="2:3" x14ac:dyDescent="0.45">
      <c r="B213">
        <v>2110</v>
      </c>
      <c r="C213" s="2">
        <f t="shared" si="3"/>
        <v>52.653199052132699</v>
      </c>
    </row>
    <row r="214" spans="2:3" x14ac:dyDescent="0.45">
      <c r="B214">
        <v>2120</v>
      </c>
      <c r="C214" s="2">
        <f t="shared" si="3"/>
        <v>52.40483490566038</v>
      </c>
    </row>
    <row r="215" spans="2:3" x14ac:dyDescent="0.45">
      <c r="B215">
        <v>2130</v>
      </c>
      <c r="C215" s="2">
        <f t="shared" si="3"/>
        <v>52.158802816901407</v>
      </c>
    </row>
    <row r="216" spans="2:3" x14ac:dyDescent="0.45">
      <c r="B216">
        <v>2140</v>
      </c>
      <c r="C216" s="2">
        <f t="shared" si="3"/>
        <v>51.915070093457942</v>
      </c>
    </row>
    <row r="217" spans="2:3" x14ac:dyDescent="0.45">
      <c r="B217">
        <v>2150</v>
      </c>
      <c r="C217" s="2">
        <f t="shared" si="3"/>
        <v>51.67360465116279</v>
      </c>
    </row>
    <row r="218" spans="2:3" x14ac:dyDescent="0.45">
      <c r="B218">
        <v>2160</v>
      </c>
      <c r="C218" s="2">
        <f t="shared" si="3"/>
        <v>51.434375000000003</v>
      </c>
    </row>
    <row r="219" spans="2:3" x14ac:dyDescent="0.45">
      <c r="B219">
        <v>2170</v>
      </c>
      <c r="C219" s="2">
        <f t="shared" si="3"/>
        <v>51.197350230414749</v>
      </c>
    </row>
    <row r="220" spans="2:3" x14ac:dyDescent="0.45">
      <c r="B220">
        <v>2180</v>
      </c>
      <c r="C220" s="2">
        <f t="shared" si="3"/>
        <v>50.962499999999999</v>
      </c>
    </row>
    <row r="221" spans="2:3" x14ac:dyDescent="0.45">
      <c r="B221">
        <v>2190</v>
      </c>
      <c r="C221" s="2">
        <f t="shared" si="3"/>
        <v>50.729794520547948</v>
      </c>
    </row>
    <row r="222" spans="2:3" x14ac:dyDescent="0.45">
      <c r="B222">
        <v>2200</v>
      </c>
      <c r="C222" s="2">
        <f t="shared" si="3"/>
        <v>50.499204545454546</v>
      </c>
    </row>
    <row r="223" spans="2:3" x14ac:dyDescent="0.45">
      <c r="B223">
        <v>2210</v>
      </c>
      <c r="C223" s="2">
        <f t="shared" si="3"/>
        <v>50.270701357466066</v>
      </c>
    </row>
    <row r="224" spans="2:3" x14ac:dyDescent="0.45">
      <c r="B224">
        <v>2220</v>
      </c>
      <c r="C224" s="2">
        <f t="shared" si="3"/>
        <v>50.044256756756759</v>
      </c>
    </row>
    <row r="225" spans="2:3" x14ac:dyDescent="0.45">
      <c r="B225">
        <v>2230</v>
      </c>
      <c r="C225" s="2">
        <f t="shared" si="3"/>
        <v>49.819843049327353</v>
      </c>
    </row>
    <row r="226" spans="2:3" x14ac:dyDescent="0.45">
      <c r="B226">
        <v>2240</v>
      </c>
      <c r="C226" s="2">
        <f t="shared" si="3"/>
        <v>49.597433035714289</v>
      </c>
    </row>
    <row r="227" spans="2:3" x14ac:dyDescent="0.45">
      <c r="B227">
        <v>2250</v>
      </c>
      <c r="C227" s="2">
        <f t="shared" si="3"/>
        <v>49.377000000000002</v>
      </c>
    </row>
    <row r="228" spans="2:3" x14ac:dyDescent="0.45">
      <c r="B228">
        <v>2260</v>
      </c>
      <c r="C228" s="2">
        <f t="shared" si="3"/>
        <v>49.158517699115045</v>
      </c>
    </row>
    <row r="229" spans="2:3" x14ac:dyDescent="0.45">
      <c r="B229">
        <v>2270</v>
      </c>
      <c r="C229" s="2">
        <f t="shared" si="3"/>
        <v>48.94196035242291</v>
      </c>
    </row>
    <row r="230" spans="2:3" x14ac:dyDescent="0.45">
      <c r="B230">
        <v>2280</v>
      </c>
      <c r="C230" s="2">
        <f t="shared" si="3"/>
        <v>48.727302631578951</v>
      </c>
    </row>
    <row r="231" spans="2:3" x14ac:dyDescent="0.45">
      <c r="B231">
        <v>2290</v>
      </c>
      <c r="C231" s="2">
        <f t="shared" si="3"/>
        <v>48.514519650655025</v>
      </c>
    </row>
    <row r="232" spans="2:3" x14ac:dyDescent="0.45">
      <c r="B232">
        <v>2300</v>
      </c>
      <c r="C232" s="2">
        <f t="shared" si="3"/>
        <v>48.303586956521741</v>
      </c>
    </row>
    <row r="233" spans="2:3" x14ac:dyDescent="0.45">
      <c r="B233">
        <v>2310</v>
      </c>
      <c r="C233" s="2">
        <f t="shared" si="3"/>
        <v>48.09448051948052</v>
      </c>
    </row>
    <row r="234" spans="2:3" x14ac:dyDescent="0.45">
      <c r="B234">
        <v>2320</v>
      </c>
      <c r="C234" s="2">
        <f t="shared" si="3"/>
        <v>47.88717672413793</v>
      </c>
    </row>
    <row r="235" spans="2:3" x14ac:dyDescent="0.45">
      <c r="B235">
        <v>2330</v>
      </c>
      <c r="C235" s="2">
        <f t="shared" si="3"/>
        <v>47.681652360515024</v>
      </c>
    </row>
    <row r="236" spans="2:3" x14ac:dyDescent="0.45">
      <c r="B236">
        <v>2340</v>
      </c>
      <c r="C236" s="2">
        <f t="shared" si="3"/>
        <v>47.477884615384617</v>
      </c>
    </row>
    <row r="237" spans="2:3" x14ac:dyDescent="0.45">
      <c r="B237">
        <v>2350</v>
      </c>
      <c r="C237" s="2">
        <f t="shared" si="3"/>
        <v>47.275851063829791</v>
      </c>
    </row>
    <row r="238" spans="2:3" x14ac:dyDescent="0.45">
      <c r="B238">
        <v>2360</v>
      </c>
      <c r="C238" s="2">
        <f t="shared" si="3"/>
        <v>47.075529661016951</v>
      </c>
    </row>
    <row r="239" spans="2:3" x14ac:dyDescent="0.45">
      <c r="B239">
        <v>2370</v>
      </c>
      <c r="C239" s="2">
        <f t="shared" si="3"/>
        <v>46.876898734177217</v>
      </c>
    </row>
    <row r="240" spans="2:3" x14ac:dyDescent="0.45">
      <c r="B240">
        <v>2380</v>
      </c>
      <c r="C240" s="2">
        <f t="shared" si="3"/>
        <v>46.679936974789918</v>
      </c>
    </row>
    <row r="241" spans="2:3" x14ac:dyDescent="0.45">
      <c r="B241">
        <v>2390</v>
      </c>
      <c r="C241" s="2">
        <f t="shared" si="3"/>
        <v>46.484623430962344</v>
      </c>
    </row>
    <row r="242" spans="2:3" x14ac:dyDescent="0.45">
      <c r="B242">
        <v>2400</v>
      </c>
      <c r="C242" s="2">
        <f t="shared" si="3"/>
        <v>46.290937499999998</v>
      </c>
    </row>
    <row r="243" spans="2:3" x14ac:dyDescent="0.45">
      <c r="B243">
        <v>2410</v>
      </c>
      <c r="C243" s="2">
        <f t="shared" si="3"/>
        <v>46.098858921161828</v>
      </c>
    </row>
    <row r="244" spans="2:3" x14ac:dyDescent="0.45">
      <c r="B244">
        <v>2420</v>
      </c>
      <c r="C244" s="2">
        <f t="shared" si="3"/>
        <v>45.908367768595042</v>
      </c>
    </row>
    <row r="245" spans="2:3" x14ac:dyDescent="0.45">
      <c r="B245">
        <v>2430</v>
      </c>
      <c r="C245" s="2">
        <f t="shared" si="3"/>
        <v>45.719444444444441</v>
      </c>
    </row>
    <row r="246" spans="2:3" x14ac:dyDescent="0.45">
      <c r="B246">
        <v>2440</v>
      </c>
      <c r="C246" s="2">
        <f t="shared" si="3"/>
        <v>45.532069672131151</v>
      </c>
    </row>
    <row r="247" spans="2:3" x14ac:dyDescent="0.45">
      <c r="B247">
        <v>2450</v>
      </c>
      <c r="C247" s="2">
        <f t="shared" si="3"/>
        <v>45.346224489795915</v>
      </c>
    </row>
    <row r="248" spans="2:3" x14ac:dyDescent="0.45">
      <c r="B248">
        <v>2460</v>
      </c>
      <c r="C248" s="2">
        <f t="shared" si="3"/>
        <v>45.161890243902441</v>
      </c>
    </row>
    <row r="249" spans="2:3" x14ac:dyDescent="0.45">
      <c r="B249">
        <v>2470</v>
      </c>
      <c r="C249" s="2">
        <f t="shared" si="3"/>
        <v>44.979048582995951</v>
      </c>
    </row>
    <row r="250" spans="2:3" x14ac:dyDescent="0.45">
      <c r="B250">
        <v>2480</v>
      </c>
      <c r="C250" s="2">
        <f t="shared" si="3"/>
        <v>44.797681451612902</v>
      </c>
    </row>
    <row r="251" spans="2:3" x14ac:dyDescent="0.45">
      <c r="B251">
        <v>2490</v>
      </c>
      <c r="C251" s="2">
        <f t="shared" si="3"/>
        <v>44.617771084337349</v>
      </c>
    </row>
    <row r="252" spans="2:3" x14ac:dyDescent="0.45">
      <c r="B252">
        <v>2500</v>
      </c>
      <c r="C252" s="2">
        <f t="shared" si="3"/>
        <v>44.439300000000003</v>
      </c>
    </row>
    <row r="253" spans="2:3" x14ac:dyDescent="0.45">
      <c r="B253">
        <v>2510</v>
      </c>
      <c r="C253" s="2">
        <f t="shared" si="3"/>
        <v>44.262250996015936</v>
      </c>
    </row>
    <row r="254" spans="2:3" x14ac:dyDescent="0.45">
      <c r="B254">
        <v>2520</v>
      </c>
      <c r="C254" s="2">
        <f t="shared" si="3"/>
        <v>44.08660714285714</v>
      </c>
    </row>
    <row r="255" spans="2:3" x14ac:dyDescent="0.45">
      <c r="B255">
        <v>2530</v>
      </c>
      <c r="C255" s="2">
        <f t="shared" si="3"/>
        <v>43.912351778656124</v>
      </c>
    </row>
    <row r="256" spans="2:3" x14ac:dyDescent="0.45">
      <c r="B256">
        <v>2540</v>
      </c>
      <c r="C256" s="2">
        <f t="shared" si="3"/>
        <v>43.739468503937005</v>
      </c>
    </row>
    <row r="257" spans="2:3" x14ac:dyDescent="0.45">
      <c r="B257">
        <v>2550</v>
      </c>
      <c r="C257" s="2">
        <f t="shared" si="3"/>
        <v>43.56794117647059</v>
      </c>
    </row>
    <row r="258" spans="2:3" x14ac:dyDescent="0.45">
      <c r="B258">
        <v>2560</v>
      </c>
      <c r="C258" s="2">
        <f t="shared" si="3"/>
        <v>43.397753906250003</v>
      </c>
    </row>
    <row r="259" spans="2:3" x14ac:dyDescent="0.45">
      <c r="B259">
        <v>2570</v>
      </c>
      <c r="C259" s="2">
        <f t="shared" ref="C259:C322" si="4">$A$2/B259</f>
        <v>43.228891050583655</v>
      </c>
    </row>
    <row r="260" spans="2:3" x14ac:dyDescent="0.45">
      <c r="B260">
        <v>2580</v>
      </c>
      <c r="C260" s="2">
        <f t="shared" si="4"/>
        <v>43.061337209302323</v>
      </c>
    </row>
    <row r="261" spans="2:3" x14ac:dyDescent="0.45">
      <c r="B261">
        <v>2590</v>
      </c>
      <c r="C261" s="2">
        <f t="shared" si="4"/>
        <v>42.895077220077219</v>
      </c>
    </row>
    <row r="262" spans="2:3" x14ac:dyDescent="0.45">
      <c r="B262">
        <v>2600</v>
      </c>
      <c r="C262" s="2">
        <f t="shared" si="4"/>
        <v>42.730096153846155</v>
      </c>
    </row>
    <row r="263" spans="2:3" x14ac:dyDescent="0.45">
      <c r="B263">
        <v>2610</v>
      </c>
      <c r="C263" s="2">
        <f t="shared" si="4"/>
        <v>42.566379310344828</v>
      </c>
    </row>
    <row r="264" spans="2:3" x14ac:dyDescent="0.45">
      <c r="B264">
        <v>2620</v>
      </c>
      <c r="C264" s="2">
        <f t="shared" si="4"/>
        <v>42.403912213740455</v>
      </c>
    </row>
    <row r="265" spans="2:3" x14ac:dyDescent="0.45">
      <c r="B265">
        <v>2630</v>
      </c>
      <c r="C265" s="2">
        <f t="shared" si="4"/>
        <v>42.242680608365021</v>
      </c>
    </row>
    <row r="266" spans="2:3" x14ac:dyDescent="0.45">
      <c r="B266">
        <v>2640</v>
      </c>
      <c r="C266" s="2">
        <f t="shared" si="4"/>
        <v>42.082670454545458</v>
      </c>
    </row>
    <row r="267" spans="2:3" x14ac:dyDescent="0.45">
      <c r="B267">
        <v>2650</v>
      </c>
      <c r="C267" s="2">
        <f t="shared" si="4"/>
        <v>41.923867924528302</v>
      </c>
    </row>
    <row r="268" spans="2:3" x14ac:dyDescent="0.45">
      <c r="B268">
        <v>2660</v>
      </c>
      <c r="C268" s="2">
        <f t="shared" si="4"/>
        <v>41.766259398496238</v>
      </c>
    </row>
    <row r="269" spans="2:3" x14ac:dyDescent="0.45">
      <c r="B269">
        <v>2670</v>
      </c>
      <c r="C269" s="2">
        <f t="shared" si="4"/>
        <v>41.609831460674158</v>
      </c>
    </row>
    <row r="270" spans="2:3" x14ac:dyDescent="0.45">
      <c r="B270">
        <v>2680</v>
      </c>
      <c r="C270" s="2">
        <f t="shared" si="4"/>
        <v>41.454570895522387</v>
      </c>
    </row>
    <row r="271" spans="2:3" x14ac:dyDescent="0.45">
      <c r="B271">
        <v>2690</v>
      </c>
      <c r="C271" s="2">
        <f t="shared" si="4"/>
        <v>41.300464684014869</v>
      </c>
    </row>
    <row r="272" spans="2:3" x14ac:dyDescent="0.45">
      <c r="B272">
        <v>2700</v>
      </c>
      <c r="C272" s="2">
        <f t="shared" si="4"/>
        <v>41.147500000000001</v>
      </c>
    </row>
    <row r="273" spans="2:3" x14ac:dyDescent="0.45">
      <c r="B273">
        <v>2710</v>
      </c>
      <c r="C273" s="2">
        <f t="shared" si="4"/>
        <v>40.995664206642068</v>
      </c>
    </row>
    <row r="274" spans="2:3" x14ac:dyDescent="0.45">
      <c r="B274">
        <v>2720</v>
      </c>
      <c r="C274" s="2">
        <f t="shared" si="4"/>
        <v>40.844944852941175</v>
      </c>
    </row>
    <row r="275" spans="2:3" x14ac:dyDescent="0.45">
      <c r="B275">
        <v>2730</v>
      </c>
      <c r="C275" s="2">
        <f t="shared" si="4"/>
        <v>40.69532967032967</v>
      </c>
    </row>
    <row r="276" spans="2:3" x14ac:dyDescent="0.45">
      <c r="B276">
        <v>2740</v>
      </c>
      <c r="C276" s="2">
        <f t="shared" si="4"/>
        <v>40.546806569343069</v>
      </c>
    </row>
    <row r="277" spans="2:3" x14ac:dyDescent="0.45">
      <c r="B277">
        <v>2750</v>
      </c>
      <c r="C277" s="2">
        <f t="shared" si="4"/>
        <v>40.399363636363638</v>
      </c>
    </row>
    <row r="278" spans="2:3" x14ac:dyDescent="0.45">
      <c r="B278">
        <v>2760</v>
      </c>
      <c r="C278" s="2">
        <f t="shared" si="4"/>
        <v>40.252989130434784</v>
      </c>
    </row>
    <row r="279" spans="2:3" x14ac:dyDescent="0.45">
      <c r="B279">
        <v>2770</v>
      </c>
      <c r="C279" s="2">
        <f t="shared" si="4"/>
        <v>40.107671480144404</v>
      </c>
    </row>
    <row r="280" spans="2:3" x14ac:dyDescent="0.45">
      <c r="B280">
        <v>2780</v>
      </c>
      <c r="C280" s="2">
        <f t="shared" si="4"/>
        <v>39.963399280575537</v>
      </c>
    </row>
    <row r="281" spans="2:3" x14ac:dyDescent="0.45">
      <c r="B281">
        <v>2790</v>
      </c>
      <c r="C281" s="2">
        <f t="shared" si="4"/>
        <v>39.820161290322581</v>
      </c>
    </row>
    <row r="282" spans="2:3" x14ac:dyDescent="0.45">
      <c r="B282">
        <v>2800</v>
      </c>
      <c r="C282" s="2">
        <f t="shared" si="4"/>
        <v>39.677946428571431</v>
      </c>
    </row>
    <row r="283" spans="2:3" x14ac:dyDescent="0.45">
      <c r="B283">
        <v>2810</v>
      </c>
      <c r="C283" s="2">
        <f t="shared" si="4"/>
        <v>39.536743772241991</v>
      </c>
    </row>
    <row r="284" spans="2:3" x14ac:dyDescent="0.45">
      <c r="B284">
        <v>2820</v>
      </c>
      <c r="C284" s="2">
        <f t="shared" si="4"/>
        <v>39.396542553191487</v>
      </c>
    </row>
    <row r="285" spans="2:3" x14ac:dyDescent="0.45">
      <c r="B285">
        <v>2830</v>
      </c>
      <c r="C285" s="2">
        <f t="shared" si="4"/>
        <v>39.25733215547703</v>
      </c>
    </row>
    <row r="286" spans="2:3" x14ac:dyDescent="0.45">
      <c r="B286">
        <v>2840</v>
      </c>
      <c r="C286" s="2">
        <f t="shared" si="4"/>
        <v>39.119102112676053</v>
      </c>
    </row>
    <row r="287" spans="2:3" x14ac:dyDescent="0.45">
      <c r="B287">
        <v>2850</v>
      </c>
      <c r="C287" s="2">
        <f t="shared" si="4"/>
        <v>38.981842105263155</v>
      </c>
    </row>
    <row r="288" spans="2:3" x14ac:dyDescent="0.45">
      <c r="B288">
        <v>2860</v>
      </c>
      <c r="C288" s="2">
        <f t="shared" si="4"/>
        <v>38.845541958041956</v>
      </c>
    </row>
    <row r="289" spans="2:3" x14ac:dyDescent="0.45">
      <c r="B289">
        <v>2870</v>
      </c>
      <c r="C289" s="2">
        <f t="shared" si="4"/>
        <v>38.710191637630665</v>
      </c>
    </row>
    <row r="290" spans="2:3" x14ac:dyDescent="0.45">
      <c r="B290">
        <v>2880</v>
      </c>
      <c r="C290" s="2">
        <f t="shared" si="4"/>
        <v>38.575781249999999</v>
      </c>
    </row>
    <row r="291" spans="2:3" x14ac:dyDescent="0.45">
      <c r="B291">
        <v>2890</v>
      </c>
      <c r="C291" s="2">
        <f t="shared" si="4"/>
        <v>38.442301038062283</v>
      </c>
    </row>
    <row r="292" spans="2:3" x14ac:dyDescent="0.45">
      <c r="B292">
        <v>2900</v>
      </c>
      <c r="C292" s="2">
        <f t="shared" si="4"/>
        <v>38.309741379310346</v>
      </c>
    </row>
    <row r="293" spans="2:3" x14ac:dyDescent="0.45">
      <c r="B293">
        <v>2910</v>
      </c>
      <c r="C293" s="2">
        <f t="shared" si="4"/>
        <v>38.178092783505157</v>
      </c>
    </row>
    <row r="294" spans="2:3" x14ac:dyDescent="0.45">
      <c r="B294">
        <v>2920</v>
      </c>
      <c r="C294" s="2">
        <f t="shared" si="4"/>
        <v>38.047345890410959</v>
      </c>
    </row>
    <row r="295" spans="2:3" x14ac:dyDescent="0.45">
      <c r="B295">
        <v>2930</v>
      </c>
      <c r="C295" s="2">
        <f t="shared" si="4"/>
        <v>37.917491467576795</v>
      </c>
    </row>
    <row r="296" spans="2:3" x14ac:dyDescent="0.45">
      <c r="B296">
        <v>2940</v>
      </c>
      <c r="C296" s="2">
        <f t="shared" si="4"/>
        <v>37.788520408163265</v>
      </c>
    </row>
    <row r="297" spans="2:3" x14ac:dyDescent="0.45">
      <c r="B297">
        <v>2950</v>
      </c>
      <c r="C297" s="2">
        <f t="shared" si="4"/>
        <v>37.660423728813562</v>
      </c>
    </row>
    <row r="298" spans="2:3" x14ac:dyDescent="0.45">
      <c r="B298">
        <v>2960</v>
      </c>
      <c r="C298" s="2">
        <f t="shared" si="4"/>
        <v>37.533192567567568</v>
      </c>
    </row>
    <row r="299" spans="2:3" x14ac:dyDescent="0.45">
      <c r="B299">
        <v>2970</v>
      </c>
      <c r="C299" s="2">
        <f t="shared" si="4"/>
        <v>37.406818181818181</v>
      </c>
    </row>
    <row r="300" spans="2:3" x14ac:dyDescent="0.45">
      <c r="B300">
        <v>2980</v>
      </c>
      <c r="C300" s="2">
        <f t="shared" si="4"/>
        <v>37.281291946308727</v>
      </c>
    </row>
    <row r="301" spans="2:3" x14ac:dyDescent="0.45">
      <c r="B301">
        <v>2990</v>
      </c>
      <c r="C301" s="2">
        <f t="shared" si="4"/>
        <v>37.156605351170569</v>
      </c>
    </row>
    <row r="302" spans="2:3" x14ac:dyDescent="0.45">
      <c r="B302">
        <v>3000</v>
      </c>
      <c r="C302" s="2">
        <f t="shared" si="4"/>
        <v>37.03275</v>
      </c>
    </row>
    <row r="303" spans="2:3" x14ac:dyDescent="0.45">
      <c r="B303">
        <v>3010</v>
      </c>
      <c r="C303" s="2">
        <f t="shared" si="4"/>
        <v>36.90971760797342</v>
      </c>
    </row>
    <row r="304" spans="2:3" x14ac:dyDescent="0.45">
      <c r="B304">
        <v>3020</v>
      </c>
      <c r="C304" s="2">
        <f t="shared" si="4"/>
        <v>36.787500000000001</v>
      </c>
    </row>
    <row r="305" spans="2:3" x14ac:dyDescent="0.45">
      <c r="B305">
        <v>3030</v>
      </c>
      <c r="C305" s="2">
        <f t="shared" si="4"/>
        <v>36.666089108910889</v>
      </c>
    </row>
    <row r="306" spans="2:3" x14ac:dyDescent="0.45">
      <c r="B306">
        <v>3040</v>
      </c>
      <c r="C306" s="2">
        <f t="shared" si="4"/>
        <v>36.54547697368421</v>
      </c>
    </row>
    <row r="307" spans="2:3" x14ac:dyDescent="0.45">
      <c r="B307">
        <v>3050</v>
      </c>
      <c r="C307" s="2">
        <f t="shared" si="4"/>
        <v>36.425655737704915</v>
      </c>
    </row>
    <row r="308" spans="2:3" x14ac:dyDescent="0.45">
      <c r="B308">
        <v>3060</v>
      </c>
      <c r="C308" s="2">
        <f t="shared" si="4"/>
        <v>36.306617647058822</v>
      </c>
    </row>
    <row r="309" spans="2:3" x14ac:dyDescent="0.45">
      <c r="B309">
        <v>3070</v>
      </c>
      <c r="C309" s="2">
        <f t="shared" si="4"/>
        <v>36.188355048859933</v>
      </c>
    </row>
    <row r="310" spans="2:3" x14ac:dyDescent="0.45">
      <c r="B310">
        <v>3080</v>
      </c>
      <c r="C310" s="2">
        <f t="shared" si="4"/>
        <v>36.070860389610388</v>
      </c>
    </row>
    <row r="311" spans="2:3" x14ac:dyDescent="0.45">
      <c r="B311">
        <v>3090</v>
      </c>
      <c r="C311" s="2">
        <f t="shared" si="4"/>
        <v>35.954126213592232</v>
      </c>
    </row>
    <row r="312" spans="2:3" x14ac:dyDescent="0.45">
      <c r="B312">
        <v>3100</v>
      </c>
      <c r="C312" s="2">
        <f t="shared" si="4"/>
        <v>35.838145161290321</v>
      </c>
    </row>
    <row r="313" spans="2:3" x14ac:dyDescent="0.45">
      <c r="B313">
        <v>3110</v>
      </c>
      <c r="C313" s="2">
        <f t="shared" si="4"/>
        <v>35.722909967845659</v>
      </c>
    </row>
    <row r="314" spans="2:3" x14ac:dyDescent="0.45">
      <c r="B314">
        <v>3120</v>
      </c>
      <c r="C314" s="2">
        <f t="shared" si="4"/>
        <v>35.608413461538461</v>
      </c>
    </row>
    <row r="315" spans="2:3" x14ac:dyDescent="0.45">
      <c r="B315">
        <v>3130</v>
      </c>
      <c r="C315" s="2">
        <f t="shared" si="4"/>
        <v>35.49464856230032</v>
      </c>
    </row>
    <row r="316" spans="2:3" x14ac:dyDescent="0.45">
      <c r="B316">
        <v>3140</v>
      </c>
      <c r="C316" s="2">
        <f t="shared" si="4"/>
        <v>35.381608280254774</v>
      </c>
    </row>
    <row r="317" spans="2:3" x14ac:dyDescent="0.45">
      <c r="B317">
        <v>3150</v>
      </c>
      <c r="C317" s="2">
        <f t="shared" si="4"/>
        <v>35.269285714285715</v>
      </c>
    </row>
    <row r="318" spans="2:3" x14ac:dyDescent="0.45">
      <c r="B318">
        <v>3160</v>
      </c>
      <c r="C318" s="2">
        <f t="shared" si="4"/>
        <v>35.157674050632913</v>
      </c>
    </row>
    <row r="319" spans="2:3" x14ac:dyDescent="0.45">
      <c r="B319">
        <v>3170</v>
      </c>
      <c r="C319" s="2">
        <f t="shared" si="4"/>
        <v>35.046766561514197</v>
      </c>
    </row>
    <row r="320" spans="2:3" x14ac:dyDescent="0.45">
      <c r="B320">
        <v>3180</v>
      </c>
      <c r="C320" s="2">
        <f t="shared" si="4"/>
        <v>34.936556603773582</v>
      </c>
    </row>
    <row r="321" spans="2:3" x14ac:dyDescent="0.45">
      <c r="B321">
        <v>3190</v>
      </c>
      <c r="C321" s="2">
        <f t="shared" si="4"/>
        <v>34.827037617554858</v>
      </c>
    </row>
    <row r="322" spans="2:3" x14ac:dyDescent="0.45">
      <c r="B322">
        <v>3200</v>
      </c>
      <c r="C322" s="2">
        <f t="shared" si="4"/>
        <v>34.718203125000002</v>
      </c>
    </row>
    <row r="323" spans="2:3" x14ac:dyDescent="0.45">
      <c r="B323">
        <v>3210</v>
      </c>
      <c r="C323" s="2">
        <f t="shared" ref="C323:C386" si="5">$A$2/B323</f>
        <v>34.610046728971966</v>
      </c>
    </row>
    <row r="324" spans="2:3" x14ac:dyDescent="0.45">
      <c r="B324">
        <v>3220</v>
      </c>
      <c r="C324" s="2">
        <f t="shared" si="5"/>
        <v>34.50256211180124</v>
      </c>
    </row>
    <row r="325" spans="2:3" x14ac:dyDescent="0.45">
      <c r="B325">
        <v>3230</v>
      </c>
      <c r="C325" s="2">
        <f t="shared" si="5"/>
        <v>34.395743034055727</v>
      </c>
    </row>
    <row r="326" spans="2:3" x14ac:dyDescent="0.45">
      <c r="B326">
        <v>3240</v>
      </c>
      <c r="C326" s="2">
        <f t="shared" si="5"/>
        <v>34.289583333333333</v>
      </c>
    </row>
    <row r="327" spans="2:3" x14ac:dyDescent="0.45">
      <c r="B327">
        <v>3250</v>
      </c>
      <c r="C327" s="2">
        <f t="shared" si="5"/>
        <v>34.184076923076923</v>
      </c>
    </row>
    <row r="328" spans="2:3" x14ac:dyDescent="0.45">
      <c r="B328">
        <v>3260</v>
      </c>
      <c r="C328" s="2">
        <f t="shared" si="5"/>
        <v>34.07921779141104</v>
      </c>
    </row>
    <row r="329" spans="2:3" x14ac:dyDescent="0.45">
      <c r="B329">
        <v>3270</v>
      </c>
      <c r="C329" s="2">
        <f t="shared" si="5"/>
        <v>33.975000000000001</v>
      </c>
    </row>
    <row r="330" spans="2:3" x14ac:dyDescent="0.45">
      <c r="B330">
        <v>3280</v>
      </c>
      <c r="C330" s="2">
        <f t="shared" si="5"/>
        <v>33.871417682926833</v>
      </c>
    </row>
    <row r="331" spans="2:3" x14ac:dyDescent="0.45">
      <c r="B331">
        <v>3290</v>
      </c>
      <c r="C331" s="2">
        <f t="shared" si="5"/>
        <v>33.768465045592706</v>
      </c>
    </row>
    <row r="332" spans="2:3" x14ac:dyDescent="0.45">
      <c r="B332">
        <v>3300</v>
      </c>
      <c r="C332" s="2">
        <f t="shared" si="5"/>
        <v>33.666136363636362</v>
      </c>
    </row>
    <row r="333" spans="2:3" x14ac:dyDescent="0.45">
      <c r="B333">
        <v>3310</v>
      </c>
      <c r="C333" s="2">
        <f t="shared" si="5"/>
        <v>33.564425981873114</v>
      </c>
    </row>
    <row r="334" spans="2:3" x14ac:dyDescent="0.45">
      <c r="B334">
        <v>3320</v>
      </c>
      <c r="C334" s="2">
        <f t="shared" si="5"/>
        <v>33.463328313253015</v>
      </c>
    </row>
    <row r="335" spans="2:3" x14ac:dyDescent="0.45">
      <c r="B335">
        <v>3330</v>
      </c>
      <c r="C335" s="2">
        <f t="shared" si="5"/>
        <v>33.362837837837837</v>
      </c>
    </row>
    <row r="336" spans="2:3" x14ac:dyDescent="0.45">
      <c r="B336">
        <v>3340</v>
      </c>
      <c r="C336" s="2">
        <f t="shared" si="5"/>
        <v>33.262949101796409</v>
      </c>
    </row>
    <row r="337" spans="2:3" x14ac:dyDescent="0.45">
      <c r="B337">
        <v>3350</v>
      </c>
      <c r="C337" s="2">
        <f t="shared" si="5"/>
        <v>33.163656716417911</v>
      </c>
    </row>
    <row r="338" spans="2:3" x14ac:dyDescent="0.45">
      <c r="B338">
        <v>3360</v>
      </c>
      <c r="C338" s="2">
        <f t="shared" si="5"/>
        <v>33.064955357142857</v>
      </c>
    </row>
    <row r="339" spans="2:3" x14ac:dyDescent="0.45">
      <c r="B339">
        <v>3370</v>
      </c>
      <c r="C339" s="2">
        <f t="shared" si="5"/>
        <v>32.966839762611279</v>
      </c>
    </row>
    <row r="340" spans="2:3" x14ac:dyDescent="0.45">
      <c r="B340">
        <v>3380</v>
      </c>
      <c r="C340" s="2">
        <f t="shared" si="5"/>
        <v>32.869304733727809</v>
      </c>
    </row>
    <row r="341" spans="2:3" x14ac:dyDescent="0.45">
      <c r="B341">
        <v>3390</v>
      </c>
      <c r="C341" s="2">
        <f t="shared" si="5"/>
        <v>32.772345132743361</v>
      </c>
    </row>
    <row r="342" spans="2:3" x14ac:dyDescent="0.45">
      <c r="B342">
        <v>3400</v>
      </c>
      <c r="C342" s="2">
        <f t="shared" si="5"/>
        <v>32.675955882352945</v>
      </c>
    </row>
    <row r="343" spans="2:3" x14ac:dyDescent="0.45">
      <c r="B343">
        <v>3410</v>
      </c>
      <c r="C343" s="2">
        <f t="shared" si="5"/>
        <v>32.580131964809382</v>
      </c>
    </row>
    <row r="344" spans="2:3" x14ac:dyDescent="0.45">
      <c r="B344">
        <v>3420</v>
      </c>
      <c r="C344" s="2">
        <f t="shared" si="5"/>
        <v>32.484868421052632</v>
      </c>
    </row>
    <row r="345" spans="2:3" x14ac:dyDescent="0.45">
      <c r="B345">
        <v>3430</v>
      </c>
      <c r="C345" s="2">
        <f t="shared" si="5"/>
        <v>32.390160349854227</v>
      </c>
    </row>
    <row r="346" spans="2:3" x14ac:dyDescent="0.45">
      <c r="B346">
        <v>3440</v>
      </c>
      <c r="C346" s="2">
        <f t="shared" si="5"/>
        <v>32.296002906976746</v>
      </c>
    </row>
    <row r="347" spans="2:3" x14ac:dyDescent="0.45">
      <c r="B347">
        <v>3450</v>
      </c>
      <c r="C347" s="2">
        <f t="shared" si="5"/>
        <v>32.202391304347827</v>
      </c>
    </row>
    <row r="348" spans="2:3" x14ac:dyDescent="0.45">
      <c r="B348">
        <v>3460</v>
      </c>
      <c r="C348" s="2">
        <f t="shared" si="5"/>
        <v>32.109320809248558</v>
      </c>
    </row>
    <row r="349" spans="2:3" x14ac:dyDescent="0.45">
      <c r="B349">
        <v>3470</v>
      </c>
      <c r="C349" s="2">
        <f t="shared" si="5"/>
        <v>32.016786743515851</v>
      </c>
    </row>
    <row r="350" spans="2:3" x14ac:dyDescent="0.45">
      <c r="B350">
        <v>3480</v>
      </c>
      <c r="C350" s="2">
        <f t="shared" si="5"/>
        <v>31.924784482758621</v>
      </c>
    </row>
    <row r="351" spans="2:3" x14ac:dyDescent="0.45">
      <c r="B351">
        <v>3490</v>
      </c>
      <c r="C351" s="2">
        <f t="shared" si="5"/>
        <v>31.833309455587393</v>
      </c>
    </row>
    <row r="352" spans="2:3" x14ac:dyDescent="0.45">
      <c r="B352">
        <v>3500</v>
      </c>
      <c r="C352" s="2">
        <f t="shared" si="5"/>
        <v>31.742357142857141</v>
      </c>
    </row>
    <row r="353" spans="2:3" x14ac:dyDescent="0.45">
      <c r="B353">
        <v>3510</v>
      </c>
      <c r="C353" s="2">
        <f t="shared" si="5"/>
        <v>31.651923076923076</v>
      </c>
    </row>
    <row r="354" spans="2:3" x14ac:dyDescent="0.45">
      <c r="B354">
        <v>3520</v>
      </c>
      <c r="C354" s="2">
        <f t="shared" si="5"/>
        <v>31.562002840909091</v>
      </c>
    </row>
    <row r="355" spans="2:3" x14ac:dyDescent="0.45">
      <c r="B355">
        <v>3530</v>
      </c>
      <c r="C355" s="2">
        <f t="shared" si="5"/>
        <v>31.472592067988668</v>
      </c>
    </row>
    <row r="356" spans="2:3" x14ac:dyDescent="0.45">
      <c r="B356">
        <v>3540</v>
      </c>
      <c r="C356" s="2">
        <f t="shared" si="5"/>
        <v>31.383686440677966</v>
      </c>
    </row>
    <row r="357" spans="2:3" x14ac:dyDescent="0.45">
      <c r="B357">
        <v>3550</v>
      </c>
      <c r="C357" s="2">
        <f t="shared" si="5"/>
        <v>31.295281690140847</v>
      </c>
    </row>
    <row r="358" spans="2:3" x14ac:dyDescent="0.45">
      <c r="B358">
        <v>3560</v>
      </c>
      <c r="C358" s="2">
        <f t="shared" si="5"/>
        <v>31.207373595505619</v>
      </c>
    </row>
    <row r="359" spans="2:3" x14ac:dyDescent="0.45">
      <c r="B359">
        <v>3570</v>
      </c>
      <c r="C359" s="2">
        <f t="shared" si="5"/>
        <v>31.119957983193277</v>
      </c>
    </row>
    <row r="360" spans="2:3" x14ac:dyDescent="0.45">
      <c r="B360">
        <v>3580</v>
      </c>
      <c r="C360" s="2">
        <f t="shared" si="5"/>
        <v>31.033030726256982</v>
      </c>
    </row>
    <row r="361" spans="2:3" x14ac:dyDescent="0.45">
      <c r="B361">
        <v>3590</v>
      </c>
      <c r="C361" s="2">
        <f t="shared" si="5"/>
        <v>30.946587743732589</v>
      </c>
    </row>
    <row r="362" spans="2:3" x14ac:dyDescent="0.45">
      <c r="B362">
        <v>3600</v>
      </c>
      <c r="C362" s="2">
        <f t="shared" si="5"/>
        <v>30.860624999999999</v>
      </c>
    </row>
    <row r="363" spans="2:3" x14ac:dyDescent="0.45">
      <c r="B363">
        <v>3610</v>
      </c>
      <c r="C363" s="2">
        <f t="shared" si="5"/>
        <v>30.775138504155123</v>
      </c>
    </row>
    <row r="364" spans="2:3" x14ac:dyDescent="0.45">
      <c r="B364">
        <v>3620</v>
      </c>
      <c r="C364" s="2">
        <f t="shared" si="5"/>
        <v>30.690124309392264</v>
      </c>
    </row>
    <row r="365" spans="2:3" x14ac:dyDescent="0.45">
      <c r="B365">
        <v>3630</v>
      </c>
      <c r="C365" s="2">
        <f t="shared" si="5"/>
        <v>30.605578512396693</v>
      </c>
    </row>
    <row r="366" spans="2:3" x14ac:dyDescent="0.45">
      <c r="B366">
        <v>3640</v>
      </c>
      <c r="C366" s="2">
        <f t="shared" si="5"/>
        <v>30.521497252747253</v>
      </c>
    </row>
    <row r="367" spans="2:3" x14ac:dyDescent="0.45">
      <c r="B367">
        <v>3650</v>
      </c>
      <c r="C367" s="2">
        <f t="shared" si="5"/>
        <v>30.437876712328766</v>
      </c>
    </row>
    <row r="368" spans="2:3" x14ac:dyDescent="0.45">
      <c r="B368">
        <v>3660</v>
      </c>
      <c r="C368" s="2">
        <f t="shared" si="5"/>
        <v>30.354713114754098</v>
      </c>
    </row>
    <row r="369" spans="2:3" x14ac:dyDescent="0.45">
      <c r="B369">
        <v>3670</v>
      </c>
      <c r="C369" s="2">
        <f t="shared" si="5"/>
        <v>30.272002724795641</v>
      </c>
    </row>
    <row r="370" spans="2:3" x14ac:dyDescent="0.45">
      <c r="B370">
        <v>3680</v>
      </c>
      <c r="C370" s="2">
        <f t="shared" si="5"/>
        <v>30.189741847826088</v>
      </c>
    </row>
    <row r="371" spans="2:3" x14ac:dyDescent="0.45">
      <c r="B371">
        <v>3690</v>
      </c>
      <c r="C371" s="2">
        <f t="shared" si="5"/>
        <v>30.107926829268294</v>
      </c>
    </row>
    <row r="372" spans="2:3" x14ac:dyDescent="0.45">
      <c r="B372">
        <v>3700</v>
      </c>
      <c r="C372" s="2">
        <f t="shared" si="5"/>
        <v>30.026554054054053</v>
      </c>
    </row>
    <row r="373" spans="2:3" x14ac:dyDescent="0.45">
      <c r="B373">
        <v>3710</v>
      </c>
      <c r="C373" s="2">
        <f t="shared" si="5"/>
        <v>29.945619946091643</v>
      </c>
    </row>
    <row r="374" spans="2:3" x14ac:dyDescent="0.45">
      <c r="B374">
        <v>3720</v>
      </c>
      <c r="C374" s="2">
        <f t="shared" si="5"/>
        <v>29.865120967741934</v>
      </c>
    </row>
    <row r="375" spans="2:3" x14ac:dyDescent="0.45">
      <c r="B375">
        <v>3730</v>
      </c>
      <c r="C375" s="2">
        <f t="shared" si="5"/>
        <v>29.78505361930295</v>
      </c>
    </row>
    <row r="376" spans="2:3" x14ac:dyDescent="0.45">
      <c r="B376">
        <v>3740</v>
      </c>
      <c r="C376" s="2">
        <f t="shared" si="5"/>
        <v>29.705414438502675</v>
      </c>
    </row>
    <row r="377" spans="2:3" x14ac:dyDescent="0.45">
      <c r="B377">
        <v>3750</v>
      </c>
      <c r="C377" s="2">
        <f t="shared" si="5"/>
        <v>29.626200000000001</v>
      </c>
    </row>
    <row r="378" spans="2:3" x14ac:dyDescent="0.45">
      <c r="B378">
        <v>3760</v>
      </c>
      <c r="C378" s="2">
        <f t="shared" si="5"/>
        <v>29.547406914893617</v>
      </c>
    </row>
    <row r="379" spans="2:3" x14ac:dyDescent="0.45">
      <c r="B379">
        <v>3770</v>
      </c>
      <c r="C379" s="2">
        <f t="shared" si="5"/>
        <v>29.469031830238727</v>
      </c>
    </row>
    <row r="380" spans="2:3" x14ac:dyDescent="0.45">
      <c r="B380">
        <v>3780</v>
      </c>
      <c r="C380" s="2">
        <f t="shared" si="5"/>
        <v>29.391071428571429</v>
      </c>
    </row>
    <row r="381" spans="2:3" x14ac:dyDescent="0.45">
      <c r="B381">
        <v>3790</v>
      </c>
      <c r="C381" s="2">
        <f t="shared" si="5"/>
        <v>29.313522427440635</v>
      </c>
    </row>
    <row r="382" spans="2:3" x14ac:dyDescent="0.45">
      <c r="B382">
        <v>3800</v>
      </c>
      <c r="C382" s="2">
        <f t="shared" si="5"/>
        <v>29.23638157894737</v>
      </c>
    </row>
    <row r="383" spans="2:3" x14ac:dyDescent="0.45">
      <c r="B383">
        <v>3810</v>
      </c>
      <c r="C383" s="2">
        <f t="shared" si="5"/>
        <v>29.15964566929134</v>
      </c>
    </row>
    <row r="384" spans="2:3" x14ac:dyDescent="0.45">
      <c r="B384">
        <v>3820</v>
      </c>
      <c r="C384" s="2">
        <f t="shared" si="5"/>
        <v>29.083311518324606</v>
      </c>
    </row>
    <row r="385" spans="2:3" x14ac:dyDescent="0.45">
      <c r="B385">
        <v>3830</v>
      </c>
      <c r="C385" s="2">
        <f t="shared" si="5"/>
        <v>29.007375979112272</v>
      </c>
    </row>
    <row r="386" spans="2:3" x14ac:dyDescent="0.45">
      <c r="B386">
        <v>3840</v>
      </c>
      <c r="C386" s="2">
        <f t="shared" si="5"/>
        <v>28.931835937500001</v>
      </c>
    </row>
    <row r="387" spans="2:3" x14ac:dyDescent="0.45">
      <c r="B387">
        <v>3850</v>
      </c>
      <c r="C387" s="2">
        <f t="shared" ref="C387:C450" si="6">$A$2/B387</f>
        <v>28.856688311688313</v>
      </c>
    </row>
    <row r="388" spans="2:3" x14ac:dyDescent="0.45">
      <c r="B388">
        <v>3860</v>
      </c>
      <c r="C388" s="2">
        <f t="shared" si="6"/>
        <v>28.781930051813472</v>
      </c>
    </row>
    <row r="389" spans="2:3" x14ac:dyDescent="0.45">
      <c r="B389">
        <v>3870</v>
      </c>
      <c r="C389" s="2">
        <f t="shared" si="6"/>
        <v>28.707558139534882</v>
      </c>
    </row>
    <row r="390" spans="2:3" x14ac:dyDescent="0.45">
      <c r="B390">
        <v>3880</v>
      </c>
      <c r="C390" s="2">
        <f t="shared" si="6"/>
        <v>28.633569587628866</v>
      </c>
    </row>
    <row r="391" spans="2:3" x14ac:dyDescent="0.45">
      <c r="B391">
        <v>3890</v>
      </c>
      <c r="C391" s="2">
        <f t="shared" si="6"/>
        <v>28.55996143958869</v>
      </c>
    </row>
    <row r="392" spans="2:3" x14ac:dyDescent="0.45">
      <c r="B392">
        <v>3900</v>
      </c>
      <c r="C392" s="2">
        <f t="shared" si="6"/>
        <v>28.486730769230768</v>
      </c>
    </row>
    <row r="393" spans="2:3" x14ac:dyDescent="0.45">
      <c r="B393">
        <v>3910</v>
      </c>
      <c r="C393" s="2">
        <f t="shared" si="6"/>
        <v>28.413874680306904</v>
      </c>
    </row>
    <row r="394" spans="2:3" x14ac:dyDescent="0.45">
      <c r="B394">
        <v>3920</v>
      </c>
      <c r="C394" s="2">
        <f t="shared" si="6"/>
        <v>28.341390306122449</v>
      </c>
    </row>
    <row r="395" spans="2:3" x14ac:dyDescent="0.45">
      <c r="B395">
        <v>3930</v>
      </c>
      <c r="C395" s="2">
        <f t="shared" si="6"/>
        <v>28.269274809160304</v>
      </c>
    </row>
    <row r="396" spans="2:3" x14ac:dyDescent="0.45">
      <c r="B396">
        <v>3940</v>
      </c>
      <c r="C396" s="2">
        <f t="shared" si="6"/>
        <v>28.197525380710658</v>
      </c>
    </row>
    <row r="397" spans="2:3" x14ac:dyDescent="0.45">
      <c r="B397">
        <v>3950</v>
      </c>
      <c r="C397" s="2">
        <f t="shared" si="6"/>
        <v>28.12613924050633</v>
      </c>
    </row>
    <row r="398" spans="2:3" x14ac:dyDescent="0.45">
      <c r="B398">
        <v>3960</v>
      </c>
      <c r="C398" s="2">
        <f t="shared" si="6"/>
        <v>28.055113636363636</v>
      </c>
    </row>
    <row r="399" spans="2:3" x14ac:dyDescent="0.45">
      <c r="B399">
        <v>3970</v>
      </c>
      <c r="C399" s="2">
        <f t="shared" si="6"/>
        <v>27.984445843828716</v>
      </c>
    </row>
    <row r="400" spans="2:3" x14ac:dyDescent="0.45">
      <c r="B400">
        <v>3980</v>
      </c>
      <c r="C400" s="2">
        <f t="shared" si="6"/>
        <v>27.914133165829146</v>
      </c>
    </row>
    <row r="401" spans="2:3" x14ac:dyDescent="0.45">
      <c r="B401">
        <v>3990</v>
      </c>
      <c r="C401" s="2">
        <f t="shared" si="6"/>
        <v>27.844172932330828</v>
      </c>
    </row>
    <row r="402" spans="2:3" x14ac:dyDescent="0.45">
      <c r="B402">
        <v>4000</v>
      </c>
      <c r="C402" s="2">
        <f t="shared" si="6"/>
        <v>27.774562499999998</v>
      </c>
    </row>
    <row r="403" spans="2:3" x14ac:dyDescent="0.45">
      <c r="B403">
        <v>4010</v>
      </c>
      <c r="C403" s="2">
        <f t="shared" si="6"/>
        <v>27.705299251870326</v>
      </c>
    </row>
    <row r="404" spans="2:3" x14ac:dyDescent="0.45">
      <c r="B404">
        <v>4020</v>
      </c>
      <c r="C404" s="2">
        <f t="shared" si="6"/>
        <v>27.636380597014924</v>
      </c>
    </row>
    <row r="405" spans="2:3" x14ac:dyDescent="0.45">
      <c r="B405">
        <v>4030</v>
      </c>
      <c r="C405" s="2">
        <f t="shared" si="6"/>
        <v>27.567803970223324</v>
      </c>
    </row>
    <row r="406" spans="2:3" x14ac:dyDescent="0.45">
      <c r="B406">
        <v>4040</v>
      </c>
      <c r="C406" s="2">
        <f t="shared" si="6"/>
        <v>27.499566831683168</v>
      </c>
    </row>
    <row r="407" spans="2:3" x14ac:dyDescent="0.45">
      <c r="B407">
        <v>4050</v>
      </c>
      <c r="C407" s="2">
        <f t="shared" si="6"/>
        <v>27.431666666666668</v>
      </c>
    </row>
    <row r="408" spans="2:3" x14ac:dyDescent="0.45">
      <c r="B408">
        <v>4060</v>
      </c>
      <c r="C408" s="2">
        <f t="shared" si="6"/>
        <v>27.364100985221675</v>
      </c>
    </row>
    <row r="409" spans="2:3" x14ac:dyDescent="0.45">
      <c r="B409">
        <v>4070</v>
      </c>
      <c r="C409" s="2">
        <f t="shared" si="6"/>
        <v>27.296867321867321</v>
      </c>
    </row>
    <row r="410" spans="2:3" x14ac:dyDescent="0.45">
      <c r="B410">
        <v>4080</v>
      </c>
      <c r="C410" s="2">
        <f t="shared" si="6"/>
        <v>27.229963235294118</v>
      </c>
    </row>
    <row r="411" spans="2:3" x14ac:dyDescent="0.45">
      <c r="B411">
        <v>4090</v>
      </c>
      <c r="C411" s="2">
        <f t="shared" si="6"/>
        <v>27.163386308068461</v>
      </c>
    </row>
    <row r="412" spans="2:3" x14ac:dyDescent="0.45">
      <c r="B412">
        <v>4100</v>
      </c>
      <c r="C412" s="2">
        <f t="shared" si="6"/>
        <v>27.097134146341464</v>
      </c>
    </row>
    <row r="413" spans="2:3" x14ac:dyDescent="0.45">
      <c r="B413">
        <v>4110</v>
      </c>
      <c r="C413" s="2">
        <f t="shared" si="6"/>
        <v>27.031204379562045</v>
      </c>
    </row>
    <row r="414" spans="2:3" x14ac:dyDescent="0.45">
      <c r="B414">
        <v>4120</v>
      </c>
      <c r="C414" s="2">
        <f t="shared" si="6"/>
        <v>26.965594660194174</v>
      </c>
    </row>
    <row r="415" spans="2:3" x14ac:dyDescent="0.45">
      <c r="B415">
        <v>4130</v>
      </c>
      <c r="C415" s="2">
        <f t="shared" si="6"/>
        <v>26.900302663438257</v>
      </c>
    </row>
    <row r="416" spans="2:3" x14ac:dyDescent="0.45">
      <c r="B416">
        <v>4140</v>
      </c>
      <c r="C416" s="2">
        <f t="shared" si="6"/>
        <v>26.83532608695652</v>
      </c>
    </row>
    <row r="417" spans="2:3" x14ac:dyDescent="0.45">
      <c r="B417">
        <v>4150</v>
      </c>
      <c r="C417" s="2">
        <f t="shared" si="6"/>
        <v>26.770662650602411</v>
      </c>
    </row>
    <row r="418" spans="2:3" x14ac:dyDescent="0.45">
      <c r="B418">
        <v>4160</v>
      </c>
      <c r="C418" s="2">
        <f t="shared" si="6"/>
        <v>26.706310096153846</v>
      </c>
    </row>
    <row r="419" spans="2:3" x14ac:dyDescent="0.45">
      <c r="B419">
        <v>4170</v>
      </c>
      <c r="C419" s="2">
        <f t="shared" si="6"/>
        <v>26.64226618705036</v>
      </c>
    </row>
    <row r="420" spans="2:3" x14ac:dyDescent="0.45">
      <c r="B420">
        <v>4180</v>
      </c>
      <c r="C420" s="2">
        <f t="shared" si="6"/>
        <v>26.57852870813397</v>
      </c>
    </row>
    <row r="421" spans="2:3" x14ac:dyDescent="0.45">
      <c r="B421">
        <v>4190</v>
      </c>
      <c r="C421" s="2">
        <f t="shared" si="6"/>
        <v>26.515095465393795</v>
      </c>
    </row>
    <row r="422" spans="2:3" x14ac:dyDescent="0.45">
      <c r="B422">
        <v>4200</v>
      </c>
      <c r="C422" s="2">
        <f t="shared" si="6"/>
        <v>26.451964285714286</v>
      </c>
    </row>
    <row r="423" spans="2:3" x14ac:dyDescent="0.45">
      <c r="B423">
        <v>4210</v>
      </c>
      <c r="C423" s="2">
        <f t="shared" si="6"/>
        <v>26.389133016627078</v>
      </c>
    </row>
    <row r="424" spans="2:3" x14ac:dyDescent="0.45">
      <c r="B424">
        <v>4220</v>
      </c>
      <c r="C424" s="2">
        <f t="shared" si="6"/>
        <v>26.326599526066349</v>
      </c>
    </row>
    <row r="425" spans="2:3" x14ac:dyDescent="0.45">
      <c r="B425">
        <v>4230</v>
      </c>
      <c r="C425" s="2">
        <f t="shared" si="6"/>
        <v>26.264361702127658</v>
      </c>
    </row>
    <row r="426" spans="2:3" x14ac:dyDescent="0.45">
      <c r="B426">
        <v>4240</v>
      </c>
      <c r="C426" s="2">
        <f t="shared" si="6"/>
        <v>26.20241745283019</v>
      </c>
    </row>
    <row r="427" spans="2:3" x14ac:dyDescent="0.45">
      <c r="B427">
        <v>4250</v>
      </c>
      <c r="C427" s="2">
        <f t="shared" si="6"/>
        <v>26.140764705882354</v>
      </c>
    </row>
    <row r="428" spans="2:3" x14ac:dyDescent="0.45">
      <c r="B428">
        <v>4260</v>
      </c>
      <c r="C428" s="2">
        <f t="shared" si="6"/>
        <v>26.079401408450703</v>
      </c>
    </row>
    <row r="429" spans="2:3" x14ac:dyDescent="0.45">
      <c r="B429">
        <v>4270</v>
      </c>
      <c r="C429" s="2">
        <f t="shared" si="6"/>
        <v>26.018325526932085</v>
      </c>
    </row>
    <row r="430" spans="2:3" x14ac:dyDescent="0.45">
      <c r="B430">
        <v>4280</v>
      </c>
      <c r="C430" s="2">
        <f t="shared" si="6"/>
        <v>25.957535046728971</v>
      </c>
    </row>
    <row r="431" spans="2:3" x14ac:dyDescent="0.45">
      <c r="B431">
        <v>4290</v>
      </c>
      <c r="C431" s="2">
        <f t="shared" si="6"/>
        <v>25.897027972027971</v>
      </c>
    </row>
    <row r="432" spans="2:3" x14ac:dyDescent="0.45">
      <c r="B432">
        <v>4300</v>
      </c>
      <c r="C432" s="2">
        <f t="shared" si="6"/>
        <v>25.836802325581395</v>
      </c>
    </row>
    <row r="433" spans="2:3" x14ac:dyDescent="0.45">
      <c r="B433">
        <v>4310</v>
      </c>
      <c r="C433" s="2">
        <f t="shared" si="6"/>
        <v>25.776856148491881</v>
      </c>
    </row>
    <row r="434" spans="2:3" x14ac:dyDescent="0.45">
      <c r="B434">
        <v>4320</v>
      </c>
      <c r="C434" s="2">
        <f t="shared" si="6"/>
        <v>25.717187500000001</v>
      </c>
    </row>
    <row r="435" spans="2:3" x14ac:dyDescent="0.45">
      <c r="B435">
        <v>4330</v>
      </c>
      <c r="C435" s="2">
        <f t="shared" si="6"/>
        <v>25.657794457274825</v>
      </c>
    </row>
    <row r="436" spans="2:3" x14ac:dyDescent="0.45">
      <c r="B436">
        <v>4340</v>
      </c>
      <c r="C436" s="2">
        <f t="shared" si="6"/>
        <v>25.598675115207374</v>
      </c>
    </row>
    <row r="437" spans="2:3" x14ac:dyDescent="0.45">
      <c r="B437">
        <v>4350</v>
      </c>
      <c r="C437" s="2">
        <f t="shared" si="6"/>
        <v>25.539827586206897</v>
      </c>
    </row>
    <row r="438" spans="2:3" x14ac:dyDescent="0.45">
      <c r="B438">
        <v>4360</v>
      </c>
      <c r="C438" s="2">
        <f t="shared" si="6"/>
        <v>25.481249999999999</v>
      </c>
    </row>
    <row r="439" spans="2:3" x14ac:dyDescent="0.45">
      <c r="B439">
        <v>4370</v>
      </c>
      <c r="C439" s="2">
        <f t="shared" si="6"/>
        <v>25.422940503432493</v>
      </c>
    </row>
    <row r="440" spans="2:3" x14ac:dyDescent="0.45">
      <c r="B440">
        <v>4380</v>
      </c>
      <c r="C440" s="2">
        <f t="shared" si="6"/>
        <v>25.364897260273974</v>
      </c>
    </row>
    <row r="441" spans="2:3" x14ac:dyDescent="0.45">
      <c r="B441">
        <v>4390</v>
      </c>
      <c r="C441" s="2">
        <f t="shared" si="6"/>
        <v>25.307118451025058</v>
      </c>
    </row>
    <row r="442" spans="2:3" x14ac:dyDescent="0.45">
      <c r="B442">
        <v>4400</v>
      </c>
      <c r="C442" s="2">
        <f t="shared" si="6"/>
        <v>25.249602272727273</v>
      </c>
    </row>
    <row r="443" spans="2:3" x14ac:dyDescent="0.45">
      <c r="B443">
        <v>4410</v>
      </c>
      <c r="C443" s="2">
        <f t="shared" si="6"/>
        <v>25.192346938775511</v>
      </c>
    </row>
    <row r="444" spans="2:3" x14ac:dyDescent="0.45">
      <c r="B444">
        <v>4420</v>
      </c>
      <c r="C444" s="2">
        <f t="shared" si="6"/>
        <v>25.135350678733033</v>
      </c>
    </row>
    <row r="445" spans="2:3" x14ac:dyDescent="0.45">
      <c r="B445">
        <v>4430</v>
      </c>
      <c r="C445" s="2">
        <f t="shared" si="6"/>
        <v>25.078611738148986</v>
      </c>
    </row>
    <row r="446" spans="2:3" x14ac:dyDescent="0.45">
      <c r="B446">
        <v>4440</v>
      </c>
      <c r="C446" s="2">
        <f t="shared" si="6"/>
        <v>25.02212837837838</v>
      </c>
    </row>
    <row r="447" spans="2:3" x14ac:dyDescent="0.45">
      <c r="B447">
        <v>4450</v>
      </c>
      <c r="C447" s="2">
        <f t="shared" si="6"/>
        <v>24.965898876404495</v>
      </c>
    </row>
    <row r="448" spans="2:3" x14ac:dyDescent="0.45">
      <c r="B448">
        <v>4460</v>
      </c>
      <c r="C448" s="2">
        <f t="shared" si="6"/>
        <v>24.909921524663677</v>
      </c>
    </row>
    <row r="449" spans="2:3" x14ac:dyDescent="0.45">
      <c r="B449">
        <v>4470</v>
      </c>
      <c r="C449" s="2">
        <f t="shared" si="6"/>
        <v>24.854194630872485</v>
      </c>
    </row>
    <row r="450" spans="2:3" x14ac:dyDescent="0.45">
      <c r="B450">
        <v>4480</v>
      </c>
      <c r="C450" s="2">
        <f t="shared" si="6"/>
        <v>24.798716517857144</v>
      </c>
    </row>
    <row r="451" spans="2:3" x14ac:dyDescent="0.45">
      <c r="B451">
        <v>4490</v>
      </c>
      <c r="C451" s="2">
        <f t="shared" ref="C451:C514" si="7">$A$2/B451</f>
        <v>24.743485523385299</v>
      </c>
    </row>
    <row r="452" spans="2:3" x14ac:dyDescent="0.45">
      <c r="B452">
        <v>4500</v>
      </c>
      <c r="C452" s="2">
        <f t="shared" si="7"/>
        <v>24.688500000000001</v>
      </c>
    </row>
    <row r="453" spans="2:3" x14ac:dyDescent="0.45">
      <c r="B453">
        <v>4510</v>
      </c>
      <c r="C453" s="2">
        <f t="shared" si="7"/>
        <v>24.633758314855875</v>
      </c>
    </row>
    <row r="454" spans="2:3" x14ac:dyDescent="0.45">
      <c r="B454">
        <v>4520</v>
      </c>
      <c r="C454" s="2">
        <f t="shared" si="7"/>
        <v>24.579258849557522</v>
      </c>
    </row>
    <row r="455" spans="2:3" x14ac:dyDescent="0.45">
      <c r="B455">
        <v>4530</v>
      </c>
      <c r="C455" s="2">
        <f t="shared" si="7"/>
        <v>24.524999999999999</v>
      </c>
    </row>
    <row r="456" spans="2:3" x14ac:dyDescent="0.45">
      <c r="B456">
        <v>4540</v>
      </c>
      <c r="C456" s="2">
        <f t="shared" si="7"/>
        <v>24.470980176211455</v>
      </c>
    </row>
    <row r="457" spans="2:3" x14ac:dyDescent="0.45">
      <c r="B457">
        <v>4550</v>
      </c>
      <c r="C457" s="2">
        <f t="shared" si="7"/>
        <v>24.417197802197801</v>
      </c>
    </row>
    <row r="458" spans="2:3" x14ac:dyDescent="0.45">
      <c r="B458">
        <v>4560</v>
      </c>
      <c r="C458" s="2">
        <f t="shared" si="7"/>
        <v>24.363651315789475</v>
      </c>
    </row>
    <row r="459" spans="2:3" x14ac:dyDescent="0.45">
      <c r="B459">
        <v>4570</v>
      </c>
      <c r="C459" s="2">
        <f t="shared" si="7"/>
        <v>24.310339168490152</v>
      </c>
    </row>
    <row r="460" spans="2:3" x14ac:dyDescent="0.45">
      <c r="B460">
        <v>4580</v>
      </c>
      <c r="C460" s="2">
        <f t="shared" si="7"/>
        <v>24.257259825327512</v>
      </c>
    </row>
    <row r="461" spans="2:3" x14ac:dyDescent="0.45">
      <c r="B461">
        <v>4590</v>
      </c>
      <c r="C461" s="2">
        <f t="shared" si="7"/>
        <v>24.204411764705881</v>
      </c>
    </row>
    <row r="462" spans="2:3" x14ac:dyDescent="0.45">
      <c r="B462">
        <v>4600</v>
      </c>
      <c r="C462" s="2">
        <f t="shared" si="7"/>
        <v>24.151793478260871</v>
      </c>
    </row>
    <row r="463" spans="2:3" x14ac:dyDescent="0.45">
      <c r="B463">
        <v>4610</v>
      </c>
      <c r="C463" s="2">
        <f t="shared" si="7"/>
        <v>24.099403470715835</v>
      </c>
    </row>
    <row r="464" spans="2:3" x14ac:dyDescent="0.45">
      <c r="B464">
        <v>4620</v>
      </c>
      <c r="C464" s="2">
        <f t="shared" si="7"/>
        <v>24.04724025974026</v>
      </c>
    </row>
    <row r="465" spans="2:3" x14ac:dyDescent="0.45">
      <c r="B465">
        <v>4630</v>
      </c>
      <c r="C465" s="2">
        <f t="shared" si="7"/>
        <v>23.995302375809935</v>
      </c>
    </row>
    <row r="466" spans="2:3" x14ac:dyDescent="0.45">
      <c r="B466">
        <v>4640</v>
      </c>
      <c r="C466" s="2">
        <f t="shared" si="7"/>
        <v>23.943588362068965</v>
      </c>
    </row>
    <row r="467" spans="2:3" x14ac:dyDescent="0.45">
      <c r="B467">
        <v>4650</v>
      </c>
      <c r="C467" s="2">
        <f t="shared" si="7"/>
        <v>23.892096774193547</v>
      </c>
    </row>
    <row r="468" spans="2:3" x14ac:dyDescent="0.45">
      <c r="B468">
        <v>4660</v>
      </c>
      <c r="C468" s="2">
        <f t="shared" si="7"/>
        <v>23.840826180257512</v>
      </c>
    </row>
    <row r="469" spans="2:3" x14ac:dyDescent="0.45">
      <c r="B469">
        <v>4670</v>
      </c>
      <c r="C469" s="2">
        <f t="shared" si="7"/>
        <v>23.789775160599572</v>
      </c>
    </row>
    <row r="470" spans="2:3" x14ac:dyDescent="0.45">
      <c r="B470">
        <v>4680</v>
      </c>
      <c r="C470" s="2">
        <f t="shared" si="7"/>
        <v>23.738942307692309</v>
      </c>
    </row>
    <row r="471" spans="2:3" x14ac:dyDescent="0.45">
      <c r="B471">
        <v>4690</v>
      </c>
      <c r="C471" s="2">
        <f t="shared" si="7"/>
        <v>23.688326226012794</v>
      </c>
    </row>
    <row r="472" spans="2:3" x14ac:dyDescent="0.45">
      <c r="B472">
        <v>4700</v>
      </c>
      <c r="C472" s="2">
        <f t="shared" si="7"/>
        <v>23.637925531914895</v>
      </c>
    </row>
    <row r="473" spans="2:3" x14ac:dyDescent="0.45">
      <c r="B473">
        <v>4710</v>
      </c>
      <c r="C473" s="2">
        <f t="shared" si="7"/>
        <v>23.587738853503186</v>
      </c>
    </row>
    <row r="474" spans="2:3" x14ac:dyDescent="0.45">
      <c r="B474">
        <v>4720</v>
      </c>
      <c r="C474" s="2">
        <f t="shared" si="7"/>
        <v>23.537764830508475</v>
      </c>
    </row>
    <row r="475" spans="2:3" x14ac:dyDescent="0.45">
      <c r="B475">
        <v>4730</v>
      </c>
      <c r="C475" s="2">
        <f t="shared" si="7"/>
        <v>23.488002114164903</v>
      </c>
    </row>
    <row r="476" spans="2:3" x14ac:dyDescent="0.45">
      <c r="B476">
        <v>4740</v>
      </c>
      <c r="C476" s="2">
        <f t="shared" si="7"/>
        <v>23.438449367088609</v>
      </c>
    </row>
    <row r="477" spans="2:3" x14ac:dyDescent="0.45">
      <c r="B477">
        <v>4750</v>
      </c>
      <c r="C477" s="2">
        <f t="shared" si="7"/>
        <v>23.389105263157894</v>
      </c>
    </row>
    <row r="478" spans="2:3" x14ac:dyDescent="0.45">
      <c r="B478">
        <v>4760</v>
      </c>
      <c r="C478" s="2">
        <f t="shared" si="7"/>
        <v>23.339968487394959</v>
      </c>
    </row>
    <row r="479" spans="2:3" x14ac:dyDescent="0.45">
      <c r="B479">
        <v>4770</v>
      </c>
      <c r="C479" s="2">
        <f t="shared" si="7"/>
        <v>23.291037735849056</v>
      </c>
    </row>
    <row r="480" spans="2:3" x14ac:dyDescent="0.45">
      <c r="B480">
        <v>4780</v>
      </c>
      <c r="C480" s="2">
        <f t="shared" si="7"/>
        <v>23.242311715481172</v>
      </c>
    </row>
    <row r="481" spans="2:3" x14ac:dyDescent="0.45">
      <c r="B481">
        <v>4790</v>
      </c>
      <c r="C481" s="2">
        <f t="shared" si="7"/>
        <v>23.193789144050104</v>
      </c>
    </row>
    <row r="482" spans="2:3" x14ac:dyDescent="0.45">
      <c r="B482">
        <v>4800</v>
      </c>
      <c r="C482" s="2">
        <f t="shared" si="7"/>
        <v>23.145468749999999</v>
      </c>
    </row>
    <row r="483" spans="2:3" x14ac:dyDescent="0.45">
      <c r="B483">
        <v>4810</v>
      </c>
      <c r="C483" s="2">
        <f t="shared" si="7"/>
        <v>23.097349272349273</v>
      </c>
    </row>
    <row r="484" spans="2:3" x14ac:dyDescent="0.45">
      <c r="B484">
        <v>4820</v>
      </c>
      <c r="C484" s="2">
        <f t="shared" si="7"/>
        <v>23.049429460580914</v>
      </c>
    </row>
    <row r="485" spans="2:3" x14ac:dyDescent="0.45">
      <c r="B485">
        <v>4830</v>
      </c>
      <c r="C485" s="2">
        <f t="shared" si="7"/>
        <v>23.001708074534161</v>
      </c>
    </row>
    <row r="486" spans="2:3" x14ac:dyDescent="0.45">
      <c r="B486">
        <v>4840</v>
      </c>
      <c r="C486" s="2">
        <f t="shared" si="7"/>
        <v>22.954183884297521</v>
      </c>
    </row>
    <row r="487" spans="2:3" x14ac:dyDescent="0.45">
      <c r="B487">
        <v>4850</v>
      </c>
      <c r="C487" s="2">
        <f t="shared" si="7"/>
        <v>22.906855670103091</v>
      </c>
    </row>
    <row r="488" spans="2:3" x14ac:dyDescent="0.45">
      <c r="B488">
        <v>4860</v>
      </c>
      <c r="C488" s="2">
        <f t="shared" si="7"/>
        <v>22.859722222222221</v>
      </c>
    </row>
    <row r="489" spans="2:3" x14ac:dyDescent="0.45">
      <c r="B489">
        <v>4870</v>
      </c>
      <c r="C489" s="2">
        <f t="shared" si="7"/>
        <v>22.812782340862423</v>
      </c>
    </row>
    <row r="490" spans="2:3" x14ac:dyDescent="0.45">
      <c r="B490">
        <v>4880</v>
      </c>
      <c r="C490" s="2">
        <f t="shared" si="7"/>
        <v>22.766034836065575</v>
      </c>
    </row>
    <row r="491" spans="2:3" x14ac:dyDescent="0.45">
      <c r="B491">
        <v>4890</v>
      </c>
      <c r="C491" s="2">
        <f t="shared" si="7"/>
        <v>22.719478527607361</v>
      </c>
    </row>
    <row r="492" spans="2:3" x14ac:dyDescent="0.45">
      <c r="B492">
        <v>4900</v>
      </c>
      <c r="C492" s="2">
        <f t="shared" si="7"/>
        <v>22.673112244897958</v>
      </c>
    </row>
    <row r="493" spans="2:3" x14ac:dyDescent="0.45">
      <c r="B493">
        <v>4910</v>
      </c>
      <c r="C493" s="2">
        <f t="shared" si="7"/>
        <v>22.626934826883911</v>
      </c>
    </row>
    <row r="494" spans="2:3" x14ac:dyDescent="0.45">
      <c r="B494">
        <v>4920</v>
      </c>
      <c r="C494" s="2">
        <f t="shared" si="7"/>
        <v>22.580945121951221</v>
      </c>
    </row>
    <row r="495" spans="2:3" x14ac:dyDescent="0.45">
      <c r="B495">
        <v>4930</v>
      </c>
      <c r="C495" s="2">
        <f t="shared" si="7"/>
        <v>22.535141987829615</v>
      </c>
    </row>
    <row r="496" spans="2:3" x14ac:dyDescent="0.45">
      <c r="B496">
        <v>4940</v>
      </c>
      <c r="C496" s="2">
        <f t="shared" si="7"/>
        <v>22.489524291497975</v>
      </c>
    </row>
    <row r="497" spans="2:3" x14ac:dyDescent="0.45">
      <c r="B497">
        <v>4950</v>
      </c>
      <c r="C497" s="2">
        <f t="shared" si="7"/>
        <v>22.44409090909091</v>
      </c>
    </row>
    <row r="498" spans="2:3" x14ac:dyDescent="0.45">
      <c r="B498">
        <v>4960</v>
      </c>
      <c r="C498" s="2">
        <f t="shared" si="7"/>
        <v>22.398840725806451</v>
      </c>
    </row>
    <row r="499" spans="2:3" x14ac:dyDescent="0.45">
      <c r="B499">
        <v>4970</v>
      </c>
      <c r="C499" s="2">
        <f t="shared" si="7"/>
        <v>22.353772635814888</v>
      </c>
    </row>
    <row r="500" spans="2:3" x14ac:dyDescent="0.45">
      <c r="B500">
        <v>4980</v>
      </c>
      <c r="C500" s="2">
        <f t="shared" si="7"/>
        <v>22.308885542168674</v>
      </c>
    </row>
    <row r="501" spans="2:3" x14ac:dyDescent="0.45">
      <c r="B501">
        <v>4990</v>
      </c>
      <c r="C501" s="2">
        <f t="shared" si="7"/>
        <v>22.264178356713426</v>
      </c>
    </row>
    <row r="502" spans="2:3" x14ac:dyDescent="0.45">
      <c r="B502">
        <v>5000</v>
      </c>
      <c r="C502" s="2">
        <f t="shared" si="7"/>
        <v>22.219650000000001</v>
      </c>
    </row>
    <row r="503" spans="2:3" x14ac:dyDescent="0.45">
      <c r="B503">
        <v>5010</v>
      </c>
      <c r="C503" s="2">
        <f t="shared" si="7"/>
        <v>22.175299401197606</v>
      </c>
    </row>
    <row r="504" spans="2:3" x14ac:dyDescent="0.45">
      <c r="B504">
        <v>5020</v>
      </c>
      <c r="C504" s="2">
        <f t="shared" si="7"/>
        <v>22.131125498007968</v>
      </c>
    </row>
    <row r="505" spans="2:3" x14ac:dyDescent="0.45">
      <c r="B505">
        <v>5030</v>
      </c>
      <c r="C505" s="2">
        <f t="shared" si="7"/>
        <v>22.087127236580518</v>
      </c>
    </row>
    <row r="506" spans="2:3" x14ac:dyDescent="0.45">
      <c r="B506">
        <v>5040</v>
      </c>
      <c r="C506" s="2">
        <f t="shared" si="7"/>
        <v>22.04330357142857</v>
      </c>
    </row>
    <row r="507" spans="2:3" x14ac:dyDescent="0.45">
      <c r="B507">
        <v>5050</v>
      </c>
      <c r="C507" s="2">
        <f t="shared" si="7"/>
        <v>21.999653465346533</v>
      </c>
    </row>
    <row r="508" spans="2:3" x14ac:dyDescent="0.45">
      <c r="B508">
        <v>5060</v>
      </c>
      <c r="C508" s="2">
        <f t="shared" si="7"/>
        <v>21.956175889328062</v>
      </c>
    </row>
    <row r="509" spans="2:3" x14ac:dyDescent="0.45">
      <c r="B509">
        <v>5070</v>
      </c>
      <c r="C509" s="2">
        <f t="shared" si="7"/>
        <v>21.912869822485206</v>
      </c>
    </row>
    <row r="510" spans="2:3" x14ac:dyDescent="0.45">
      <c r="B510">
        <v>5080</v>
      </c>
      <c r="C510" s="2">
        <f t="shared" si="7"/>
        <v>21.869734251968502</v>
      </c>
    </row>
    <row r="511" spans="2:3" x14ac:dyDescent="0.45">
      <c r="B511">
        <v>5090</v>
      </c>
      <c r="C511" s="2">
        <f t="shared" si="7"/>
        <v>21.826768172888016</v>
      </c>
    </row>
    <row r="512" spans="2:3" x14ac:dyDescent="0.45">
      <c r="B512">
        <v>5100</v>
      </c>
      <c r="C512" s="2">
        <f t="shared" si="7"/>
        <v>21.783970588235295</v>
      </c>
    </row>
    <row r="513" spans="2:3" x14ac:dyDescent="0.45">
      <c r="B513">
        <v>5110</v>
      </c>
      <c r="C513" s="2">
        <f t="shared" si="7"/>
        <v>21.741340508806264</v>
      </c>
    </row>
    <row r="514" spans="2:3" x14ac:dyDescent="0.45">
      <c r="B514">
        <v>5120</v>
      </c>
      <c r="C514" s="2">
        <f t="shared" si="7"/>
        <v>21.698876953125001</v>
      </c>
    </row>
    <row r="515" spans="2:3" x14ac:dyDescent="0.45">
      <c r="B515">
        <v>5130</v>
      </c>
      <c r="C515" s="2">
        <f t="shared" ref="C515:C578" si="8">$A$2/B515</f>
        <v>21.65657894736842</v>
      </c>
    </row>
    <row r="516" spans="2:3" x14ac:dyDescent="0.45">
      <c r="B516">
        <v>5140</v>
      </c>
      <c r="C516" s="2">
        <f t="shared" si="8"/>
        <v>21.614445525291828</v>
      </c>
    </row>
    <row r="517" spans="2:3" x14ac:dyDescent="0.45">
      <c r="B517">
        <v>5150</v>
      </c>
      <c r="C517" s="2">
        <f t="shared" si="8"/>
        <v>21.572475728155339</v>
      </c>
    </row>
    <row r="518" spans="2:3" x14ac:dyDescent="0.45">
      <c r="B518">
        <v>5160</v>
      </c>
      <c r="C518" s="2">
        <f t="shared" si="8"/>
        <v>21.530668604651162</v>
      </c>
    </row>
    <row r="519" spans="2:3" x14ac:dyDescent="0.45">
      <c r="B519">
        <v>5170</v>
      </c>
      <c r="C519" s="2">
        <f t="shared" si="8"/>
        <v>21.489023210831721</v>
      </c>
    </row>
    <row r="520" spans="2:3" x14ac:dyDescent="0.45">
      <c r="B520">
        <v>5180</v>
      </c>
      <c r="C520" s="2">
        <f t="shared" si="8"/>
        <v>21.44753861003861</v>
      </c>
    </row>
    <row r="521" spans="2:3" x14ac:dyDescent="0.45">
      <c r="B521">
        <v>5190</v>
      </c>
      <c r="C521" s="2">
        <f t="shared" si="8"/>
        <v>21.406213872832371</v>
      </c>
    </row>
    <row r="522" spans="2:3" x14ac:dyDescent="0.45">
      <c r="B522">
        <v>5200</v>
      </c>
      <c r="C522" s="2">
        <f t="shared" si="8"/>
        <v>21.365048076923078</v>
      </c>
    </row>
    <row r="523" spans="2:3" x14ac:dyDescent="0.45">
      <c r="B523">
        <v>5210</v>
      </c>
      <c r="C523" s="2">
        <f t="shared" si="8"/>
        <v>21.324040307101729</v>
      </c>
    </row>
    <row r="524" spans="2:3" x14ac:dyDescent="0.45">
      <c r="B524">
        <v>5220</v>
      </c>
      <c r="C524" s="2">
        <f t="shared" si="8"/>
        <v>21.283189655172414</v>
      </c>
    </row>
    <row r="525" spans="2:3" x14ac:dyDescent="0.45">
      <c r="B525">
        <v>5230</v>
      </c>
      <c r="C525" s="2">
        <f t="shared" si="8"/>
        <v>21.242495219885278</v>
      </c>
    </row>
    <row r="526" spans="2:3" x14ac:dyDescent="0.45">
      <c r="B526">
        <v>5240</v>
      </c>
      <c r="C526" s="2">
        <f t="shared" si="8"/>
        <v>21.201956106870227</v>
      </c>
    </row>
    <row r="527" spans="2:3" x14ac:dyDescent="0.45">
      <c r="B527">
        <v>5250</v>
      </c>
      <c r="C527" s="2">
        <f t="shared" si="8"/>
        <v>21.161571428571428</v>
      </c>
    </row>
    <row r="528" spans="2:3" x14ac:dyDescent="0.45">
      <c r="B528">
        <v>5260</v>
      </c>
      <c r="C528" s="2">
        <f t="shared" si="8"/>
        <v>21.12134030418251</v>
      </c>
    </row>
    <row r="529" spans="2:3" x14ac:dyDescent="0.45">
      <c r="B529">
        <v>5270</v>
      </c>
      <c r="C529" s="2">
        <f t="shared" si="8"/>
        <v>21.081261859582543</v>
      </c>
    </row>
    <row r="530" spans="2:3" x14ac:dyDescent="0.45">
      <c r="B530">
        <v>5280</v>
      </c>
      <c r="C530" s="2">
        <f t="shared" si="8"/>
        <v>21.041335227272729</v>
      </c>
    </row>
    <row r="531" spans="2:3" x14ac:dyDescent="0.45">
      <c r="B531">
        <v>5290</v>
      </c>
      <c r="C531" s="2">
        <f t="shared" si="8"/>
        <v>21.0015595463138</v>
      </c>
    </row>
    <row r="532" spans="2:3" x14ac:dyDescent="0.45">
      <c r="B532">
        <v>5300</v>
      </c>
      <c r="C532" s="2">
        <f t="shared" si="8"/>
        <v>20.961933962264151</v>
      </c>
    </row>
    <row r="533" spans="2:3" x14ac:dyDescent="0.45">
      <c r="B533">
        <v>5310</v>
      </c>
      <c r="C533" s="2">
        <f t="shared" si="8"/>
        <v>20.922457627118643</v>
      </c>
    </row>
    <row r="534" spans="2:3" x14ac:dyDescent="0.45">
      <c r="B534">
        <v>5320</v>
      </c>
      <c r="C534" s="2">
        <f t="shared" si="8"/>
        <v>20.883129699248119</v>
      </c>
    </row>
    <row r="535" spans="2:3" x14ac:dyDescent="0.45">
      <c r="B535">
        <v>5330</v>
      </c>
      <c r="C535" s="2">
        <f t="shared" si="8"/>
        <v>20.843949343339588</v>
      </c>
    </row>
    <row r="536" spans="2:3" x14ac:dyDescent="0.45">
      <c r="B536">
        <v>5340</v>
      </c>
      <c r="C536" s="2">
        <f t="shared" si="8"/>
        <v>20.804915730337079</v>
      </c>
    </row>
    <row r="537" spans="2:3" x14ac:dyDescent="0.45">
      <c r="B537">
        <v>5350</v>
      </c>
      <c r="C537" s="2">
        <f t="shared" si="8"/>
        <v>20.766028037383176</v>
      </c>
    </row>
    <row r="538" spans="2:3" x14ac:dyDescent="0.45">
      <c r="B538">
        <v>5360</v>
      </c>
      <c r="C538" s="2">
        <f t="shared" si="8"/>
        <v>20.727285447761194</v>
      </c>
    </row>
    <row r="539" spans="2:3" x14ac:dyDescent="0.45">
      <c r="B539">
        <v>5370</v>
      </c>
      <c r="C539" s="2">
        <f t="shared" si="8"/>
        <v>20.688687150837989</v>
      </c>
    </row>
    <row r="540" spans="2:3" x14ac:dyDescent="0.45">
      <c r="B540">
        <v>5380</v>
      </c>
      <c r="C540" s="2">
        <f t="shared" si="8"/>
        <v>20.650232342007435</v>
      </c>
    </row>
    <row r="541" spans="2:3" x14ac:dyDescent="0.45">
      <c r="B541">
        <v>5390</v>
      </c>
      <c r="C541" s="2">
        <f t="shared" si="8"/>
        <v>20.61192022263451</v>
      </c>
    </row>
    <row r="542" spans="2:3" x14ac:dyDescent="0.45">
      <c r="B542">
        <v>5400</v>
      </c>
      <c r="C542" s="2">
        <f t="shared" si="8"/>
        <v>20.57375</v>
      </c>
    </row>
    <row r="543" spans="2:3" x14ac:dyDescent="0.45">
      <c r="B543">
        <v>5410</v>
      </c>
      <c r="C543" s="2">
        <f t="shared" si="8"/>
        <v>20.535720887245841</v>
      </c>
    </row>
    <row r="544" spans="2:3" x14ac:dyDescent="0.45">
      <c r="B544">
        <v>5420</v>
      </c>
      <c r="C544" s="2">
        <f t="shared" si="8"/>
        <v>20.497832103321034</v>
      </c>
    </row>
    <row r="545" spans="2:3" x14ac:dyDescent="0.45">
      <c r="B545">
        <v>5430</v>
      </c>
      <c r="C545" s="2">
        <f t="shared" si="8"/>
        <v>20.460082872928176</v>
      </c>
    </row>
    <row r="546" spans="2:3" x14ac:dyDescent="0.45">
      <c r="B546">
        <v>5440</v>
      </c>
      <c r="C546" s="2">
        <f t="shared" si="8"/>
        <v>20.422472426470588</v>
      </c>
    </row>
    <row r="547" spans="2:3" x14ac:dyDescent="0.45">
      <c r="B547">
        <v>5450</v>
      </c>
      <c r="C547" s="2">
        <f t="shared" si="8"/>
        <v>20.385000000000002</v>
      </c>
    </row>
    <row r="548" spans="2:3" x14ac:dyDescent="0.45">
      <c r="B548">
        <v>5460</v>
      </c>
      <c r="C548" s="2">
        <f t="shared" si="8"/>
        <v>20.347664835164835</v>
      </c>
    </row>
    <row r="549" spans="2:3" x14ac:dyDescent="0.45">
      <c r="B549">
        <v>5470</v>
      </c>
      <c r="C549" s="2">
        <f t="shared" si="8"/>
        <v>20.31046617915905</v>
      </c>
    </row>
    <row r="550" spans="2:3" x14ac:dyDescent="0.45">
      <c r="B550">
        <v>5480</v>
      </c>
      <c r="C550" s="2">
        <f t="shared" si="8"/>
        <v>20.273403284671534</v>
      </c>
    </row>
    <row r="551" spans="2:3" x14ac:dyDescent="0.45">
      <c r="B551">
        <v>5490</v>
      </c>
      <c r="C551" s="2">
        <f t="shared" si="8"/>
        <v>20.236475409836064</v>
      </c>
    </row>
    <row r="552" spans="2:3" x14ac:dyDescent="0.45">
      <c r="B552">
        <v>5500</v>
      </c>
      <c r="C552" s="2">
        <f t="shared" si="8"/>
        <v>20.199681818181819</v>
      </c>
    </row>
    <row r="553" spans="2:3" x14ac:dyDescent="0.45">
      <c r="B553">
        <v>5510</v>
      </c>
      <c r="C553" s="2">
        <f t="shared" si="8"/>
        <v>20.16302177858439</v>
      </c>
    </row>
    <row r="554" spans="2:3" x14ac:dyDescent="0.45">
      <c r="B554">
        <v>5520</v>
      </c>
      <c r="C554" s="2">
        <f t="shared" si="8"/>
        <v>20.126494565217392</v>
      </c>
    </row>
    <row r="555" spans="2:3" x14ac:dyDescent="0.45">
      <c r="B555">
        <v>5530</v>
      </c>
      <c r="C555" s="2">
        <f t="shared" si="8"/>
        <v>20.090099457504522</v>
      </c>
    </row>
    <row r="556" spans="2:3" x14ac:dyDescent="0.45">
      <c r="B556">
        <v>5540</v>
      </c>
      <c r="C556" s="2">
        <f t="shared" si="8"/>
        <v>20.053835740072202</v>
      </c>
    </row>
    <row r="557" spans="2:3" x14ac:dyDescent="0.45">
      <c r="B557">
        <v>5550</v>
      </c>
      <c r="C557" s="2">
        <f t="shared" si="8"/>
        <v>20.017702702702703</v>
      </c>
    </row>
    <row r="558" spans="2:3" x14ac:dyDescent="0.45">
      <c r="B558">
        <v>5560</v>
      </c>
      <c r="C558" s="2">
        <f t="shared" si="8"/>
        <v>19.981699640287768</v>
      </c>
    </row>
    <row r="559" spans="2:3" x14ac:dyDescent="0.45">
      <c r="B559">
        <v>5570</v>
      </c>
      <c r="C559" s="2">
        <f t="shared" si="8"/>
        <v>19.945825852782765</v>
      </c>
    </row>
    <row r="560" spans="2:3" x14ac:dyDescent="0.45">
      <c r="B560">
        <v>5580</v>
      </c>
      <c r="C560" s="2">
        <f t="shared" si="8"/>
        <v>19.91008064516129</v>
      </c>
    </row>
    <row r="561" spans="2:3" x14ac:dyDescent="0.45">
      <c r="B561">
        <v>5590</v>
      </c>
      <c r="C561" s="2">
        <f t="shared" si="8"/>
        <v>19.874463327370304</v>
      </c>
    </row>
    <row r="562" spans="2:3" x14ac:dyDescent="0.45">
      <c r="B562">
        <v>5600</v>
      </c>
      <c r="C562" s="2">
        <f t="shared" si="8"/>
        <v>19.838973214285716</v>
      </c>
    </row>
    <row r="563" spans="2:3" x14ac:dyDescent="0.45">
      <c r="B563">
        <v>5610</v>
      </c>
      <c r="C563" s="2">
        <f t="shared" si="8"/>
        <v>19.80360962566845</v>
      </c>
    </row>
    <row r="564" spans="2:3" x14ac:dyDescent="0.45">
      <c r="B564">
        <v>5620</v>
      </c>
      <c r="C564" s="2">
        <f t="shared" si="8"/>
        <v>19.768371886120995</v>
      </c>
    </row>
    <row r="565" spans="2:3" x14ac:dyDescent="0.45">
      <c r="B565">
        <v>5630</v>
      </c>
      <c r="C565" s="2">
        <f t="shared" si="8"/>
        <v>19.733259325044404</v>
      </c>
    </row>
    <row r="566" spans="2:3" x14ac:dyDescent="0.45">
      <c r="B566">
        <v>5640</v>
      </c>
      <c r="C566" s="2">
        <f t="shared" si="8"/>
        <v>19.698271276595744</v>
      </c>
    </row>
    <row r="567" spans="2:3" x14ac:dyDescent="0.45">
      <c r="B567">
        <v>5650</v>
      </c>
      <c r="C567" s="2">
        <f t="shared" si="8"/>
        <v>19.663407079646017</v>
      </c>
    </row>
    <row r="568" spans="2:3" x14ac:dyDescent="0.45">
      <c r="B568">
        <v>5660</v>
      </c>
      <c r="C568" s="2">
        <f t="shared" si="8"/>
        <v>19.628666077738515</v>
      </c>
    </row>
    <row r="569" spans="2:3" x14ac:dyDescent="0.45">
      <c r="B569">
        <v>5670</v>
      </c>
      <c r="C569" s="2">
        <f t="shared" si="8"/>
        <v>19.594047619047618</v>
      </c>
    </row>
    <row r="570" spans="2:3" x14ac:dyDescent="0.45">
      <c r="B570">
        <v>5680</v>
      </c>
      <c r="C570" s="2">
        <f t="shared" si="8"/>
        <v>19.559551056338027</v>
      </c>
    </row>
    <row r="571" spans="2:3" x14ac:dyDescent="0.45">
      <c r="B571">
        <v>5690</v>
      </c>
      <c r="C571" s="2">
        <f t="shared" si="8"/>
        <v>19.525175746924429</v>
      </c>
    </row>
    <row r="572" spans="2:3" x14ac:dyDescent="0.45">
      <c r="B572">
        <v>5700</v>
      </c>
      <c r="C572" s="2">
        <f t="shared" si="8"/>
        <v>19.490921052631577</v>
      </c>
    </row>
    <row r="573" spans="2:3" x14ac:dyDescent="0.45">
      <c r="B573">
        <v>5710</v>
      </c>
      <c r="C573" s="2">
        <f t="shared" si="8"/>
        <v>19.456786339754817</v>
      </c>
    </row>
    <row r="574" spans="2:3" x14ac:dyDescent="0.45">
      <c r="B574">
        <v>5720</v>
      </c>
      <c r="C574" s="2">
        <f t="shared" si="8"/>
        <v>19.422770979020978</v>
      </c>
    </row>
    <row r="575" spans="2:3" x14ac:dyDescent="0.45">
      <c r="B575">
        <v>5730</v>
      </c>
      <c r="C575" s="2">
        <f t="shared" si="8"/>
        <v>19.388874345549738</v>
      </c>
    </row>
    <row r="576" spans="2:3" x14ac:dyDescent="0.45">
      <c r="B576">
        <v>5740</v>
      </c>
      <c r="C576" s="2">
        <f t="shared" si="8"/>
        <v>19.355095818815332</v>
      </c>
    </row>
    <row r="577" spans="2:3" x14ac:dyDescent="0.45">
      <c r="B577">
        <v>5750</v>
      </c>
      <c r="C577" s="2">
        <f t="shared" si="8"/>
        <v>19.321434782608694</v>
      </c>
    </row>
    <row r="578" spans="2:3" x14ac:dyDescent="0.45">
      <c r="B578">
        <v>5760</v>
      </c>
      <c r="C578" s="2">
        <f t="shared" si="8"/>
        <v>19.287890624999999</v>
      </c>
    </row>
    <row r="579" spans="2:3" x14ac:dyDescent="0.45">
      <c r="B579">
        <v>5770</v>
      </c>
      <c r="C579" s="2">
        <f t="shared" ref="C579:C642" si="9">$A$2/B579</f>
        <v>19.254462738301559</v>
      </c>
    </row>
    <row r="580" spans="2:3" x14ac:dyDescent="0.45">
      <c r="B580">
        <v>5780</v>
      </c>
      <c r="C580" s="2">
        <f t="shared" si="9"/>
        <v>19.221150519031141</v>
      </c>
    </row>
    <row r="581" spans="2:3" x14ac:dyDescent="0.45">
      <c r="B581">
        <v>5790</v>
      </c>
      <c r="C581" s="2">
        <f t="shared" si="9"/>
        <v>19.187953367875647</v>
      </c>
    </row>
    <row r="582" spans="2:3" x14ac:dyDescent="0.45">
      <c r="B582">
        <v>5800</v>
      </c>
      <c r="C582" s="2">
        <f t="shared" si="9"/>
        <v>19.154870689655173</v>
      </c>
    </row>
    <row r="583" spans="2:3" x14ac:dyDescent="0.45">
      <c r="B583">
        <v>5810</v>
      </c>
      <c r="C583" s="2">
        <f t="shared" si="9"/>
        <v>19.121901893287436</v>
      </c>
    </row>
    <row r="584" spans="2:3" x14ac:dyDescent="0.45">
      <c r="B584">
        <v>5820</v>
      </c>
      <c r="C584" s="2">
        <f t="shared" si="9"/>
        <v>19.089046391752579</v>
      </c>
    </row>
    <row r="585" spans="2:3" x14ac:dyDescent="0.45">
      <c r="B585">
        <v>5830</v>
      </c>
      <c r="C585" s="2">
        <f t="shared" si="9"/>
        <v>19.056303602058318</v>
      </c>
    </row>
    <row r="586" spans="2:3" x14ac:dyDescent="0.45">
      <c r="B586">
        <v>5840</v>
      </c>
      <c r="C586" s="2">
        <f t="shared" si="9"/>
        <v>19.02367294520548</v>
      </c>
    </row>
    <row r="587" spans="2:3" x14ac:dyDescent="0.45">
      <c r="B587">
        <v>5850</v>
      </c>
      <c r="C587" s="2">
        <f t="shared" si="9"/>
        <v>18.991153846153846</v>
      </c>
    </row>
    <row r="588" spans="2:3" x14ac:dyDescent="0.45">
      <c r="B588">
        <v>5860</v>
      </c>
      <c r="C588" s="2">
        <f t="shared" si="9"/>
        <v>18.958745733788398</v>
      </c>
    </row>
    <row r="589" spans="2:3" x14ac:dyDescent="0.45">
      <c r="B589">
        <v>5870</v>
      </c>
      <c r="C589" s="2">
        <f t="shared" si="9"/>
        <v>18.926448040885859</v>
      </c>
    </row>
    <row r="590" spans="2:3" x14ac:dyDescent="0.45">
      <c r="B590">
        <v>5880</v>
      </c>
      <c r="C590" s="2">
        <f t="shared" si="9"/>
        <v>18.894260204081633</v>
      </c>
    </row>
    <row r="591" spans="2:3" x14ac:dyDescent="0.45">
      <c r="B591">
        <v>5890</v>
      </c>
      <c r="C591" s="2">
        <f t="shared" si="9"/>
        <v>18.862181663837013</v>
      </c>
    </row>
    <row r="592" spans="2:3" x14ac:dyDescent="0.45">
      <c r="B592">
        <v>5900</v>
      </c>
      <c r="C592" s="2">
        <f t="shared" si="9"/>
        <v>18.830211864406781</v>
      </c>
    </row>
    <row r="593" spans="2:3" x14ac:dyDescent="0.45">
      <c r="B593">
        <v>5910</v>
      </c>
      <c r="C593" s="2">
        <f t="shared" si="9"/>
        <v>18.798350253807108</v>
      </c>
    </row>
    <row r="594" spans="2:3" x14ac:dyDescent="0.45">
      <c r="B594">
        <v>5920</v>
      </c>
      <c r="C594" s="2">
        <f t="shared" si="9"/>
        <v>18.766596283783784</v>
      </c>
    </row>
    <row r="595" spans="2:3" x14ac:dyDescent="0.45">
      <c r="B595">
        <v>5930</v>
      </c>
      <c r="C595" s="2">
        <f t="shared" si="9"/>
        <v>18.734949409780775</v>
      </c>
    </row>
    <row r="596" spans="2:3" x14ac:dyDescent="0.45">
      <c r="B596">
        <v>5940</v>
      </c>
      <c r="C596" s="2">
        <f t="shared" si="9"/>
        <v>18.703409090909091</v>
      </c>
    </row>
    <row r="597" spans="2:3" x14ac:dyDescent="0.45">
      <c r="B597">
        <v>5950</v>
      </c>
      <c r="C597" s="2">
        <f t="shared" si="9"/>
        <v>18.671974789915968</v>
      </c>
    </row>
    <row r="598" spans="2:3" x14ac:dyDescent="0.45">
      <c r="B598">
        <v>5960</v>
      </c>
      <c r="C598" s="2">
        <f t="shared" si="9"/>
        <v>18.640645973154363</v>
      </c>
    </row>
    <row r="599" spans="2:3" x14ac:dyDescent="0.45">
      <c r="B599">
        <v>5970</v>
      </c>
      <c r="C599" s="2">
        <f t="shared" si="9"/>
        <v>18.609422110552764</v>
      </c>
    </row>
    <row r="600" spans="2:3" x14ac:dyDescent="0.45">
      <c r="B600">
        <v>5980</v>
      </c>
      <c r="C600" s="2">
        <f t="shared" si="9"/>
        <v>18.578302675585284</v>
      </c>
    </row>
    <row r="601" spans="2:3" x14ac:dyDescent="0.45">
      <c r="B601">
        <v>5990</v>
      </c>
      <c r="C601" s="2">
        <f t="shared" si="9"/>
        <v>18.54728714524207</v>
      </c>
    </row>
    <row r="602" spans="2:3" x14ac:dyDescent="0.45">
      <c r="B602">
        <v>6000</v>
      </c>
      <c r="C602" s="2">
        <f t="shared" si="9"/>
        <v>18.516375</v>
      </c>
    </row>
    <row r="603" spans="2:3" x14ac:dyDescent="0.45">
      <c r="B603">
        <v>6010</v>
      </c>
      <c r="C603" s="2">
        <f t="shared" si="9"/>
        <v>18.485565723793677</v>
      </c>
    </row>
    <row r="604" spans="2:3" x14ac:dyDescent="0.45">
      <c r="B604">
        <v>6020</v>
      </c>
      <c r="C604" s="2">
        <f t="shared" si="9"/>
        <v>18.45485880398671</v>
      </c>
    </row>
    <row r="605" spans="2:3" x14ac:dyDescent="0.45">
      <c r="B605">
        <v>6030</v>
      </c>
      <c r="C605" s="2">
        <f t="shared" si="9"/>
        <v>18.424253731343285</v>
      </c>
    </row>
    <row r="606" spans="2:3" x14ac:dyDescent="0.45">
      <c r="B606">
        <v>6040</v>
      </c>
      <c r="C606" s="2">
        <f t="shared" si="9"/>
        <v>18.393750000000001</v>
      </c>
    </row>
    <row r="607" spans="2:3" x14ac:dyDescent="0.45">
      <c r="B607">
        <v>6050</v>
      </c>
      <c r="C607" s="2">
        <f t="shared" si="9"/>
        <v>18.363347107438017</v>
      </c>
    </row>
    <row r="608" spans="2:3" x14ac:dyDescent="0.45">
      <c r="B608">
        <v>6060</v>
      </c>
      <c r="C608" s="2">
        <f t="shared" si="9"/>
        <v>18.333044554455444</v>
      </c>
    </row>
    <row r="609" spans="2:3" x14ac:dyDescent="0.45">
      <c r="B609">
        <v>6070</v>
      </c>
      <c r="C609" s="2">
        <f t="shared" si="9"/>
        <v>18.302841845140033</v>
      </c>
    </row>
    <row r="610" spans="2:3" x14ac:dyDescent="0.45">
      <c r="B610">
        <v>6080</v>
      </c>
      <c r="C610" s="2">
        <f t="shared" si="9"/>
        <v>18.272738486842105</v>
      </c>
    </row>
    <row r="611" spans="2:3" x14ac:dyDescent="0.45">
      <c r="B611">
        <v>6090</v>
      </c>
      <c r="C611" s="2">
        <f t="shared" si="9"/>
        <v>18.242733990147784</v>
      </c>
    </row>
    <row r="612" spans="2:3" x14ac:dyDescent="0.45">
      <c r="B612">
        <v>6100</v>
      </c>
      <c r="C612" s="2">
        <f t="shared" si="9"/>
        <v>18.212827868852457</v>
      </c>
    </row>
    <row r="613" spans="2:3" x14ac:dyDescent="0.45">
      <c r="B613">
        <v>6110</v>
      </c>
      <c r="C613" s="2">
        <f t="shared" si="9"/>
        <v>18.183019639934532</v>
      </c>
    </row>
    <row r="614" spans="2:3" x14ac:dyDescent="0.45">
      <c r="B614">
        <v>6120</v>
      </c>
      <c r="C614" s="2">
        <f t="shared" si="9"/>
        <v>18.153308823529411</v>
      </c>
    </row>
    <row r="615" spans="2:3" x14ac:dyDescent="0.45">
      <c r="B615">
        <v>6130</v>
      </c>
      <c r="C615" s="2">
        <f t="shared" si="9"/>
        <v>18.123694942903754</v>
      </c>
    </row>
    <row r="616" spans="2:3" x14ac:dyDescent="0.45">
      <c r="B616">
        <v>6140</v>
      </c>
      <c r="C616" s="2">
        <f t="shared" si="9"/>
        <v>18.094177524429966</v>
      </c>
    </row>
    <row r="617" spans="2:3" x14ac:dyDescent="0.45">
      <c r="B617">
        <v>6150</v>
      </c>
      <c r="C617" s="2">
        <f t="shared" si="9"/>
        <v>18.064756097560977</v>
      </c>
    </row>
    <row r="618" spans="2:3" x14ac:dyDescent="0.45">
      <c r="B618">
        <v>6160</v>
      </c>
      <c r="C618" s="2">
        <f t="shared" si="9"/>
        <v>18.035430194805194</v>
      </c>
    </row>
    <row r="619" spans="2:3" x14ac:dyDescent="0.45">
      <c r="B619">
        <v>6170</v>
      </c>
      <c r="C619" s="2">
        <f t="shared" si="9"/>
        <v>18.006199351701781</v>
      </c>
    </row>
    <row r="620" spans="2:3" x14ac:dyDescent="0.45">
      <c r="B620">
        <v>6180</v>
      </c>
      <c r="C620" s="2">
        <f t="shared" si="9"/>
        <v>17.977063106796116</v>
      </c>
    </row>
    <row r="621" spans="2:3" x14ac:dyDescent="0.45">
      <c r="B621">
        <v>6190</v>
      </c>
      <c r="C621" s="2">
        <f t="shared" si="9"/>
        <v>17.948021001615508</v>
      </c>
    </row>
    <row r="622" spans="2:3" x14ac:dyDescent="0.45">
      <c r="B622">
        <v>6200</v>
      </c>
      <c r="C622" s="2">
        <f t="shared" si="9"/>
        <v>17.91907258064516</v>
      </c>
    </row>
    <row r="623" spans="2:3" x14ac:dyDescent="0.45">
      <c r="B623">
        <v>6210</v>
      </c>
      <c r="C623" s="2">
        <f t="shared" si="9"/>
        <v>17.890217391304347</v>
      </c>
    </row>
    <row r="624" spans="2:3" x14ac:dyDescent="0.45">
      <c r="B624">
        <v>6220</v>
      </c>
      <c r="C624" s="2">
        <f t="shared" si="9"/>
        <v>17.86145498392283</v>
      </c>
    </row>
    <row r="625" spans="2:3" x14ac:dyDescent="0.45">
      <c r="B625">
        <v>6230</v>
      </c>
      <c r="C625" s="2">
        <f t="shared" si="9"/>
        <v>17.832784911717496</v>
      </c>
    </row>
    <row r="626" spans="2:3" x14ac:dyDescent="0.45">
      <c r="B626">
        <v>6240</v>
      </c>
      <c r="C626" s="2">
        <f t="shared" si="9"/>
        <v>17.804206730769231</v>
      </c>
    </row>
    <row r="627" spans="2:3" x14ac:dyDescent="0.45">
      <c r="B627">
        <v>6250</v>
      </c>
      <c r="C627" s="2">
        <f t="shared" si="9"/>
        <v>17.77572</v>
      </c>
    </row>
    <row r="628" spans="2:3" x14ac:dyDescent="0.45">
      <c r="B628">
        <v>6260</v>
      </c>
      <c r="C628" s="2">
        <f t="shared" si="9"/>
        <v>17.74732428115016</v>
      </c>
    </row>
    <row r="629" spans="2:3" x14ac:dyDescent="0.45">
      <c r="B629">
        <v>6270</v>
      </c>
      <c r="C629" s="2">
        <f t="shared" si="9"/>
        <v>17.719019138755982</v>
      </c>
    </row>
    <row r="630" spans="2:3" x14ac:dyDescent="0.45">
      <c r="B630">
        <v>6280</v>
      </c>
      <c r="C630" s="2">
        <f t="shared" si="9"/>
        <v>17.690804140127387</v>
      </c>
    </row>
    <row r="631" spans="2:3" x14ac:dyDescent="0.45">
      <c r="B631">
        <v>6290</v>
      </c>
      <c r="C631" s="2">
        <f t="shared" si="9"/>
        <v>17.662678855325915</v>
      </c>
    </row>
    <row r="632" spans="2:3" x14ac:dyDescent="0.45">
      <c r="B632">
        <v>6300</v>
      </c>
      <c r="C632" s="2">
        <f t="shared" si="9"/>
        <v>17.634642857142858</v>
      </c>
    </row>
    <row r="633" spans="2:3" x14ac:dyDescent="0.45">
      <c r="B633">
        <v>6310</v>
      </c>
      <c r="C633" s="2">
        <f t="shared" si="9"/>
        <v>17.606695721077653</v>
      </c>
    </row>
    <row r="634" spans="2:3" x14ac:dyDescent="0.45">
      <c r="B634">
        <v>6320</v>
      </c>
      <c r="C634" s="2">
        <f t="shared" si="9"/>
        <v>17.578837025316457</v>
      </c>
    </row>
    <row r="635" spans="2:3" x14ac:dyDescent="0.45">
      <c r="B635">
        <v>6330</v>
      </c>
      <c r="C635" s="2">
        <f t="shared" si="9"/>
        <v>17.551066350710901</v>
      </c>
    </row>
    <row r="636" spans="2:3" x14ac:dyDescent="0.45">
      <c r="B636">
        <v>6340</v>
      </c>
      <c r="C636" s="2">
        <f t="shared" si="9"/>
        <v>17.523383280757098</v>
      </c>
    </row>
    <row r="637" spans="2:3" x14ac:dyDescent="0.45">
      <c r="B637">
        <v>6350</v>
      </c>
      <c r="C637" s="2">
        <f t="shared" si="9"/>
        <v>17.495787401574802</v>
      </c>
    </row>
    <row r="638" spans="2:3" x14ac:dyDescent="0.45">
      <c r="B638">
        <v>6360</v>
      </c>
      <c r="C638" s="2">
        <f t="shared" si="9"/>
        <v>17.468278301886791</v>
      </c>
    </row>
    <row r="639" spans="2:3" x14ac:dyDescent="0.45">
      <c r="B639">
        <v>6370</v>
      </c>
      <c r="C639" s="2">
        <f t="shared" si="9"/>
        <v>17.44085557299843</v>
      </c>
    </row>
    <row r="640" spans="2:3" x14ac:dyDescent="0.45">
      <c r="B640">
        <v>6380</v>
      </c>
      <c r="C640" s="2">
        <f t="shared" si="9"/>
        <v>17.413518808777429</v>
      </c>
    </row>
    <row r="641" spans="2:3" x14ac:dyDescent="0.45">
      <c r="B641">
        <v>6390</v>
      </c>
      <c r="C641" s="2">
        <f t="shared" si="9"/>
        <v>17.386267605633805</v>
      </c>
    </row>
    <row r="642" spans="2:3" x14ac:dyDescent="0.45">
      <c r="B642">
        <v>6400</v>
      </c>
      <c r="C642" s="2">
        <f t="shared" si="9"/>
        <v>17.359101562500001</v>
      </c>
    </row>
    <row r="643" spans="2:3" x14ac:dyDescent="0.45">
      <c r="B643">
        <v>6410</v>
      </c>
      <c r="C643" s="2">
        <f t="shared" ref="C643:C706" si="10">$A$2/B643</f>
        <v>17.332020280811232</v>
      </c>
    </row>
    <row r="644" spans="2:3" x14ac:dyDescent="0.45">
      <c r="B644">
        <v>6420</v>
      </c>
      <c r="C644" s="2">
        <f t="shared" si="10"/>
        <v>17.305023364485983</v>
      </c>
    </row>
    <row r="645" spans="2:3" x14ac:dyDescent="0.45">
      <c r="B645">
        <v>6430</v>
      </c>
      <c r="C645" s="2">
        <f t="shared" si="10"/>
        <v>17.278110419906689</v>
      </c>
    </row>
    <row r="646" spans="2:3" x14ac:dyDescent="0.45">
      <c r="B646">
        <v>6440</v>
      </c>
      <c r="C646" s="2">
        <f t="shared" si="10"/>
        <v>17.25128105590062</v>
      </c>
    </row>
    <row r="647" spans="2:3" x14ac:dyDescent="0.45">
      <c r="B647">
        <v>6450</v>
      </c>
      <c r="C647" s="2">
        <f t="shared" si="10"/>
        <v>17.224534883720931</v>
      </c>
    </row>
    <row r="648" spans="2:3" x14ac:dyDescent="0.45">
      <c r="B648">
        <v>6460</v>
      </c>
      <c r="C648" s="2">
        <f t="shared" si="10"/>
        <v>17.197871517027863</v>
      </c>
    </row>
    <row r="649" spans="2:3" x14ac:dyDescent="0.45">
      <c r="B649">
        <v>6470</v>
      </c>
      <c r="C649" s="2">
        <f t="shared" si="10"/>
        <v>17.17129057187017</v>
      </c>
    </row>
    <row r="650" spans="2:3" x14ac:dyDescent="0.45">
      <c r="B650">
        <v>6480</v>
      </c>
      <c r="C650" s="2">
        <f t="shared" si="10"/>
        <v>17.144791666666666</v>
      </c>
    </row>
    <row r="651" spans="2:3" x14ac:dyDescent="0.45">
      <c r="B651">
        <v>6490</v>
      </c>
      <c r="C651" s="2">
        <f t="shared" si="10"/>
        <v>17.11837442218798</v>
      </c>
    </row>
    <row r="652" spans="2:3" x14ac:dyDescent="0.45">
      <c r="B652">
        <v>6500</v>
      </c>
      <c r="C652" s="2">
        <f t="shared" si="10"/>
        <v>17.092038461538461</v>
      </c>
    </row>
    <row r="653" spans="2:3" x14ac:dyDescent="0.45">
      <c r="B653">
        <v>6510</v>
      </c>
      <c r="C653" s="2">
        <f t="shared" si="10"/>
        <v>17.065783410138248</v>
      </c>
    </row>
    <row r="654" spans="2:3" x14ac:dyDescent="0.45">
      <c r="B654">
        <v>6520</v>
      </c>
      <c r="C654" s="2">
        <f t="shared" si="10"/>
        <v>17.03960889570552</v>
      </c>
    </row>
    <row r="655" spans="2:3" x14ac:dyDescent="0.45">
      <c r="B655">
        <v>6530</v>
      </c>
      <c r="C655" s="2">
        <f t="shared" si="10"/>
        <v>17.013514548238899</v>
      </c>
    </row>
    <row r="656" spans="2:3" x14ac:dyDescent="0.45">
      <c r="B656">
        <v>6540</v>
      </c>
      <c r="C656" s="2">
        <f t="shared" si="10"/>
        <v>16.987500000000001</v>
      </c>
    </row>
    <row r="657" spans="2:3" x14ac:dyDescent="0.45">
      <c r="B657">
        <v>6550</v>
      </c>
      <c r="C657" s="2">
        <f t="shared" si="10"/>
        <v>16.961564885496184</v>
      </c>
    </row>
    <row r="658" spans="2:3" x14ac:dyDescent="0.45">
      <c r="B658">
        <v>6560</v>
      </c>
      <c r="C658" s="2">
        <f t="shared" si="10"/>
        <v>16.935708841463416</v>
      </c>
    </row>
    <row r="659" spans="2:3" x14ac:dyDescent="0.45">
      <c r="B659">
        <v>6570</v>
      </c>
      <c r="C659" s="2">
        <f t="shared" si="10"/>
        <v>16.909931506849315</v>
      </c>
    </row>
    <row r="660" spans="2:3" x14ac:dyDescent="0.45">
      <c r="B660">
        <v>6580</v>
      </c>
      <c r="C660" s="2">
        <f t="shared" si="10"/>
        <v>16.884232522796353</v>
      </c>
    </row>
    <row r="661" spans="2:3" x14ac:dyDescent="0.45">
      <c r="B661">
        <v>6590</v>
      </c>
      <c r="C661" s="2">
        <f t="shared" si="10"/>
        <v>16.85861153262519</v>
      </c>
    </row>
    <row r="662" spans="2:3" x14ac:dyDescent="0.45">
      <c r="B662">
        <v>6600</v>
      </c>
      <c r="C662" s="2">
        <f t="shared" si="10"/>
        <v>16.833068181818181</v>
      </c>
    </row>
    <row r="663" spans="2:3" x14ac:dyDescent="0.45">
      <c r="B663">
        <v>6610</v>
      </c>
      <c r="C663" s="2">
        <f t="shared" si="10"/>
        <v>16.807602118003025</v>
      </c>
    </row>
    <row r="664" spans="2:3" x14ac:dyDescent="0.45">
      <c r="B664">
        <v>6620</v>
      </c>
      <c r="C664" s="2">
        <f t="shared" si="10"/>
        <v>16.782212990936557</v>
      </c>
    </row>
    <row r="665" spans="2:3" x14ac:dyDescent="0.45">
      <c r="B665">
        <v>6630</v>
      </c>
      <c r="C665" s="2">
        <f t="shared" si="10"/>
        <v>16.756900452488686</v>
      </c>
    </row>
    <row r="666" spans="2:3" x14ac:dyDescent="0.45">
      <c r="B666">
        <v>6640</v>
      </c>
      <c r="C666" s="2">
        <f t="shared" si="10"/>
        <v>16.731664156626508</v>
      </c>
    </row>
    <row r="667" spans="2:3" x14ac:dyDescent="0.45">
      <c r="B667">
        <v>6650</v>
      </c>
      <c r="C667" s="2">
        <f t="shared" si="10"/>
        <v>16.706503759398498</v>
      </c>
    </row>
    <row r="668" spans="2:3" x14ac:dyDescent="0.45">
      <c r="B668">
        <v>6660</v>
      </c>
      <c r="C668" s="2">
        <f t="shared" si="10"/>
        <v>16.681418918918919</v>
      </c>
    </row>
    <row r="669" spans="2:3" x14ac:dyDescent="0.45">
      <c r="B669">
        <v>6670</v>
      </c>
      <c r="C669" s="2">
        <f t="shared" si="10"/>
        <v>16.656409295352322</v>
      </c>
    </row>
    <row r="670" spans="2:3" x14ac:dyDescent="0.45">
      <c r="B670">
        <v>6680</v>
      </c>
      <c r="C670" s="2">
        <f t="shared" si="10"/>
        <v>16.631474550898204</v>
      </c>
    </row>
    <row r="671" spans="2:3" x14ac:dyDescent="0.45">
      <c r="B671">
        <v>6690</v>
      </c>
      <c r="C671" s="2">
        <f t="shared" si="10"/>
        <v>16.606614349775786</v>
      </c>
    </row>
    <row r="672" spans="2:3" x14ac:dyDescent="0.45">
      <c r="B672">
        <v>6700</v>
      </c>
      <c r="C672" s="2">
        <f t="shared" si="10"/>
        <v>16.581828358208956</v>
      </c>
    </row>
    <row r="673" spans="2:3" x14ac:dyDescent="0.45">
      <c r="B673">
        <v>6710</v>
      </c>
      <c r="C673" s="2">
        <f t="shared" si="10"/>
        <v>16.557116244411326</v>
      </c>
    </row>
    <row r="674" spans="2:3" x14ac:dyDescent="0.45">
      <c r="B674">
        <v>6720</v>
      </c>
      <c r="C674" s="2">
        <f t="shared" si="10"/>
        <v>16.532477678571428</v>
      </c>
    </row>
    <row r="675" spans="2:3" x14ac:dyDescent="0.45">
      <c r="B675">
        <v>6730</v>
      </c>
      <c r="C675" s="2">
        <f t="shared" si="10"/>
        <v>16.507912332838039</v>
      </c>
    </row>
    <row r="676" spans="2:3" x14ac:dyDescent="0.45">
      <c r="B676">
        <v>6740</v>
      </c>
      <c r="C676" s="2">
        <f t="shared" si="10"/>
        <v>16.48341988130564</v>
      </c>
    </row>
    <row r="677" spans="2:3" x14ac:dyDescent="0.45">
      <c r="B677">
        <v>6750</v>
      </c>
      <c r="C677" s="2">
        <f t="shared" si="10"/>
        <v>16.459</v>
      </c>
    </row>
    <row r="678" spans="2:3" x14ac:dyDescent="0.45">
      <c r="B678">
        <v>6760</v>
      </c>
      <c r="C678" s="2">
        <f t="shared" si="10"/>
        <v>16.434652366863904</v>
      </c>
    </row>
    <row r="679" spans="2:3" x14ac:dyDescent="0.45">
      <c r="B679">
        <v>6770</v>
      </c>
      <c r="C679" s="2">
        <f t="shared" si="10"/>
        <v>16.410376661742983</v>
      </c>
    </row>
    <row r="680" spans="2:3" x14ac:dyDescent="0.45">
      <c r="B680">
        <v>6780</v>
      </c>
      <c r="C680" s="2">
        <f t="shared" si="10"/>
        <v>16.38617256637168</v>
      </c>
    </row>
    <row r="681" spans="2:3" x14ac:dyDescent="0.45">
      <c r="B681">
        <v>6790</v>
      </c>
      <c r="C681" s="2">
        <f t="shared" si="10"/>
        <v>16.362039764359352</v>
      </c>
    </row>
    <row r="682" spans="2:3" x14ac:dyDescent="0.45">
      <c r="B682">
        <v>6800</v>
      </c>
      <c r="C682" s="2">
        <f t="shared" si="10"/>
        <v>16.337977941176472</v>
      </c>
    </row>
    <row r="683" spans="2:3" x14ac:dyDescent="0.45">
      <c r="B683">
        <v>6810</v>
      </c>
      <c r="C683" s="2">
        <f t="shared" si="10"/>
        <v>16.313986784140969</v>
      </c>
    </row>
    <row r="684" spans="2:3" x14ac:dyDescent="0.45">
      <c r="B684">
        <v>6820</v>
      </c>
      <c r="C684" s="2">
        <f t="shared" si="10"/>
        <v>16.290065982404691</v>
      </c>
    </row>
    <row r="685" spans="2:3" x14ac:dyDescent="0.45">
      <c r="B685">
        <v>6830</v>
      </c>
      <c r="C685" s="2">
        <f t="shared" si="10"/>
        <v>16.26621522693997</v>
      </c>
    </row>
    <row r="686" spans="2:3" x14ac:dyDescent="0.45">
      <c r="B686">
        <v>6840</v>
      </c>
      <c r="C686" s="2">
        <f t="shared" si="10"/>
        <v>16.242434210526316</v>
      </c>
    </row>
    <row r="687" spans="2:3" x14ac:dyDescent="0.45">
      <c r="B687">
        <v>6850</v>
      </c>
      <c r="C687" s="2">
        <f t="shared" si="10"/>
        <v>16.218722627737225</v>
      </c>
    </row>
    <row r="688" spans="2:3" x14ac:dyDescent="0.45">
      <c r="B688">
        <v>6860</v>
      </c>
      <c r="C688" s="2">
        <f t="shared" si="10"/>
        <v>16.195080174927114</v>
      </c>
    </row>
    <row r="689" spans="2:3" x14ac:dyDescent="0.45">
      <c r="B689">
        <v>6870</v>
      </c>
      <c r="C689" s="2">
        <f t="shared" si="10"/>
        <v>16.171506550218339</v>
      </c>
    </row>
    <row r="690" spans="2:3" x14ac:dyDescent="0.45">
      <c r="B690">
        <v>6880</v>
      </c>
      <c r="C690" s="2">
        <f t="shared" si="10"/>
        <v>16.148001453488373</v>
      </c>
    </row>
    <row r="691" spans="2:3" x14ac:dyDescent="0.45">
      <c r="B691">
        <v>6890</v>
      </c>
      <c r="C691" s="2">
        <f t="shared" si="10"/>
        <v>16.124564586357039</v>
      </c>
    </row>
    <row r="692" spans="2:3" x14ac:dyDescent="0.45">
      <c r="B692">
        <v>6900</v>
      </c>
      <c r="C692" s="2">
        <f t="shared" si="10"/>
        <v>16.101195652173914</v>
      </c>
    </row>
    <row r="693" spans="2:3" x14ac:dyDescent="0.45">
      <c r="B693">
        <v>6910</v>
      </c>
      <c r="C693" s="2">
        <f t="shared" si="10"/>
        <v>16.077894356005789</v>
      </c>
    </row>
    <row r="694" spans="2:3" x14ac:dyDescent="0.45">
      <c r="B694">
        <v>6920</v>
      </c>
      <c r="C694" s="2">
        <f t="shared" si="10"/>
        <v>16.054660404624279</v>
      </c>
    </row>
    <row r="695" spans="2:3" x14ac:dyDescent="0.45">
      <c r="B695">
        <v>6930</v>
      </c>
      <c r="C695" s="2">
        <f t="shared" si="10"/>
        <v>16.031493506493508</v>
      </c>
    </row>
    <row r="696" spans="2:3" x14ac:dyDescent="0.45">
      <c r="B696">
        <v>6940</v>
      </c>
      <c r="C696" s="2">
        <f t="shared" si="10"/>
        <v>16.008393371757926</v>
      </c>
    </row>
    <row r="697" spans="2:3" x14ac:dyDescent="0.45">
      <c r="B697">
        <v>6950</v>
      </c>
      <c r="C697" s="2">
        <f t="shared" si="10"/>
        <v>15.985359712230215</v>
      </c>
    </row>
    <row r="698" spans="2:3" x14ac:dyDescent="0.45">
      <c r="B698">
        <v>6960</v>
      </c>
      <c r="C698" s="2">
        <f t="shared" si="10"/>
        <v>15.962392241379311</v>
      </c>
    </row>
    <row r="699" spans="2:3" x14ac:dyDescent="0.45">
      <c r="B699">
        <v>6970</v>
      </c>
      <c r="C699" s="2">
        <f t="shared" si="10"/>
        <v>15.939490674318508</v>
      </c>
    </row>
    <row r="700" spans="2:3" x14ac:dyDescent="0.45">
      <c r="B700">
        <v>6980</v>
      </c>
      <c r="C700" s="2">
        <f t="shared" si="10"/>
        <v>15.916654727793697</v>
      </c>
    </row>
    <row r="701" spans="2:3" x14ac:dyDescent="0.45">
      <c r="B701">
        <v>6990</v>
      </c>
      <c r="C701" s="2">
        <f t="shared" si="10"/>
        <v>15.893884120171673</v>
      </c>
    </row>
    <row r="702" spans="2:3" x14ac:dyDescent="0.45">
      <c r="B702">
        <v>7000</v>
      </c>
      <c r="C702" s="2">
        <f t="shared" si="10"/>
        <v>15.871178571428571</v>
      </c>
    </row>
    <row r="703" spans="2:3" x14ac:dyDescent="0.45">
      <c r="B703">
        <v>7010</v>
      </c>
      <c r="C703" s="2">
        <f t="shared" si="10"/>
        <v>15.848537803138374</v>
      </c>
    </row>
    <row r="704" spans="2:3" x14ac:dyDescent="0.45">
      <c r="B704">
        <v>7020</v>
      </c>
      <c r="C704" s="2">
        <f t="shared" si="10"/>
        <v>15.825961538461538</v>
      </c>
    </row>
    <row r="705" spans="2:3" x14ac:dyDescent="0.45">
      <c r="B705">
        <v>7030</v>
      </c>
      <c r="C705" s="2">
        <f t="shared" si="10"/>
        <v>15.803449502133713</v>
      </c>
    </row>
    <row r="706" spans="2:3" x14ac:dyDescent="0.45">
      <c r="B706">
        <v>7040</v>
      </c>
      <c r="C706" s="2">
        <f t="shared" si="10"/>
        <v>15.781001420454546</v>
      </c>
    </row>
    <row r="707" spans="2:3" x14ac:dyDescent="0.45">
      <c r="B707">
        <v>7050</v>
      </c>
      <c r="C707" s="2">
        <f t="shared" ref="C707:C770" si="11">$A$2/B707</f>
        <v>15.758617021276596</v>
      </c>
    </row>
    <row r="708" spans="2:3" x14ac:dyDescent="0.45">
      <c r="B708">
        <v>7060</v>
      </c>
      <c r="C708" s="2">
        <f t="shared" si="11"/>
        <v>15.736296033994334</v>
      </c>
    </row>
    <row r="709" spans="2:3" x14ac:dyDescent="0.45">
      <c r="B709">
        <v>7070</v>
      </c>
      <c r="C709" s="2">
        <f t="shared" si="11"/>
        <v>15.714038189533239</v>
      </c>
    </row>
    <row r="710" spans="2:3" x14ac:dyDescent="0.45">
      <c r="B710">
        <v>7080</v>
      </c>
      <c r="C710" s="2">
        <f t="shared" si="11"/>
        <v>15.691843220338983</v>
      </c>
    </row>
    <row r="711" spans="2:3" x14ac:dyDescent="0.45">
      <c r="B711">
        <v>7090</v>
      </c>
      <c r="C711" s="2">
        <f t="shared" si="11"/>
        <v>15.669710860366713</v>
      </c>
    </row>
    <row r="712" spans="2:3" x14ac:dyDescent="0.45">
      <c r="B712">
        <v>7100</v>
      </c>
      <c r="C712" s="2">
        <f t="shared" si="11"/>
        <v>15.647640845070423</v>
      </c>
    </row>
    <row r="713" spans="2:3" x14ac:dyDescent="0.45">
      <c r="B713">
        <v>7110</v>
      </c>
      <c r="C713" s="2">
        <f t="shared" si="11"/>
        <v>15.625632911392405</v>
      </c>
    </row>
    <row r="714" spans="2:3" x14ac:dyDescent="0.45">
      <c r="B714">
        <v>7120</v>
      </c>
      <c r="C714" s="2">
        <f t="shared" si="11"/>
        <v>15.603686797752809</v>
      </c>
    </row>
    <row r="715" spans="2:3" x14ac:dyDescent="0.45">
      <c r="B715">
        <v>7130</v>
      </c>
      <c r="C715" s="2">
        <f t="shared" si="11"/>
        <v>15.58180224403927</v>
      </c>
    </row>
    <row r="716" spans="2:3" x14ac:dyDescent="0.45">
      <c r="B716">
        <v>7140</v>
      </c>
      <c r="C716" s="2">
        <f t="shared" si="11"/>
        <v>15.559978991596639</v>
      </c>
    </row>
    <row r="717" spans="2:3" x14ac:dyDescent="0.45">
      <c r="B717">
        <v>7150</v>
      </c>
      <c r="C717" s="2">
        <f t="shared" si="11"/>
        <v>15.538216783216782</v>
      </c>
    </row>
    <row r="718" spans="2:3" x14ac:dyDescent="0.45">
      <c r="B718">
        <v>7160</v>
      </c>
      <c r="C718" s="2">
        <f t="shared" si="11"/>
        <v>15.516515363128491</v>
      </c>
    </row>
    <row r="719" spans="2:3" x14ac:dyDescent="0.45">
      <c r="B719">
        <v>7170</v>
      </c>
      <c r="C719" s="2">
        <f t="shared" si="11"/>
        <v>15.494874476987448</v>
      </c>
    </row>
    <row r="720" spans="2:3" x14ac:dyDescent="0.45">
      <c r="B720">
        <v>7180</v>
      </c>
      <c r="C720" s="2">
        <f t="shared" si="11"/>
        <v>15.473293871866295</v>
      </c>
    </row>
    <row r="721" spans="2:3" x14ac:dyDescent="0.45">
      <c r="B721">
        <v>7190</v>
      </c>
      <c r="C721" s="2">
        <f t="shared" si="11"/>
        <v>15.451773296244784</v>
      </c>
    </row>
    <row r="722" spans="2:3" x14ac:dyDescent="0.45">
      <c r="B722">
        <v>7200</v>
      </c>
      <c r="C722" s="2">
        <f t="shared" si="11"/>
        <v>15.430312499999999</v>
      </c>
    </row>
    <row r="723" spans="2:3" x14ac:dyDescent="0.45">
      <c r="B723">
        <v>7210</v>
      </c>
      <c r="C723" s="2">
        <f t="shared" si="11"/>
        <v>15.408911234396671</v>
      </c>
    </row>
    <row r="724" spans="2:3" x14ac:dyDescent="0.45">
      <c r="B724">
        <v>7220</v>
      </c>
      <c r="C724" s="2">
        <f t="shared" si="11"/>
        <v>15.387569252077562</v>
      </c>
    </row>
    <row r="725" spans="2:3" x14ac:dyDescent="0.45">
      <c r="B725">
        <v>7230</v>
      </c>
      <c r="C725" s="2">
        <f t="shared" si="11"/>
        <v>15.366286307053942</v>
      </c>
    </row>
    <row r="726" spans="2:3" x14ac:dyDescent="0.45">
      <c r="B726">
        <v>7240</v>
      </c>
      <c r="C726" s="2">
        <f t="shared" si="11"/>
        <v>15.345062154696132</v>
      </c>
    </row>
    <row r="727" spans="2:3" x14ac:dyDescent="0.45">
      <c r="B727">
        <v>7250</v>
      </c>
      <c r="C727" s="2">
        <f t="shared" si="11"/>
        <v>15.323896551724138</v>
      </c>
    </row>
    <row r="728" spans="2:3" x14ac:dyDescent="0.45">
      <c r="B728">
        <v>7260</v>
      </c>
      <c r="C728" s="2">
        <f t="shared" si="11"/>
        <v>15.302789256198347</v>
      </c>
    </row>
    <row r="729" spans="2:3" x14ac:dyDescent="0.45">
      <c r="B729">
        <v>7270</v>
      </c>
      <c r="C729" s="2">
        <f t="shared" si="11"/>
        <v>15.281740027510317</v>
      </c>
    </row>
    <row r="730" spans="2:3" x14ac:dyDescent="0.45">
      <c r="B730">
        <v>7280</v>
      </c>
      <c r="C730" s="2">
        <f t="shared" si="11"/>
        <v>15.260748626373626</v>
      </c>
    </row>
    <row r="731" spans="2:3" x14ac:dyDescent="0.45">
      <c r="B731">
        <v>7290</v>
      </c>
      <c r="C731" s="2">
        <f t="shared" si="11"/>
        <v>15.239814814814816</v>
      </c>
    </row>
    <row r="732" spans="2:3" x14ac:dyDescent="0.45">
      <c r="B732">
        <v>7300</v>
      </c>
      <c r="C732" s="2">
        <f t="shared" si="11"/>
        <v>15.218938356164383</v>
      </c>
    </row>
    <row r="733" spans="2:3" x14ac:dyDescent="0.45">
      <c r="B733">
        <v>7310</v>
      </c>
      <c r="C733" s="2">
        <f t="shared" si="11"/>
        <v>15.19811901504788</v>
      </c>
    </row>
    <row r="734" spans="2:3" x14ac:dyDescent="0.45">
      <c r="B734">
        <v>7320</v>
      </c>
      <c r="C734" s="2">
        <f t="shared" si="11"/>
        <v>15.177356557377049</v>
      </c>
    </row>
    <row r="735" spans="2:3" x14ac:dyDescent="0.45">
      <c r="B735">
        <v>7330</v>
      </c>
      <c r="C735" s="2">
        <f t="shared" si="11"/>
        <v>15.156650750341065</v>
      </c>
    </row>
    <row r="736" spans="2:3" x14ac:dyDescent="0.45">
      <c r="B736">
        <v>7340</v>
      </c>
      <c r="C736" s="2">
        <f t="shared" si="11"/>
        <v>15.13600136239782</v>
      </c>
    </row>
    <row r="737" spans="2:3" x14ac:dyDescent="0.45">
      <c r="B737">
        <v>7350</v>
      </c>
      <c r="C737" s="2">
        <f t="shared" si="11"/>
        <v>15.115408163265306</v>
      </c>
    </row>
    <row r="738" spans="2:3" x14ac:dyDescent="0.45">
      <c r="B738">
        <v>7360</v>
      </c>
      <c r="C738" s="2">
        <f t="shared" si="11"/>
        <v>15.094870923913044</v>
      </c>
    </row>
    <row r="739" spans="2:3" x14ac:dyDescent="0.45">
      <c r="B739">
        <v>7370</v>
      </c>
      <c r="C739" s="2">
        <f t="shared" si="11"/>
        <v>15.074389416553595</v>
      </c>
    </row>
    <row r="740" spans="2:3" x14ac:dyDescent="0.45">
      <c r="B740">
        <v>7380</v>
      </c>
      <c r="C740" s="2">
        <f t="shared" si="11"/>
        <v>15.053963414634147</v>
      </c>
    </row>
    <row r="741" spans="2:3" x14ac:dyDescent="0.45">
      <c r="B741">
        <v>7390</v>
      </c>
      <c r="C741" s="2">
        <f t="shared" si="11"/>
        <v>15.033592692828146</v>
      </c>
    </row>
    <row r="742" spans="2:3" x14ac:dyDescent="0.45">
      <c r="B742">
        <v>7400</v>
      </c>
      <c r="C742" s="2">
        <f t="shared" si="11"/>
        <v>15.013277027027026</v>
      </c>
    </row>
    <row r="743" spans="2:3" x14ac:dyDescent="0.45">
      <c r="B743">
        <v>7410</v>
      </c>
      <c r="C743" s="2">
        <f t="shared" si="11"/>
        <v>14.993016194331984</v>
      </c>
    </row>
    <row r="744" spans="2:3" x14ac:dyDescent="0.45">
      <c r="B744">
        <v>7420</v>
      </c>
      <c r="C744" s="2">
        <f t="shared" si="11"/>
        <v>14.972809973045822</v>
      </c>
    </row>
    <row r="745" spans="2:3" x14ac:dyDescent="0.45">
      <c r="B745">
        <v>7430</v>
      </c>
      <c r="C745" s="2">
        <f t="shared" si="11"/>
        <v>14.952658142664871</v>
      </c>
    </row>
    <row r="746" spans="2:3" x14ac:dyDescent="0.45">
      <c r="B746">
        <v>7440</v>
      </c>
      <c r="C746" s="2">
        <f t="shared" si="11"/>
        <v>14.932560483870967</v>
      </c>
    </row>
    <row r="747" spans="2:3" x14ac:dyDescent="0.45">
      <c r="B747">
        <v>7450</v>
      </c>
      <c r="C747" s="2">
        <f t="shared" si="11"/>
        <v>14.912516778523489</v>
      </c>
    </row>
    <row r="748" spans="2:3" x14ac:dyDescent="0.45">
      <c r="B748">
        <v>7460</v>
      </c>
      <c r="C748" s="2">
        <f t="shared" si="11"/>
        <v>14.892526809651475</v>
      </c>
    </row>
    <row r="749" spans="2:3" x14ac:dyDescent="0.45">
      <c r="B749">
        <v>7470</v>
      </c>
      <c r="C749" s="2">
        <f t="shared" si="11"/>
        <v>14.872590361445782</v>
      </c>
    </row>
    <row r="750" spans="2:3" x14ac:dyDescent="0.45">
      <c r="B750">
        <v>7480</v>
      </c>
      <c r="C750" s="2">
        <f t="shared" si="11"/>
        <v>14.852707219251338</v>
      </c>
    </row>
    <row r="751" spans="2:3" x14ac:dyDescent="0.45">
      <c r="B751">
        <v>7490</v>
      </c>
      <c r="C751" s="2">
        <f t="shared" si="11"/>
        <v>14.832877169559412</v>
      </c>
    </row>
    <row r="752" spans="2:3" x14ac:dyDescent="0.45">
      <c r="B752">
        <v>7500</v>
      </c>
      <c r="C752" s="2">
        <f t="shared" si="11"/>
        <v>14.8131</v>
      </c>
    </row>
    <row r="753" spans="2:3" x14ac:dyDescent="0.45">
      <c r="B753">
        <v>7510</v>
      </c>
      <c r="C753" s="2">
        <f t="shared" si="11"/>
        <v>14.793375499334221</v>
      </c>
    </row>
    <row r="754" spans="2:3" x14ac:dyDescent="0.45">
      <c r="B754">
        <v>7520</v>
      </c>
      <c r="C754" s="2">
        <f t="shared" si="11"/>
        <v>14.773703457446809</v>
      </c>
    </row>
    <row r="755" spans="2:3" x14ac:dyDescent="0.45">
      <c r="B755">
        <v>7530</v>
      </c>
      <c r="C755" s="2">
        <f t="shared" si="11"/>
        <v>14.754083665338646</v>
      </c>
    </row>
    <row r="756" spans="2:3" x14ac:dyDescent="0.45">
      <c r="B756">
        <v>7540</v>
      </c>
      <c r="C756" s="2">
        <f t="shared" si="11"/>
        <v>14.734515915119363</v>
      </c>
    </row>
    <row r="757" spans="2:3" x14ac:dyDescent="0.45">
      <c r="B757">
        <v>7550</v>
      </c>
      <c r="C757" s="2">
        <f t="shared" si="11"/>
        <v>14.715</v>
      </c>
    </row>
    <row r="758" spans="2:3" x14ac:dyDescent="0.45">
      <c r="B758">
        <v>7560</v>
      </c>
      <c r="C758" s="2">
        <f t="shared" si="11"/>
        <v>14.695535714285715</v>
      </c>
    </row>
    <row r="759" spans="2:3" x14ac:dyDescent="0.45">
      <c r="B759">
        <v>7570</v>
      </c>
      <c r="C759" s="2">
        <f t="shared" si="11"/>
        <v>14.676122853368559</v>
      </c>
    </row>
    <row r="760" spans="2:3" x14ac:dyDescent="0.45">
      <c r="B760">
        <v>7580</v>
      </c>
      <c r="C760" s="2">
        <f t="shared" si="11"/>
        <v>14.656761213720317</v>
      </c>
    </row>
    <row r="761" spans="2:3" x14ac:dyDescent="0.45">
      <c r="B761">
        <v>7590</v>
      </c>
      <c r="C761" s="2">
        <f t="shared" si="11"/>
        <v>14.637450592885376</v>
      </c>
    </row>
    <row r="762" spans="2:3" x14ac:dyDescent="0.45">
      <c r="B762">
        <v>7600</v>
      </c>
      <c r="C762" s="2">
        <f t="shared" si="11"/>
        <v>14.618190789473685</v>
      </c>
    </row>
    <row r="763" spans="2:3" x14ac:dyDescent="0.45">
      <c r="B763">
        <v>7610</v>
      </c>
      <c r="C763" s="2">
        <f t="shared" si="11"/>
        <v>14.598981603153746</v>
      </c>
    </row>
    <row r="764" spans="2:3" x14ac:dyDescent="0.45">
      <c r="B764">
        <v>7620</v>
      </c>
      <c r="C764" s="2">
        <f t="shared" si="11"/>
        <v>14.57982283464567</v>
      </c>
    </row>
    <row r="765" spans="2:3" x14ac:dyDescent="0.45">
      <c r="B765">
        <v>7630</v>
      </c>
      <c r="C765" s="2">
        <f t="shared" si="11"/>
        <v>14.560714285714285</v>
      </c>
    </row>
    <row r="766" spans="2:3" x14ac:dyDescent="0.45">
      <c r="B766">
        <v>7640</v>
      </c>
      <c r="C766" s="2">
        <f t="shared" si="11"/>
        <v>14.541655759162303</v>
      </c>
    </row>
    <row r="767" spans="2:3" x14ac:dyDescent="0.45">
      <c r="B767">
        <v>7650</v>
      </c>
      <c r="C767" s="2">
        <f t="shared" si="11"/>
        <v>14.52264705882353</v>
      </c>
    </row>
    <row r="768" spans="2:3" x14ac:dyDescent="0.45">
      <c r="B768">
        <v>7660</v>
      </c>
      <c r="C768" s="2">
        <f t="shared" si="11"/>
        <v>14.503687989556136</v>
      </c>
    </row>
    <row r="769" spans="2:3" x14ac:dyDescent="0.45">
      <c r="B769">
        <v>7670</v>
      </c>
      <c r="C769" s="2">
        <f t="shared" si="11"/>
        <v>14.484778357235985</v>
      </c>
    </row>
    <row r="770" spans="2:3" x14ac:dyDescent="0.45">
      <c r="B770">
        <v>7680</v>
      </c>
      <c r="C770" s="2">
        <f t="shared" si="11"/>
        <v>14.46591796875</v>
      </c>
    </row>
    <row r="771" spans="2:3" x14ac:dyDescent="0.45">
      <c r="B771">
        <v>7690</v>
      </c>
      <c r="C771" s="2">
        <f t="shared" ref="C771:C834" si="12">$A$2/B771</f>
        <v>14.447106631989596</v>
      </c>
    </row>
    <row r="772" spans="2:3" x14ac:dyDescent="0.45">
      <c r="B772">
        <v>7700</v>
      </c>
      <c r="C772" s="2">
        <f t="shared" si="12"/>
        <v>14.428344155844156</v>
      </c>
    </row>
    <row r="773" spans="2:3" x14ac:dyDescent="0.45">
      <c r="B773">
        <v>7710</v>
      </c>
      <c r="C773" s="2">
        <f t="shared" si="12"/>
        <v>14.409630350194552</v>
      </c>
    </row>
    <row r="774" spans="2:3" x14ac:dyDescent="0.45">
      <c r="B774">
        <v>7720</v>
      </c>
      <c r="C774" s="2">
        <f t="shared" si="12"/>
        <v>14.390965025906736</v>
      </c>
    </row>
    <row r="775" spans="2:3" x14ac:dyDescent="0.45">
      <c r="B775">
        <v>7730</v>
      </c>
      <c r="C775" s="2">
        <f t="shared" si="12"/>
        <v>14.372347994825356</v>
      </c>
    </row>
    <row r="776" spans="2:3" x14ac:dyDescent="0.45">
      <c r="B776">
        <v>7740</v>
      </c>
      <c r="C776" s="2">
        <f t="shared" si="12"/>
        <v>14.353779069767441</v>
      </c>
    </row>
    <row r="777" spans="2:3" x14ac:dyDescent="0.45">
      <c r="B777">
        <v>7750</v>
      </c>
      <c r="C777" s="2">
        <f t="shared" si="12"/>
        <v>14.335258064516129</v>
      </c>
    </row>
    <row r="778" spans="2:3" x14ac:dyDescent="0.45">
      <c r="B778">
        <v>7760</v>
      </c>
      <c r="C778" s="2">
        <f t="shared" si="12"/>
        <v>14.316784793814433</v>
      </c>
    </row>
    <row r="779" spans="2:3" x14ac:dyDescent="0.45">
      <c r="B779">
        <v>7770</v>
      </c>
      <c r="C779" s="2">
        <f t="shared" si="12"/>
        <v>14.298359073359073</v>
      </c>
    </row>
    <row r="780" spans="2:3" x14ac:dyDescent="0.45">
      <c r="B780">
        <v>7780</v>
      </c>
      <c r="C780" s="2">
        <f t="shared" si="12"/>
        <v>14.279980719794345</v>
      </c>
    </row>
    <row r="781" spans="2:3" x14ac:dyDescent="0.45">
      <c r="B781">
        <v>7790</v>
      </c>
      <c r="C781" s="2">
        <f t="shared" si="12"/>
        <v>14.261649550706034</v>
      </c>
    </row>
    <row r="782" spans="2:3" x14ac:dyDescent="0.45">
      <c r="B782">
        <v>7800</v>
      </c>
      <c r="C782" s="2">
        <f t="shared" si="12"/>
        <v>14.243365384615384</v>
      </c>
    </row>
    <row r="783" spans="2:3" x14ac:dyDescent="0.45">
      <c r="B783">
        <v>7810</v>
      </c>
      <c r="C783" s="2">
        <f t="shared" si="12"/>
        <v>14.225128040973111</v>
      </c>
    </row>
    <row r="784" spans="2:3" x14ac:dyDescent="0.45">
      <c r="B784">
        <v>7820</v>
      </c>
      <c r="C784" s="2">
        <f t="shared" si="12"/>
        <v>14.206937340153452</v>
      </c>
    </row>
    <row r="785" spans="2:3" x14ac:dyDescent="0.45">
      <c r="B785">
        <v>7830</v>
      </c>
      <c r="C785" s="2">
        <f t="shared" si="12"/>
        <v>14.188793103448276</v>
      </c>
    </row>
    <row r="786" spans="2:3" x14ac:dyDescent="0.45">
      <c r="B786">
        <v>7840</v>
      </c>
      <c r="C786" s="2">
        <f t="shared" si="12"/>
        <v>14.170695153061224</v>
      </c>
    </row>
    <row r="787" spans="2:3" x14ac:dyDescent="0.45">
      <c r="B787">
        <v>7850</v>
      </c>
      <c r="C787" s="2">
        <f t="shared" si="12"/>
        <v>14.15264331210191</v>
      </c>
    </row>
    <row r="788" spans="2:3" x14ac:dyDescent="0.45">
      <c r="B788">
        <v>7860</v>
      </c>
      <c r="C788" s="2">
        <f t="shared" si="12"/>
        <v>14.134637404580152</v>
      </c>
    </row>
    <row r="789" spans="2:3" x14ac:dyDescent="0.45">
      <c r="B789">
        <v>7870</v>
      </c>
      <c r="C789" s="2">
        <f t="shared" si="12"/>
        <v>14.116677255400255</v>
      </c>
    </row>
    <row r="790" spans="2:3" x14ac:dyDescent="0.45">
      <c r="B790">
        <v>7880</v>
      </c>
      <c r="C790" s="2">
        <f t="shared" si="12"/>
        <v>14.098762690355329</v>
      </c>
    </row>
    <row r="791" spans="2:3" x14ac:dyDescent="0.45">
      <c r="B791">
        <v>7890</v>
      </c>
      <c r="C791" s="2">
        <f t="shared" si="12"/>
        <v>14.080893536121673</v>
      </c>
    </row>
    <row r="792" spans="2:3" x14ac:dyDescent="0.45">
      <c r="B792">
        <v>7900</v>
      </c>
      <c r="C792" s="2">
        <f t="shared" si="12"/>
        <v>14.063069620253165</v>
      </c>
    </row>
    <row r="793" spans="2:3" x14ac:dyDescent="0.45">
      <c r="B793">
        <v>7910</v>
      </c>
      <c r="C793" s="2">
        <f t="shared" si="12"/>
        <v>14.045290771175727</v>
      </c>
    </row>
    <row r="794" spans="2:3" x14ac:dyDescent="0.45">
      <c r="B794">
        <v>7920</v>
      </c>
      <c r="C794" s="2">
        <f t="shared" si="12"/>
        <v>14.027556818181818</v>
      </c>
    </row>
    <row r="795" spans="2:3" x14ac:dyDescent="0.45">
      <c r="B795">
        <v>7930</v>
      </c>
      <c r="C795" s="2">
        <f t="shared" si="12"/>
        <v>14.009867591424969</v>
      </c>
    </row>
    <row r="796" spans="2:3" x14ac:dyDescent="0.45">
      <c r="B796">
        <v>7940</v>
      </c>
      <c r="C796" s="2">
        <f t="shared" si="12"/>
        <v>13.992222921914358</v>
      </c>
    </row>
    <row r="797" spans="2:3" x14ac:dyDescent="0.45">
      <c r="B797">
        <v>7950</v>
      </c>
      <c r="C797" s="2">
        <f t="shared" si="12"/>
        <v>13.974622641509434</v>
      </c>
    </row>
    <row r="798" spans="2:3" x14ac:dyDescent="0.45">
      <c r="B798">
        <v>7960</v>
      </c>
      <c r="C798" s="2">
        <f t="shared" si="12"/>
        <v>13.957066582914573</v>
      </c>
    </row>
    <row r="799" spans="2:3" x14ac:dyDescent="0.45">
      <c r="B799">
        <v>7970</v>
      </c>
      <c r="C799" s="2">
        <f t="shared" si="12"/>
        <v>13.939554579673777</v>
      </c>
    </row>
    <row r="800" spans="2:3" x14ac:dyDescent="0.45">
      <c r="B800">
        <v>7980</v>
      </c>
      <c r="C800" s="2">
        <f t="shared" si="12"/>
        <v>13.922086466165414</v>
      </c>
    </row>
    <row r="801" spans="2:3" x14ac:dyDescent="0.45">
      <c r="B801">
        <v>7990</v>
      </c>
      <c r="C801" s="2">
        <f t="shared" si="12"/>
        <v>13.904662077596996</v>
      </c>
    </row>
    <row r="802" spans="2:3" x14ac:dyDescent="0.45">
      <c r="B802">
        <v>8000</v>
      </c>
      <c r="C802" s="2">
        <f t="shared" si="12"/>
        <v>13.887281249999999</v>
      </c>
    </row>
    <row r="803" spans="2:3" x14ac:dyDescent="0.45">
      <c r="B803">
        <v>8010</v>
      </c>
      <c r="C803" s="2">
        <f t="shared" si="12"/>
        <v>13.869943820224719</v>
      </c>
    </row>
    <row r="804" spans="2:3" x14ac:dyDescent="0.45">
      <c r="B804">
        <v>8020</v>
      </c>
      <c r="C804" s="2">
        <f t="shared" si="12"/>
        <v>13.852649625935163</v>
      </c>
    </row>
    <row r="805" spans="2:3" x14ac:dyDescent="0.45">
      <c r="B805">
        <v>8030</v>
      </c>
      <c r="C805" s="2">
        <f t="shared" si="12"/>
        <v>13.835398505603985</v>
      </c>
    </row>
    <row r="806" spans="2:3" x14ac:dyDescent="0.45">
      <c r="B806">
        <v>8040</v>
      </c>
      <c r="C806" s="2">
        <f t="shared" si="12"/>
        <v>13.818190298507462</v>
      </c>
    </row>
    <row r="807" spans="2:3" x14ac:dyDescent="0.45">
      <c r="B807">
        <v>8050</v>
      </c>
      <c r="C807" s="2">
        <f t="shared" si="12"/>
        <v>13.801024844720496</v>
      </c>
    </row>
    <row r="808" spans="2:3" x14ac:dyDescent="0.45">
      <c r="B808">
        <v>8060</v>
      </c>
      <c r="C808" s="2">
        <f t="shared" si="12"/>
        <v>13.783901985111662</v>
      </c>
    </row>
    <row r="809" spans="2:3" x14ac:dyDescent="0.45">
      <c r="B809">
        <v>8070</v>
      </c>
      <c r="C809" s="2">
        <f t="shared" si="12"/>
        <v>13.76682156133829</v>
      </c>
    </row>
    <row r="810" spans="2:3" x14ac:dyDescent="0.45">
      <c r="B810">
        <v>8080</v>
      </c>
      <c r="C810" s="2">
        <f t="shared" si="12"/>
        <v>13.749783415841584</v>
      </c>
    </row>
    <row r="811" spans="2:3" x14ac:dyDescent="0.45">
      <c r="B811">
        <v>8090</v>
      </c>
      <c r="C811" s="2">
        <f t="shared" si="12"/>
        <v>13.73278739184178</v>
      </c>
    </row>
    <row r="812" spans="2:3" x14ac:dyDescent="0.45">
      <c r="B812">
        <v>8100</v>
      </c>
      <c r="C812" s="2">
        <f t="shared" si="12"/>
        <v>13.715833333333334</v>
      </c>
    </row>
    <row r="813" spans="2:3" x14ac:dyDescent="0.45">
      <c r="B813">
        <v>8110</v>
      </c>
      <c r="C813" s="2">
        <f t="shared" si="12"/>
        <v>13.698921085080148</v>
      </c>
    </row>
    <row r="814" spans="2:3" x14ac:dyDescent="0.45">
      <c r="B814">
        <v>8120</v>
      </c>
      <c r="C814" s="2">
        <f t="shared" si="12"/>
        <v>13.682050492610838</v>
      </c>
    </row>
    <row r="815" spans="2:3" x14ac:dyDescent="0.45">
      <c r="B815">
        <v>8130</v>
      </c>
      <c r="C815" s="2">
        <f t="shared" si="12"/>
        <v>13.665221402214023</v>
      </c>
    </row>
    <row r="816" spans="2:3" x14ac:dyDescent="0.45">
      <c r="B816">
        <v>8140</v>
      </c>
      <c r="C816" s="2">
        <f t="shared" si="12"/>
        <v>13.648433660933661</v>
      </c>
    </row>
    <row r="817" spans="2:3" x14ac:dyDescent="0.45">
      <c r="B817">
        <v>8150</v>
      </c>
      <c r="C817" s="2">
        <f t="shared" si="12"/>
        <v>13.631687116564418</v>
      </c>
    </row>
    <row r="818" spans="2:3" x14ac:dyDescent="0.45">
      <c r="B818">
        <v>8160</v>
      </c>
      <c r="C818" s="2">
        <f t="shared" si="12"/>
        <v>13.614981617647059</v>
      </c>
    </row>
    <row r="819" spans="2:3" x14ac:dyDescent="0.45">
      <c r="B819">
        <v>8170</v>
      </c>
      <c r="C819" s="2">
        <f t="shared" si="12"/>
        <v>13.598317013463893</v>
      </c>
    </row>
    <row r="820" spans="2:3" x14ac:dyDescent="0.45">
      <c r="B820">
        <v>8180</v>
      </c>
      <c r="C820" s="2">
        <f t="shared" si="12"/>
        <v>13.58169315403423</v>
      </c>
    </row>
    <row r="821" spans="2:3" x14ac:dyDescent="0.45">
      <c r="B821">
        <v>8190</v>
      </c>
      <c r="C821" s="2">
        <f t="shared" si="12"/>
        <v>13.565109890109889</v>
      </c>
    </row>
    <row r="822" spans="2:3" x14ac:dyDescent="0.45">
      <c r="B822">
        <v>8200</v>
      </c>
      <c r="C822" s="2">
        <f t="shared" si="12"/>
        <v>13.548567073170732</v>
      </c>
    </row>
    <row r="823" spans="2:3" x14ac:dyDescent="0.45">
      <c r="B823">
        <v>8210</v>
      </c>
      <c r="C823" s="2">
        <f t="shared" si="12"/>
        <v>13.53206455542022</v>
      </c>
    </row>
    <row r="824" spans="2:3" x14ac:dyDescent="0.45">
      <c r="B824">
        <v>8220</v>
      </c>
      <c r="C824" s="2">
        <f t="shared" si="12"/>
        <v>13.515602189781022</v>
      </c>
    </row>
    <row r="825" spans="2:3" x14ac:dyDescent="0.45">
      <c r="B825">
        <v>8230</v>
      </c>
      <c r="C825" s="2">
        <f t="shared" si="12"/>
        <v>13.499179829890643</v>
      </c>
    </row>
    <row r="826" spans="2:3" x14ac:dyDescent="0.45">
      <c r="B826">
        <v>8240</v>
      </c>
      <c r="C826" s="2">
        <f t="shared" si="12"/>
        <v>13.482797330097087</v>
      </c>
    </row>
    <row r="827" spans="2:3" x14ac:dyDescent="0.45">
      <c r="B827">
        <v>8250</v>
      </c>
      <c r="C827" s="2">
        <f t="shared" si="12"/>
        <v>13.466454545454546</v>
      </c>
    </row>
    <row r="828" spans="2:3" x14ac:dyDescent="0.45">
      <c r="B828">
        <v>8260</v>
      </c>
      <c r="C828" s="2">
        <f t="shared" si="12"/>
        <v>13.450151331719129</v>
      </c>
    </row>
    <row r="829" spans="2:3" x14ac:dyDescent="0.45">
      <c r="B829">
        <v>8270</v>
      </c>
      <c r="C829" s="2">
        <f t="shared" si="12"/>
        <v>13.43388754534462</v>
      </c>
    </row>
    <row r="830" spans="2:3" x14ac:dyDescent="0.45">
      <c r="B830">
        <v>8280</v>
      </c>
      <c r="C830" s="2">
        <f t="shared" si="12"/>
        <v>13.41766304347826</v>
      </c>
    </row>
    <row r="831" spans="2:3" x14ac:dyDescent="0.45">
      <c r="B831">
        <v>8290</v>
      </c>
      <c r="C831" s="2">
        <f t="shared" si="12"/>
        <v>13.401477683956575</v>
      </c>
    </row>
    <row r="832" spans="2:3" x14ac:dyDescent="0.45">
      <c r="B832">
        <v>8300</v>
      </c>
      <c r="C832" s="2">
        <f t="shared" si="12"/>
        <v>13.385331325301205</v>
      </c>
    </row>
    <row r="833" spans="2:3" x14ac:dyDescent="0.45">
      <c r="B833">
        <v>8310</v>
      </c>
      <c r="C833" s="2">
        <f t="shared" si="12"/>
        <v>13.369223826714801</v>
      </c>
    </row>
    <row r="834" spans="2:3" x14ac:dyDescent="0.45">
      <c r="B834">
        <v>8320</v>
      </c>
      <c r="C834" s="2">
        <f t="shared" si="12"/>
        <v>13.353155048076923</v>
      </c>
    </row>
    <row r="835" spans="2:3" x14ac:dyDescent="0.45">
      <c r="B835">
        <v>8330</v>
      </c>
      <c r="C835" s="2">
        <f t="shared" ref="C835:C898" si="13">$A$2/B835</f>
        <v>13.337124849939975</v>
      </c>
    </row>
    <row r="836" spans="2:3" x14ac:dyDescent="0.45">
      <c r="B836">
        <v>8340</v>
      </c>
      <c r="C836" s="2">
        <f t="shared" si="13"/>
        <v>13.32113309352518</v>
      </c>
    </row>
    <row r="837" spans="2:3" x14ac:dyDescent="0.45">
      <c r="B837">
        <v>8350</v>
      </c>
      <c r="C837" s="2">
        <f t="shared" si="13"/>
        <v>13.305179640718563</v>
      </c>
    </row>
    <row r="838" spans="2:3" x14ac:dyDescent="0.45">
      <c r="B838">
        <v>8360</v>
      </c>
      <c r="C838" s="2">
        <f t="shared" si="13"/>
        <v>13.289264354066985</v>
      </c>
    </row>
    <row r="839" spans="2:3" x14ac:dyDescent="0.45">
      <c r="B839">
        <v>8370</v>
      </c>
      <c r="C839" s="2">
        <f t="shared" si="13"/>
        <v>13.273387096774194</v>
      </c>
    </row>
    <row r="840" spans="2:3" x14ac:dyDescent="0.45">
      <c r="B840">
        <v>8380</v>
      </c>
      <c r="C840" s="2">
        <f t="shared" si="13"/>
        <v>13.257547732696898</v>
      </c>
    </row>
    <row r="841" spans="2:3" x14ac:dyDescent="0.45">
      <c r="B841">
        <v>8390</v>
      </c>
      <c r="C841" s="2">
        <f t="shared" si="13"/>
        <v>13.241746126340882</v>
      </c>
    </row>
    <row r="842" spans="2:3" x14ac:dyDescent="0.45">
      <c r="B842">
        <v>8400</v>
      </c>
      <c r="C842" s="2">
        <f t="shared" si="13"/>
        <v>13.225982142857143</v>
      </c>
    </row>
    <row r="843" spans="2:3" x14ac:dyDescent="0.45">
      <c r="B843">
        <v>8410</v>
      </c>
      <c r="C843" s="2">
        <f t="shared" si="13"/>
        <v>13.21025564803805</v>
      </c>
    </row>
    <row r="844" spans="2:3" x14ac:dyDescent="0.45">
      <c r="B844">
        <v>8420</v>
      </c>
      <c r="C844" s="2">
        <f t="shared" si="13"/>
        <v>13.194566508313539</v>
      </c>
    </row>
    <row r="845" spans="2:3" x14ac:dyDescent="0.45">
      <c r="B845">
        <v>8430</v>
      </c>
      <c r="C845" s="2">
        <f t="shared" si="13"/>
        <v>13.178914590747331</v>
      </c>
    </row>
    <row r="846" spans="2:3" x14ac:dyDescent="0.45">
      <c r="B846">
        <v>8440</v>
      </c>
      <c r="C846" s="2">
        <f t="shared" si="13"/>
        <v>13.163299763033175</v>
      </c>
    </row>
    <row r="847" spans="2:3" x14ac:dyDescent="0.45">
      <c r="B847">
        <v>8450</v>
      </c>
      <c r="C847" s="2">
        <f t="shared" si="13"/>
        <v>13.147721893491124</v>
      </c>
    </row>
    <row r="848" spans="2:3" x14ac:dyDescent="0.45">
      <c r="B848">
        <v>8460</v>
      </c>
      <c r="C848" s="2">
        <f t="shared" si="13"/>
        <v>13.132180851063829</v>
      </c>
    </row>
    <row r="849" spans="2:3" x14ac:dyDescent="0.45">
      <c r="B849">
        <v>8470</v>
      </c>
      <c r="C849" s="2">
        <f t="shared" si="13"/>
        <v>13.116676505312869</v>
      </c>
    </row>
    <row r="850" spans="2:3" x14ac:dyDescent="0.45">
      <c r="B850">
        <v>8480</v>
      </c>
      <c r="C850" s="2">
        <f t="shared" si="13"/>
        <v>13.101208726415095</v>
      </c>
    </row>
    <row r="851" spans="2:3" x14ac:dyDescent="0.45">
      <c r="B851">
        <v>8490</v>
      </c>
      <c r="C851" s="2">
        <f t="shared" si="13"/>
        <v>13.085777385159011</v>
      </c>
    </row>
    <row r="852" spans="2:3" x14ac:dyDescent="0.45">
      <c r="B852">
        <v>8500</v>
      </c>
      <c r="C852" s="2">
        <f t="shared" si="13"/>
        <v>13.070382352941177</v>
      </c>
    </row>
    <row r="853" spans="2:3" x14ac:dyDescent="0.45">
      <c r="B853">
        <v>8510</v>
      </c>
      <c r="C853" s="2">
        <f t="shared" si="13"/>
        <v>13.055023501762632</v>
      </c>
    </row>
    <row r="854" spans="2:3" x14ac:dyDescent="0.45">
      <c r="B854">
        <v>8520</v>
      </c>
      <c r="C854" s="2">
        <f t="shared" si="13"/>
        <v>13.039700704225352</v>
      </c>
    </row>
    <row r="855" spans="2:3" x14ac:dyDescent="0.45">
      <c r="B855">
        <v>8530</v>
      </c>
      <c r="C855" s="2">
        <f t="shared" si="13"/>
        <v>13.024413833528723</v>
      </c>
    </row>
    <row r="856" spans="2:3" x14ac:dyDescent="0.45">
      <c r="B856">
        <v>8540</v>
      </c>
      <c r="C856" s="2">
        <f t="shared" si="13"/>
        <v>13.009162763466042</v>
      </c>
    </row>
    <row r="857" spans="2:3" x14ac:dyDescent="0.45">
      <c r="B857">
        <v>8550</v>
      </c>
      <c r="C857" s="2">
        <f t="shared" si="13"/>
        <v>12.993947368421052</v>
      </c>
    </row>
    <row r="858" spans="2:3" x14ac:dyDescent="0.45">
      <c r="B858">
        <v>8560</v>
      </c>
      <c r="C858" s="2">
        <f t="shared" si="13"/>
        <v>12.978767523364485</v>
      </c>
    </row>
    <row r="859" spans="2:3" x14ac:dyDescent="0.45">
      <c r="B859">
        <v>8570</v>
      </c>
      <c r="C859" s="2">
        <f t="shared" si="13"/>
        <v>12.963623103850642</v>
      </c>
    </row>
    <row r="860" spans="2:3" x14ac:dyDescent="0.45">
      <c r="B860">
        <v>8580</v>
      </c>
      <c r="C860" s="2">
        <f t="shared" si="13"/>
        <v>12.948513986013985</v>
      </c>
    </row>
    <row r="861" spans="2:3" x14ac:dyDescent="0.45">
      <c r="B861">
        <v>8590</v>
      </c>
      <c r="C861" s="2">
        <f t="shared" si="13"/>
        <v>12.933440046565774</v>
      </c>
    </row>
    <row r="862" spans="2:3" x14ac:dyDescent="0.45">
      <c r="B862">
        <v>8600</v>
      </c>
      <c r="C862" s="2">
        <f t="shared" si="13"/>
        <v>12.918401162790698</v>
      </c>
    </row>
    <row r="863" spans="2:3" x14ac:dyDescent="0.45">
      <c r="B863">
        <v>8610</v>
      </c>
      <c r="C863" s="2">
        <f t="shared" si="13"/>
        <v>12.903397212543554</v>
      </c>
    </row>
    <row r="864" spans="2:3" x14ac:dyDescent="0.45">
      <c r="B864">
        <v>8620</v>
      </c>
      <c r="C864" s="2">
        <f t="shared" si="13"/>
        <v>12.88842807424594</v>
      </c>
    </row>
    <row r="865" spans="2:3" x14ac:dyDescent="0.45">
      <c r="B865">
        <v>8630</v>
      </c>
      <c r="C865" s="2">
        <f t="shared" si="13"/>
        <v>12.873493626882967</v>
      </c>
    </row>
    <row r="866" spans="2:3" x14ac:dyDescent="0.45">
      <c r="B866">
        <v>8640</v>
      </c>
      <c r="C866" s="2">
        <f t="shared" si="13"/>
        <v>12.858593750000001</v>
      </c>
    </row>
    <row r="867" spans="2:3" x14ac:dyDescent="0.45">
      <c r="B867">
        <v>8650</v>
      </c>
      <c r="C867" s="2">
        <f t="shared" si="13"/>
        <v>12.843728323699422</v>
      </c>
    </row>
    <row r="868" spans="2:3" x14ac:dyDescent="0.45">
      <c r="B868">
        <v>8660</v>
      </c>
      <c r="C868" s="2">
        <f t="shared" si="13"/>
        <v>12.828897228637413</v>
      </c>
    </row>
    <row r="869" spans="2:3" x14ac:dyDescent="0.45">
      <c r="B869">
        <v>8670</v>
      </c>
      <c r="C869" s="2">
        <f t="shared" si="13"/>
        <v>12.814100346020762</v>
      </c>
    </row>
    <row r="870" spans="2:3" x14ac:dyDescent="0.45">
      <c r="B870">
        <v>8680</v>
      </c>
      <c r="C870" s="2">
        <f t="shared" si="13"/>
        <v>12.799337557603687</v>
      </c>
    </row>
    <row r="871" spans="2:3" x14ac:dyDescent="0.45">
      <c r="B871">
        <v>8690</v>
      </c>
      <c r="C871" s="2">
        <f t="shared" si="13"/>
        <v>12.784608745684695</v>
      </c>
    </row>
    <row r="872" spans="2:3" x14ac:dyDescent="0.45">
      <c r="B872">
        <v>8700</v>
      </c>
      <c r="C872" s="2">
        <f t="shared" si="13"/>
        <v>12.769913793103449</v>
      </c>
    </row>
    <row r="873" spans="2:3" x14ac:dyDescent="0.45">
      <c r="B873">
        <v>8710</v>
      </c>
      <c r="C873" s="2">
        <f t="shared" si="13"/>
        <v>12.755252583237658</v>
      </c>
    </row>
    <row r="874" spans="2:3" x14ac:dyDescent="0.45">
      <c r="B874">
        <v>8720</v>
      </c>
      <c r="C874" s="2">
        <f t="shared" si="13"/>
        <v>12.740625</v>
      </c>
    </row>
    <row r="875" spans="2:3" x14ac:dyDescent="0.45">
      <c r="B875">
        <v>8730</v>
      </c>
      <c r="C875" s="2">
        <f t="shared" si="13"/>
        <v>12.726030927835051</v>
      </c>
    </row>
    <row r="876" spans="2:3" x14ac:dyDescent="0.45">
      <c r="B876">
        <v>8740</v>
      </c>
      <c r="C876" s="2">
        <f t="shared" si="13"/>
        <v>12.711470251716246</v>
      </c>
    </row>
    <row r="877" spans="2:3" x14ac:dyDescent="0.45">
      <c r="B877">
        <v>8750</v>
      </c>
      <c r="C877" s="2">
        <f t="shared" si="13"/>
        <v>12.696942857142858</v>
      </c>
    </row>
    <row r="878" spans="2:3" x14ac:dyDescent="0.45">
      <c r="B878">
        <v>8760</v>
      </c>
      <c r="C878" s="2">
        <f t="shared" si="13"/>
        <v>12.682448630136987</v>
      </c>
    </row>
    <row r="879" spans="2:3" x14ac:dyDescent="0.45">
      <c r="B879">
        <v>8770</v>
      </c>
      <c r="C879" s="2">
        <f t="shared" si="13"/>
        <v>12.667987457240592</v>
      </c>
    </row>
    <row r="880" spans="2:3" x14ac:dyDescent="0.45">
      <c r="B880">
        <v>8780</v>
      </c>
      <c r="C880" s="2">
        <f t="shared" si="13"/>
        <v>12.653559225512529</v>
      </c>
    </row>
    <row r="881" spans="2:3" x14ac:dyDescent="0.45">
      <c r="B881">
        <v>8790</v>
      </c>
      <c r="C881" s="2">
        <f t="shared" si="13"/>
        <v>12.639163822525598</v>
      </c>
    </row>
    <row r="882" spans="2:3" x14ac:dyDescent="0.45">
      <c r="B882">
        <v>8800</v>
      </c>
      <c r="C882" s="2">
        <f t="shared" si="13"/>
        <v>12.624801136363637</v>
      </c>
    </row>
    <row r="883" spans="2:3" x14ac:dyDescent="0.45">
      <c r="B883">
        <v>8810</v>
      </c>
      <c r="C883" s="2">
        <f t="shared" si="13"/>
        <v>12.610471055618616</v>
      </c>
    </row>
    <row r="884" spans="2:3" x14ac:dyDescent="0.45">
      <c r="B884">
        <v>8820</v>
      </c>
      <c r="C884" s="2">
        <f t="shared" si="13"/>
        <v>12.596173469387756</v>
      </c>
    </row>
    <row r="885" spans="2:3" x14ac:dyDescent="0.45">
      <c r="B885">
        <v>8830</v>
      </c>
      <c r="C885" s="2">
        <f t="shared" si="13"/>
        <v>12.581908267270668</v>
      </c>
    </row>
    <row r="886" spans="2:3" x14ac:dyDescent="0.45">
      <c r="B886">
        <v>8840</v>
      </c>
      <c r="C886" s="2">
        <f t="shared" si="13"/>
        <v>12.567675339366517</v>
      </c>
    </row>
    <row r="887" spans="2:3" x14ac:dyDescent="0.45">
      <c r="B887">
        <v>8850</v>
      </c>
      <c r="C887" s="2">
        <f t="shared" si="13"/>
        <v>12.553474576271187</v>
      </c>
    </row>
    <row r="888" spans="2:3" x14ac:dyDescent="0.45">
      <c r="B888">
        <v>8860</v>
      </c>
      <c r="C888" s="2">
        <f t="shared" si="13"/>
        <v>12.539305869074493</v>
      </c>
    </row>
    <row r="889" spans="2:3" x14ac:dyDescent="0.45">
      <c r="B889">
        <v>8870</v>
      </c>
      <c r="C889" s="2">
        <f t="shared" si="13"/>
        <v>12.525169109357384</v>
      </c>
    </row>
    <row r="890" spans="2:3" x14ac:dyDescent="0.45">
      <c r="B890">
        <v>8880</v>
      </c>
      <c r="C890" s="2">
        <f t="shared" si="13"/>
        <v>12.51106418918919</v>
      </c>
    </row>
    <row r="891" spans="2:3" x14ac:dyDescent="0.45">
      <c r="B891">
        <v>8890</v>
      </c>
      <c r="C891" s="2">
        <f t="shared" si="13"/>
        <v>12.49699100112486</v>
      </c>
    </row>
    <row r="892" spans="2:3" x14ac:dyDescent="0.45">
      <c r="B892">
        <v>8900</v>
      </c>
      <c r="C892" s="2">
        <f t="shared" si="13"/>
        <v>12.482949438202247</v>
      </c>
    </row>
    <row r="893" spans="2:3" x14ac:dyDescent="0.45">
      <c r="B893">
        <v>8910</v>
      </c>
      <c r="C893" s="2">
        <f t="shared" si="13"/>
        <v>12.468939393939394</v>
      </c>
    </row>
    <row r="894" spans="2:3" x14ac:dyDescent="0.45">
      <c r="B894">
        <v>8920</v>
      </c>
      <c r="C894" s="2">
        <f t="shared" si="13"/>
        <v>12.454960762331838</v>
      </c>
    </row>
    <row r="895" spans="2:3" x14ac:dyDescent="0.45">
      <c r="B895">
        <v>8930</v>
      </c>
      <c r="C895" s="2">
        <f t="shared" si="13"/>
        <v>12.441013437849945</v>
      </c>
    </row>
    <row r="896" spans="2:3" x14ac:dyDescent="0.45">
      <c r="B896">
        <v>8940</v>
      </c>
      <c r="C896" s="2">
        <f t="shared" si="13"/>
        <v>12.427097315436242</v>
      </c>
    </row>
    <row r="897" spans="2:3" x14ac:dyDescent="0.45">
      <c r="B897">
        <v>8950</v>
      </c>
      <c r="C897" s="2">
        <f t="shared" si="13"/>
        <v>12.413212290502793</v>
      </c>
    </row>
    <row r="898" spans="2:3" x14ac:dyDescent="0.45">
      <c r="B898">
        <v>8960</v>
      </c>
      <c r="C898" s="2">
        <f t="shared" si="13"/>
        <v>12.399358258928572</v>
      </c>
    </row>
    <row r="899" spans="2:3" x14ac:dyDescent="0.45">
      <c r="B899">
        <v>8970</v>
      </c>
      <c r="C899" s="2">
        <f t="shared" ref="C899:C962" si="14">$A$2/B899</f>
        <v>12.385535117056856</v>
      </c>
    </row>
    <row r="900" spans="2:3" x14ac:dyDescent="0.45">
      <c r="B900">
        <v>8980</v>
      </c>
      <c r="C900" s="2">
        <f t="shared" si="14"/>
        <v>12.37174276169265</v>
      </c>
    </row>
    <row r="901" spans="2:3" x14ac:dyDescent="0.45">
      <c r="B901">
        <v>8990</v>
      </c>
      <c r="C901" s="2">
        <f t="shared" si="14"/>
        <v>12.357981090100111</v>
      </c>
    </row>
    <row r="902" spans="2:3" x14ac:dyDescent="0.45">
      <c r="B902">
        <v>9000</v>
      </c>
      <c r="C902" s="2">
        <f t="shared" si="14"/>
        <v>12.344250000000001</v>
      </c>
    </row>
    <row r="903" spans="2:3" x14ac:dyDescent="0.45">
      <c r="B903">
        <v>9010</v>
      </c>
      <c r="C903" s="2">
        <f t="shared" si="14"/>
        <v>12.330549389567148</v>
      </c>
    </row>
    <row r="904" spans="2:3" x14ac:dyDescent="0.45">
      <c r="B904">
        <v>9020</v>
      </c>
      <c r="C904" s="2">
        <f t="shared" si="14"/>
        <v>12.316879157427937</v>
      </c>
    </row>
    <row r="905" spans="2:3" x14ac:dyDescent="0.45">
      <c r="B905">
        <v>9030</v>
      </c>
      <c r="C905" s="2">
        <f t="shared" si="14"/>
        <v>12.303239202657807</v>
      </c>
    </row>
    <row r="906" spans="2:3" x14ac:dyDescent="0.45">
      <c r="B906">
        <v>9040</v>
      </c>
      <c r="C906" s="2">
        <f t="shared" si="14"/>
        <v>12.289629424778761</v>
      </c>
    </row>
    <row r="907" spans="2:3" x14ac:dyDescent="0.45">
      <c r="B907">
        <v>9050</v>
      </c>
      <c r="C907" s="2">
        <f t="shared" si="14"/>
        <v>12.276049723756906</v>
      </c>
    </row>
    <row r="908" spans="2:3" x14ac:dyDescent="0.45">
      <c r="B908">
        <v>9060</v>
      </c>
      <c r="C908" s="2">
        <f t="shared" si="14"/>
        <v>12.262499999999999</v>
      </c>
    </row>
    <row r="909" spans="2:3" x14ac:dyDescent="0.45">
      <c r="B909">
        <v>9070</v>
      </c>
      <c r="C909" s="2">
        <f t="shared" si="14"/>
        <v>12.248980154355017</v>
      </c>
    </row>
    <row r="910" spans="2:3" x14ac:dyDescent="0.45">
      <c r="B910">
        <v>9080</v>
      </c>
      <c r="C910" s="2">
        <f t="shared" si="14"/>
        <v>12.235490088105728</v>
      </c>
    </row>
    <row r="911" spans="2:3" x14ac:dyDescent="0.45">
      <c r="B911">
        <v>9090</v>
      </c>
      <c r="C911" s="2">
        <f t="shared" si="14"/>
        <v>12.222029702970296</v>
      </c>
    </row>
    <row r="912" spans="2:3" x14ac:dyDescent="0.45">
      <c r="B912">
        <v>9100</v>
      </c>
      <c r="C912" s="2">
        <f t="shared" si="14"/>
        <v>12.208598901098901</v>
      </c>
    </row>
    <row r="913" spans="2:3" x14ac:dyDescent="0.45">
      <c r="B913">
        <v>9110</v>
      </c>
      <c r="C913" s="2">
        <f t="shared" si="14"/>
        <v>12.19519758507135</v>
      </c>
    </row>
    <row r="914" spans="2:3" x14ac:dyDescent="0.45">
      <c r="B914">
        <v>9120</v>
      </c>
      <c r="C914" s="2">
        <f t="shared" si="14"/>
        <v>12.181825657894738</v>
      </c>
    </row>
    <row r="915" spans="2:3" x14ac:dyDescent="0.45">
      <c r="B915">
        <v>9130</v>
      </c>
      <c r="C915" s="2">
        <f t="shared" si="14"/>
        <v>12.168483023001095</v>
      </c>
    </row>
    <row r="916" spans="2:3" x14ac:dyDescent="0.45">
      <c r="B916">
        <v>9140</v>
      </c>
      <c r="C916" s="2">
        <f t="shared" si="14"/>
        <v>12.155169584245076</v>
      </c>
    </row>
    <row r="917" spans="2:3" x14ac:dyDescent="0.45">
      <c r="B917">
        <v>9150</v>
      </c>
      <c r="C917" s="2">
        <f t="shared" si="14"/>
        <v>12.141885245901639</v>
      </c>
    </row>
    <row r="918" spans="2:3" x14ac:dyDescent="0.45">
      <c r="B918">
        <v>9160</v>
      </c>
      <c r="C918" s="2">
        <f t="shared" si="14"/>
        <v>12.128629912663756</v>
      </c>
    </row>
    <row r="919" spans="2:3" x14ac:dyDescent="0.45">
      <c r="B919">
        <v>9170</v>
      </c>
      <c r="C919" s="2">
        <f t="shared" si="14"/>
        <v>12.115403489640132</v>
      </c>
    </row>
    <row r="920" spans="2:3" x14ac:dyDescent="0.45">
      <c r="B920">
        <v>9180</v>
      </c>
      <c r="C920" s="2">
        <f t="shared" si="14"/>
        <v>12.102205882352941</v>
      </c>
    </row>
    <row r="921" spans="2:3" x14ac:dyDescent="0.45">
      <c r="B921">
        <v>9190</v>
      </c>
      <c r="C921" s="2">
        <f t="shared" si="14"/>
        <v>12.089036996735581</v>
      </c>
    </row>
    <row r="922" spans="2:3" x14ac:dyDescent="0.45">
      <c r="B922">
        <v>9200</v>
      </c>
      <c r="C922" s="2">
        <f t="shared" si="14"/>
        <v>12.075896739130435</v>
      </c>
    </row>
    <row r="923" spans="2:3" x14ac:dyDescent="0.45">
      <c r="B923">
        <v>9210</v>
      </c>
      <c r="C923" s="2">
        <f t="shared" si="14"/>
        <v>12.062785016286645</v>
      </c>
    </row>
    <row r="924" spans="2:3" x14ac:dyDescent="0.45">
      <c r="B924">
        <v>9220</v>
      </c>
      <c r="C924" s="2">
        <f t="shared" si="14"/>
        <v>12.049701735357917</v>
      </c>
    </row>
    <row r="925" spans="2:3" x14ac:dyDescent="0.45">
      <c r="B925">
        <v>9230</v>
      </c>
      <c r="C925" s="2">
        <f t="shared" si="14"/>
        <v>12.036646803900325</v>
      </c>
    </row>
    <row r="926" spans="2:3" x14ac:dyDescent="0.45">
      <c r="B926">
        <v>9240</v>
      </c>
      <c r="C926" s="2">
        <f t="shared" si="14"/>
        <v>12.02362012987013</v>
      </c>
    </row>
    <row r="927" spans="2:3" x14ac:dyDescent="0.45">
      <c r="B927">
        <v>9250</v>
      </c>
      <c r="C927" s="2">
        <f t="shared" si="14"/>
        <v>12.010621621621622</v>
      </c>
    </row>
    <row r="928" spans="2:3" x14ac:dyDescent="0.45">
      <c r="B928">
        <v>9260</v>
      </c>
      <c r="C928" s="2">
        <f t="shared" si="14"/>
        <v>11.997651187904967</v>
      </c>
    </row>
    <row r="929" spans="2:3" x14ac:dyDescent="0.45">
      <c r="B929">
        <v>9270</v>
      </c>
      <c r="C929" s="2">
        <f t="shared" si="14"/>
        <v>11.984708737864077</v>
      </c>
    </row>
    <row r="930" spans="2:3" x14ac:dyDescent="0.45">
      <c r="B930">
        <v>9280</v>
      </c>
      <c r="C930" s="2">
        <f t="shared" si="14"/>
        <v>11.971794181034483</v>
      </c>
    </row>
    <row r="931" spans="2:3" x14ac:dyDescent="0.45">
      <c r="B931">
        <v>9290</v>
      </c>
      <c r="C931" s="2">
        <f t="shared" si="14"/>
        <v>11.958907427341227</v>
      </c>
    </row>
    <row r="932" spans="2:3" x14ac:dyDescent="0.45">
      <c r="B932">
        <v>9300</v>
      </c>
      <c r="C932" s="2">
        <f t="shared" si="14"/>
        <v>11.946048387096774</v>
      </c>
    </row>
    <row r="933" spans="2:3" x14ac:dyDescent="0.45">
      <c r="B933">
        <v>9310</v>
      </c>
      <c r="C933" s="2">
        <f t="shared" si="14"/>
        <v>11.933216970998926</v>
      </c>
    </row>
    <row r="934" spans="2:3" x14ac:dyDescent="0.45">
      <c r="B934">
        <v>9320</v>
      </c>
      <c r="C934" s="2">
        <f t="shared" si="14"/>
        <v>11.920413090128756</v>
      </c>
    </row>
    <row r="935" spans="2:3" x14ac:dyDescent="0.45">
      <c r="B935">
        <v>9330</v>
      </c>
      <c r="C935" s="2">
        <f t="shared" si="14"/>
        <v>11.907636655948552</v>
      </c>
    </row>
    <row r="936" spans="2:3" x14ac:dyDescent="0.45">
      <c r="B936">
        <v>9340</v>
      </c>
      <c r="C936" s="2">
        <f t="shared" si="14"/>
        <v>11.894887580299786</v>
      </c>
    </row>
    <row r="937" spans="2:3" x14ac:dyDescent="0.45">
      <c r="B937">
        <v>9350</v>
      </c>
      <c r="C937" s="2">
        <f t="shared" si="14"/>
        <v>11.88216577540107</v>
      </c>
    </row>
    <row r="938" spans="2:3" x14ac:dyDescent="0.45">
      <c r="B938">
        <v>9360</v>
      </c>
      <c r="C938" s="2">
        <f t="shared" si="14"/>
        <v>11.869471153846154</v>
      </c>
    </row>
    <row r="939" spans="2:3" x14ac:dyDescent="0.45">
      <c r="B939">
        <v>9370</v>
      </c>
      <c r="C939" s="2">
        <f t="shared" si="14"/>
        <v>11.856803628601922</v>
      </c>
    </row>
    <row r="940" spans="2:3" x14ac:dyDescent="0.45">
      <c r="B940">
        <v>9380</v>
      </c>
      <c r="C940" s="2">
        <f t="shared" si="14"/>
        <v>11.844163113006397</v>
      </c>
    </row>
    <row r="941" spans="2:3" x14ac:dyDescent="0.45">
      <c r="B941">
        <v>9390</v>
      </c>
      <c r="C941" s="2">
        <f t="shared" si="14"/>
        <v>11.831549520766773</v>
      </c>
    </row>
    <row r="942" spans="2:3" x14ac:dyDescent="0.45">
      <c r="B942">
        <v>9400</v>
      </c>
      <c r="C942" s="2">
        <f t="shared" si="14"/>
        <v>11.818962765957448</v>
      </c>
    </row>
    <row r="943" spans="2:3" x14ac:dyDescent="0.45">
      <c r="B943">
        <v>9410</v>
      </c>
      <c r="C943" s="2">
        <f t="shared" si="14"/>
        <v>11.806402763018065</v>
      </c>
    </row>
    <row r="944" spans="2:3" x14ac:dyDescent="0.45">
      <c r="B944">
        <v>9420</v>
      </c>
      <c r="C944" s="2">
        <f t="shared" si="14"/>
        <v>11.793869426751593</v>
      </c>
    </row>
    <row r="945" spans="2:3" x14ac:dyDescent="0.45">
      <c r="B945">
        <v>9430</v>
      </c>
      <c r="C945" s="2">
        <f t="shared" si="14"/>
        <v>11.781362672322375</v>
      </c>
    </row>
    <row r="946" spans="2:3" x14ac:dyDescent="0.45">
      <c r="B946">
        <v>9440</v>
      </c>
      <c r="C946" s="2">
        <f t="shared" si="14"/>
        <v>11.768882415254238</v>
      </c>
    </row>
    <row r="947" spans="2:3" x14ac:dyDescent="0.45">
      <c r="B947">
        <v>9450</v>
      </c>
      <c r="C947" s="2">
        <f t="shared" si="14"/>
        <v>11.756428571428572</v>
      </c>
    </row>
    <row r="948" spans="2:3" x14ac:dyDescent="0.45">
      <c r="B948">
        <v>9460</v>
      </c>
      <c r="C948" s="2">
        <f t="shared" si="14"/>
        <v>11.744001057082452</v>
      </c>
    </row>
    <row r="949" spans="2:3" x14ac:dyDescent="0.45">
      <c r="B949">
        <v>9470</v>
      </c>
      <c r="C949" s="2">
        <f t="shared" si="14"/>
        <v>11.731599788806758</v>
      </c>
    </row>
    <row r="950" spans="2:3" x14ac:dyDescent="0.45">
      <c r="B950">
        <v>9480</v>
      </c>
      <c r="C950" s="2">
        <f t="shared" si="14"/>
        <v>11.719224683544304</v>
      </c>
    </row>
    <row r="951" spans="2:3" x14ac:dyDescent="0.45">
      <c r="B951">
        <v>9490</v>
      </c>
      <c r="C951" s="2">
        <f t="shared" si="14"/>
        <v>11.706875658587988</v>
      </c>
    </row>
    <row r="952" spans="2:3" x14ac:dyDescent="0.45">
      <c r="B952">
        <v>9500</v>
      </c>
      <c r="C952" s="2">
        <f t="shared" si="14"/>
        <v>11.694552631578947</v>
      </c>
    </row>
    <row r="953" spans="2:3" x14ac:dyDescent="0.45">
      <c r="B953">
        <v>9510</v>
      </c>
      <c r="C953" s="2">
        <f t="shared" si="14"/>
        <v>11.682255520504732</v>
      </c>
    </row>
    <row r="954" spans="2:3" x14ac:dyDescent="0.45">
      <c r="B954">
        <v>9520</v>
      </c>
      <c r="C954" s="2">
        <f t="shared" si="14"/>
        <v>11.669984243697479</v>
      </c>
    </row>
    <row r="955" spans="2:3" x14ac:dyDescent="0.45">
      <c r="B955">
        <v>9530</v>
      </c>
      <c r="C955" s="2">
        <f t="shared" si="14"/>
        <v>11.657738719832109</v>
      </c>
    </row>
    <row r="956" spans="2:3" x14ac:dyDescent="0.45">
      <c r="B956">
        <v>9540</v>
      </c>
      <c r="C956" s="2">
        <f t="shared" si="14"/>
        <v>11.645518867924528</v>
      </c>
    </row>
    <row r="957" spans="2:3" x14ac:dyDescent="0.45">
      <c r="B957">
        <v>9550</v>
      </c>
      <c r="C957" s="2">
        <f t="shared" si="14"/>
        <v>11.633324607329843</v>
      </c>
    </row>
    <row r="958" spans="2:3" x14ac:dyDescent="0.45">
      <c r="B958">
        <v>9560</v>
      </c>
      <c r="C958" s="2">
        <f t="shared" si="14"/>
        <v>11.621155857740586</v>
      </c>
    </row>
    <row r="959" spans="2:3" x14ac:dyDescent="0.45">
      <c r="B959">
        <v>9570</v>
      </c>
      <c r="C959" s="2">
        <f t="shared" si="14"/>
        <v>11.609012539184953</v>
      </c>
    </row>
    <row r="960" spans="2:3" x14ac:dyDescent="0.45">
      <c r="B960">
        <v>9580</v>
      </c>
      <c r="C960" s="2">
        <f t="shared" si="14"/>
        <v>11.596894572025052</v>
      </c>
    </row>
    <row r="961" spans="2:3" x14ac:dyDescent="0.45">
      <c r="B961">
        <v>9590</v>
      </c>
      <c r="C961" s="2">
        <f t="shared" si="14"/>
        <v>11.584801876955162</v>
      </c>
    </row>
    <row r="962" spans="2:3" x14ac:dyDescent="0.45">
      <c r="B962">
        <v>9600</v>
      </c>
      <c r="C962" s="2">
        <f t="shared" si="14"/>
        <v>11.572734375</v>
      </c>
    </row>
    <row r="963" spans="2:3" x14ac:dyDescent="0.45">
      <c r="B963">
        <v>9610</v>
      </c>
      <c r="C963" s="2">
        <f t="shared" ref="C963:C1000" si="15">$A$2/B963</f>
        <v>11.560691987513007</v>
      </c>
    </row>
    <row r="964" spans="2:3" x14ac:dyDescent="0.45">
      <c r="B964">
        <v>9620</v>
      </c>
      <c r="C964" s="2">
        <f t="shared" si="15"/>
        <v>11.548674636174637</v>
      </c>
    </row>
    <row r="965" spans="2:3" x14ac:dyDescent="0.45">
      <c r="B965">
        <v>9630</v>
      </c>
      <c r="C965" s="2">
        <f t="shared" si="15"/>
        <v>11.536682242990654</v>
      </c>
    </row>
    <row r="966" spans="2:3" x14ac:dyDescent="0.45">
      <c r="B966">
        <v>9640</v>
      </c>
      <c r="C966" s="2">
        <f t="shared" si="15"/>
        <v>11.524714730290457</v>
      </c>
    </row>
    <row r="967" spans="2:3" x14ac:dyDescent="0.45">
      <c r="B967">
        <v>9650</v>
      </c>
      <c r="C967" s="2">
        <f t="shared" si="15"/>
        <v>11.512772020725389</v>
      </c>
    </row>
    <row r="968" spans="2:3" x14ac:dyDescent="0.45">
      <c r="B968">
        <v>9660</v>
      </c>
      <c r="C968" s="2">
        <f t="shared" si="15"/>
        <v>11.50085403726708</v>
      </c>
    </row>
    <row r="969" spans="2:3" x14ac:dyDescent="0.45">
      <c r="B969">
        <v>9670</v>
      </c>
      <c r="C969" s="2">
        <f t="shared" si="15"/>
        <v>11.488960703205791</v>
      </c>
    </row>
    <row r="970" spans="2:3" x14ac:dyDescent="0.45">
      <c r="B970">
        <v>9680</v>
      </c>
      <c r="C970" s="2">
        <f t="shared" si="15"/>
        <v>11.47709194214876</v>
      </c>
    </row>
    <row r="971" spans="2:3" x14ac:dyDescent="0.45">
      <c r="B971">
        <v>9690</v>
      </c>
      <c r="C971" s="2">
        <f t="shared" si="15"/>
        <v>11.465247678018576</v>
      </c>
    </row>
    <row r="972" spans="2:3" x14ac:dyDescent="0.45">
      <c r="B972">
        <v>9700</v>
      </c>
      <c r="C972" s="2">
        <f t="shared" si="15"/>
        <v>11.453427835051546</v>
      </c>
    </row>
    <row r="973" spans="2:3" x14ac:dyDescent="0.45">
      <c r="B973">
        <v>9710</v>
      </c>
      <c r="C973" s="2">
        <f t="shared" si="15"/>
        <v>11.441632337796086</v>
      </c>
    </row>
    <row r="974" spans="2:3" x14ac:dyDescent="0.45">
      <c r="B974">
        <v>9720</v>
      </c>
      <c r="C974" s="2">
        <f t="shared" si="15"/>
        <v>11.42986111111111</v>
      </c>
    </row>
    <row r="975" spans="2:3" x14ac:dyDescent="0.45">
      <c r="B975">
        <v>9730</v>
      </c>
      <c r="C975" s="2">
        <f t="shared" si="15"/>
        <v>11.41811408016444</v>
      </c>
    </row>
    <row r="976" spans="2:3" x14ac:dyDescent="0.45">
      <c r="B976">
        <v>9740</v>
      </c>
      <c r="C976" s="2">
        <f t="shared" si="15"/>
        <v>11.406391170431212</v>
      </c>
    </row>
    <row r="977" spans="2:3" x14ac:dyDescent="0.45">
      <c r="B977">
        <v>9750</v>
      </c>
      <c r="C977" s="2">
        <f t="shared" si="15"/>
        <v>11.394692307692308</v>
      </c>
    </row>
    <row r="978" spans="2:3" x14ac:dyDescent="0.45">
      <c r="B978">
        <v>9760</v>
      </c>
      <c r="C978" s="2">
        <f t="shared" si="15"/>
        <v>11.383017418032788</v>
      </c>
    </row>
    <row r="979" spans="2:3" x14ac:dyDescent="0.45">
      <c r="B979">
        <v>9770</v>
      </c>
      <c r="C979" s="2">
        <f t="shared" si="15"/>
        <v>11.371366427840327</v>
      </c>
    </row>
    <row r="980" spans="2:3" x14ac:dyDescent="0.45">
      <c r="B980">
        <v>9780</v>
      </c>
      <c r="C980" s="2">
        <f t="shared" si="15"/>
        <v>11.35973926380368</v>
      </c>
    </row>
    <row r="981" spans="2:3" x14ac:dyDescent="0.45">
      <c r="B981">
        <v>9790</v>
      </c>
      <c r="C981" s="2">
        <f t="shared" si="15"/>
        <v>11.348135852911135</v>
      </c>
    </row>
    <row r="982" spans="2:3" x14ac:dyDescent="0.45">
      <c r="B982">
        <v>9800</v>
      </c>
      <c r="C982" s="2">
        <f t="shared" si="15"/>
        <v>11.336556122448979</v>
      </c>
    </row>
    <row r="983" spans="2:3" x14ac:dyDescent="0.45">
      <c r="B983">
        <v>9810</v>
      </c>
      <c r="C983" s="2">
        <f t="shared" si="15"/>
        <v>11.324999999999999</v>
      </c>
    </row>
    <row r="984" spans="2:3" x14ac:dyDescent="0.45">
      <c r="B984">
        <v>9820</v>
      </c>
      <c r="C984" s="2">
        <f t="shared" si="15"/>
        <v>11.313467413441956</v>
      </c>
    </row>
    <row r="985" spans="2:3" x14ac:dyDescent="0.45">
      <c r="B985">
        <v>9830</v>
      </c>
      <c r="C985" s="2">
        <f t="shared" si="15"/>
        <v>11.301958290946084</v>
      </c>
    </row>
    <row r="986" spans="2:3" x14ac:dyDescent="0.45">
      <c r="B986">
        <v>9840</v>
      </c>
      <c r="C986" s="2">
        <f t="shared" si="15"/>
        <v>11.29047256097561</v>
      </c>
    </row>
    <row r="987" spans="2:3" x14ac:dyDescent="0.45">
      <c r="B987">
        <v>9850</v>
      </c>
      <c r="C987" s="2">
        <f t="shared" si="15"/>
        <v>11.279010152284265</v>
      </c>
    </row>
    <row r="988" spans="2:3" x14ac:dyDescent="0.45">
      <c r="B988">
        <v>9860</v>
      </c>
      <c r="C988" s="2">
        <f t="shared" si="15"/>
        <v>11.267570993914807</v>
      </c>
    </row>
    <row r="989" spans="2:3" x14ac:dyDescent="0.45">
      <c r="B989">
        <v>9870</v>
      </c>
      <c r="C989" s="2">
        <f t="shared" si="15"/>
        <v>11.256155015197569</v>
      </c>
    </row>
    <row r="990" spans="2:3" x14ac:dyDescent="0.45">
      <c r="B990">
        <v>9880</v>
      </c>
      <c r="C990" s="2">
        <f t="shared" si="15"/>
        <v>11.244762145748988</v>
      </c>
    </row>
    <row r="991" spans="2:3" x14ac:dyDescent="0.45">
      <c r="B991">
        <v>9890</v>
      </c>
      <c r="C991" s="2">
        <f t="shared" si="15"/>
        <v>11.233392315470171</v>
      </c>
    </row>
    <row r="992" spans="2:3" x14ac:dyDescent="0.45">
      <c r="B992">
        <v>9900</v>
      </c>
      <c r="C992" s="2">
        <f t="shared" si="15"/>
        <v>11.222045454545455</v>
      </c>
    </row>
    <row r="993" spans="2:3" x14ac:dyDescent="0.45">
      <c r="B993">
        <v>9910</v>
      </c>
      <c r="C993" s="2">
        <f t="shared" si="15"/>
        <v>11.210721493440969</v>
      </c>
    </row>
    <row r="994" spans="2:3" x14ac:dyDescent="0.45">
      <c r="B994">
        <v>9920</v>
      </c>
      <c r="C994" s="2">
        <f t="shared" si="15"/>
        <v>11.199420362903226</v>
      </c>
    </row>
    <row r="995" spans="2:3" x14ac:dyDescent="0.45">
      <c r="B995">
        <v>9930</v>
      </c>
      <c r="C995" s="2">
        <f t="shared" si="15"/>
        <v>11.188141993957704</v>
      </c>
    </row>
    <row r="996" spans="2:3" x14ac:dyDescent="0.45">
      <c r="B996">
        <v>9940</v>
      </c>
      <c r="C996" s="2">
        <f t="shared" si="15"/>
        <v>11.176886317907444</v>
      </c>
    </row>
    <row r="997" spans="2:3" x14ac:dyDescent="0.45">
      <c r="B997">
        <v>9950</v>
      </c>
      <c r="C997" s="2">
        <f t="shared" si="15"/>
        <v>11.165653266331658</v>
      </c>
    </row>
    <row r="998" spans="2:3" x14ac:dyDescent="0.45">
      <c r="B998">
        <v>9960</v>
      </c>
      <c r="C998" s="2">
        <f t="shared" si="15"/>
        <v>11.154442771084337</v>
      </c>
    </row>
    <row r="999" spans="2:3" x14ac:dyDescent="0.45">
      <c r="B999">
        <v>9970</v>
      </c>
      <c r="C999" s="2">
        <f t="shared" si="15"/>
        <v>11.143254764292879</v>
      </c>
    </row>
    <row r="1000" spans="2:3" x14ac:dyDescent="0.45">
      <c r="B1000">
        <v>9980</v>
      </c>
      <c r="C1000" s="2">
        <f t="shared" si="15"/>
        <v>11.132089178356713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"/>
  <sheetViews>
    <sheetView zoomScaleNormal="100" workbookViewId="0"/>
  </sheetViews>
  <sheetFormatPr baseColWidth="10" defaultColWidth="9.1328125" defaultRowHeight="14.25" x14ac:dyDescent="0.45"/>
  <sheetData>
    <row r="1" spans="2:2" ht="25.5" x14ac:dyDescent="0.75">
      <c r="B1" s="59" t="s">
        <v>298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2"/>
  <sheetViews>
    <sheetView topLeftCell="A100" workbookViewId="0">
      <selection activeCell="C112" sqref="C112"/>
    </sheetView>
  </sheetViews>
  <sheetFormatPr baseColWidth="10" defaultColWidth="9.1328125" defaultRowHeight="14.25" x14ac:dyDescent="0.45"/>
  <cols>
    <col min="1" max="1" width="16.265625" customWidth="1"/>
    <col min="3" max="3" width="10.73046875" customWidth="1"/>
  </cols>
  <sheetData>
    <row r="1" spans="1:5" x14ac:dyDescent="0.45">
      <c r="A1" t="s">
        <v>230</v>
      </c>
      <c r="B1" t="s">
        <v>148</v>
      </c>
      <c r="C1" t="s">
        <v>147</v>
      </c>
      <c r="D1" t="s">
        <v>158</v>
      </c>
      <c r="E1" t="s">
        <v>159</v>
      </c>
    </row>
    <row r="2" spans="1:5" x14ac:dyDescent="0.45">
      <c r="A2">
        <v>1749.8848531310605</v>
      </c>
      <c r="B2">
        <v>0.01</v>
      </c>
      <c r="C2" s="1">
        <f>$A$2/B2</f>
        <v>174988.48531310604</v>
      </c>
      <c r="D2">
        <f>1/B2</f>
        <v>100</v>
      </c>
      <c r="E2" s="2">
        <f>1/C2</f>
        <v>5.714661728802926E-6</v>
      </c>
    </row>
    <row r="3" spans="1:5" x14ac:dyDescent="0.45">
      <c r="B3">
        <v>10</v>
      </c>
      <c r="C3" s="1">
        <f>$A$2/B3</f>
        <v>174.98848531310605</v>
      </c>
      <c r="D3">
        <f>1/B3</f>
        <v>0.1</v>
      </c>
      <c r="E3" s="2">
        <f>1/C3</f>
        <v>5.7146617288029253E-3</v>
      </c>
    </row>
    <row r="4" spans="1:5" x14ac:dyDescent="0.45">
      <c r="B4">
        <v>20</v>
      </c>
      <c r="C4" s="1">
        <f t="shared" ref="C4:C67" si="0">$A$2/B4</f>
        <v>87.494242656553027</v>
      </c>
      <c r="D4">
        <f t="shared" ref="D4:D67" si="1">1/B4</f>
        <v>0.05</v>
      </c>
      <c r="E4" s="2">
        <f t="shared" ref="E4:E67" si="2">1/C4</f>
        <v>1.1429323457605851E-2</v>
      </c>
    </row>
    <row r="5" spans="1:5" x14ac:dyDescent="0.45">
      <c r="B5">
        <v>30</v>
      </c>
      <c r="C5" s="1">
        <f t="shared" si="0"/>
        <v>58.329495104368682</v>
      </c>
      <c r="D5">
        <f t="shared" si="1"/>
        <v>3.3333333333333333E-2</v>
      </c>
      <c r="E5" s="2">
        <f t="shared" si="2"/>
        <v>1.7143985186408778E-2</v>
      </c>
    </row>
    <row r="6" spans="1:5" x14ac:dyDescent="0.45">
      <c r="B6">
        <v>40</v>
      </c>
      <c r="C6" s="1">
        <f t="shared" si="0"/>
        <v>43.747121328276513</v>
      </c>
      <c r="D6">
        <f t="shared" si="1"/>
        <v>2.5000000000000001E-2</v>
      </c>
      <c r="E6" s="2">
        <f t="shared" si="2"/>
        <v>2.2858646915211701E-2</v>
      </c>
    </row>
    <row r="7" spans="1:5" x14ac:dyDescent="0.45">
      <c r="B7">
        <v>50</v>
      </c>
      <c r="C7" s="1">
        <f t="shared" si="0"/>
        <v>34.997697062621206</v>
      </c>
      <c r="D7">
        <f t="shared" si="1"/>
        <v>0.02</v>
      </c>
      <c r="E7" s="2">
        <f t="shared" si="2"/>
        <v>2.8573308644014632E-2</v>
      </c>
    </row>
    <row r="8" spans="1:5" x14ac:dyDescent="0.45">
      <c r="B8">
        <v>60</v>
      </c>
      <c r="C8" s="1">
        <f t="shared" si="0"/>
        <v>29.164747552184341</v>
      </c>
      <c r="D8">
        <f t="shared" si="1"/>
        <v>1.6666666666666666E-2</v>
      </c>
      <c r="E8" s="2">
        <f t="shared" si="2"/>
        <v>3.4287970372817556E-2</v>
      </c>
    </row>
    <row r="9" spans="1:5" x14ac:dyDescent="0.45">
      <c r="B9">
        <v>70</v>
      </c>
      <c r="C9" s="1">
        <f t="shared" si="0"/>
        <v>24.998355044729436</v>
      </c>
      <c r="D9">
        <f t="shared" si="1"/>
        <v>1.4285714285714285E-2</v>
      </c>
      <c r="E9" s="2">
        <f t="shared" si="2"/>
        <v>4.0002632101620479E-2</v>
      </c>
    </row>
    <row r="10" spans="1:5" x14ac:dyDescent="0.45">
      <c r="B10">
        <v>80</v>
      </c>
      <c r="C10" s="1">
        <f t="shared" si="0"/>
        <v>21.873560664138257</v>
      </c>
      <c r="D10">
        <f t="shared" si="1"/>
        <v>1.2500000000000001E-2</v>
      </c>
      <c r="E10" s="2">
        <f t="shared" si="2"/>
        <v>4.5717293830423403E-2</v>
      </c>
    </row>
    <row r="11" spans="1:5" x14ac:dyDescent="0.45">
      <c r="B11">
        <v>90</v>
      </c>
      <c r="C11" s="1">
        <f t="shared" si="0"/>
        <v>19.443165034789562</v>
      </c>
      <c r="D11">
        <f t="shared" si="1"/>
        <v>1.1111111111111112E-2</v>
      </c>
      <c r="E11" s="2">
        <f t="shared" si="2"/>
        <v>5.1431955559226326E-2</v>
      </c>
    </row>
    <row r="12" spans="1:5" x14ac:dyDescent="0.45">
      <c r="B12">
        <v>100</v>
      </c>
      <c r="C12" s="1">
        <f t="shared" si="0"/>
        <v>17.498848531310603</v>
      </c>
      <c r="D12">
        <f t="shared" si="1"/>
        <v>0.01</v>
      </c>
      <c r="E12" s="2">
        <f t="shared" si="2"/>
        <v>5.7146617288029264E-2</v>
      </c>
    </row>
    <row r="13" spans="1:5" x14ac:dyDescent="0.45">
      <c r="B13">
        <v>110</v>
      </c>
      <c r="C13" s="1">
        <f t="shared" si="0"/>
        <v>15.908044119373278</v>
      </c>
      <c r="D13">
        <f t="shared" si="1"/>
        <v>9.0909090909090905E-3</v>
      </c>
      <c r="E13" s="2">
        <f t="shared" si="2"/>
        <v>6.2861279016832181E-2</v>
      </c>
    </row>
    <row r="14" spans="1:5" x14ac:dyDescent="0.45">
      <c r="B14">
        <v>120</v>
      </c>
      <c r="C14" s="1">
        <f t="shared" si="0"/>
        <v>14.582373776092171</v>
      </c>
      <c r="D14">
        <f t="shared" si="1"/>
        <v>8.3333333333333332E-3</v>
      </c>
      <c r="E14" s="2">
        <f t="shared" si="2"/>
        <v>6.8575940745635111E-2</v>
      </c>
    </row>
    <row r="15" spans="1:5" x14ac:dyDescent="0.45">
      <c r="B15">
        <v>130</v>
      </c>
      <c r="C15" s="1">
        <f t="shared" si="0"/>
        <v>13.460652716392772</v>
      </c>
      <c r="D15">
        <f t="shared" si="1"/>
        <v>7.6923076923076927E-3</v>
      </c>
      <c r="E15" s="2">
        <f t="shared" si="2"/>
        <v>7.4290602474438042E-2</v>
      </c>
    </row>
    <row r="16" spans="1:5" x14ac:dyDescent="0.45">
      <c r="B16">
        <v>140</v>
      </c>
      <c r="C16" s="1">
        <f t="shared" si="0"/>
        <v>12.499177522364718</v>
      </c>
      <c r="D16">
        <f t="shared" si="1"/>
        <v>7.1428571428571426E-3</v>
      </c>
      <c r="E16" s="2">
        <f t="shared" si="2"/>
        <v>8.0005264203240958E-2</v>
      </c>
    </row>
    <row r="17" spans="2:5" x14ac:dyDescent="0.45">
      <c r="B17">
        <v>150</v>
      </c>
      <c r="C17" s="1">
        <f t="shared" si="0"/>
        <v>11.665899020873736</v>
      </c>
      <c r="D17">
        <f t="shared" si="1"/>
        <v>6.6666666666666671E-3</v>
      </c>
      <c r="E17" s="2">
        <f t="shared" si="2"/>
        <v>8.5719925932043889E-2</v>
      </c>
    </row>
    <row r="18" spans="2:5" x14ac:dyDescent="0.45">
      <c r="B18">
        <v>160</v>
      </c>
      <c r="C18" s="1">
        <f t="shared" si="0"/>
        <v>10.936780332069128</v>
      </c>
      <c r="D18">
        <f t="shared" si="1"/>
        <v>6.2500000000000003E-3</v>
      </c>
      <c r="E18" s="2">
        <f t="shared" si="2"/>
        <v>9.1434587660846806E-2</v>
      </c>
    </row>
    <row r="19" spans="2:5" x14ac:dyDescent="0.45">
      <c r="B19">
        <v>170</v>
      </c>
      <c r="C19" s="1">
        <f t="shared" si="0"/>
        <v>10.293440312535649</v>
      </c>
      <c r="D19">
        <f t="shared" si="1"/>
        <v>5.8823529411764705E-3</v>
      </c>
      <c r="E19" s="2">
        <f t="shared" si="2"/>
        <v>9.714924938964975E-2</v>
      </c>
    </row>
    <row r="20" spans="2:5" x14ac:dyDescent="0.45">
      <c r="B20">
        <v>180</v>
      </c>
      <c r="C20" s="1">
        <f t="shared" si="0"/>
        <v>9.721582517394781</v>
      </c>
      <c r="D20">
        <f t="shared" si="1"/>
        <v>5.5555555555555558E-3</v>
      </c>
      <c r="E20" s="2">
        <f t="shared" si="2"/>
        <v>0.10286391111845265</v>
      </c>
    </row>
    <row r="21" spans="2:5" x14ac:dyDescent="0.45">
      <c r="B21">
        <v>190</v>
      </c>
      <c r="C21" s="1">
        <f t="shared" si="0"/>
        <v>9.20992027963716</v>
      </c>
      <c r="D21">
        <f t="shared" si="1"/>
        <v>5.263157894736842E-3</v>
      </c>
      <c r="E21" s="2">
        <f t="shared" si="2"/>
        <v>0.1085785728472556</v>
      </c>
    </row>
    <row r="22" spans="2:5" x14ac:dyDescent="0.45">
      <c r="B22">
        <v>200</v>
      </c>
      <c r="C22" s="1">
        <f t="shared" si="0"/>
        <v>8.7494242656553016</v>
      </c>
      <c r="D22">
        <f t="shared" si="1"/>
        <v>5.0000000000000001E-3</v>
      </c>
      <c r="E22" s="2">
        <f t="shared" si="2"/>
        <v>0.11429323457605853</v>
      </c>
    </row>
    <row r="23" spans="2:5" x14ac:dyDescent="0.45">
      <c r="B23">
        <v>210</v>
      </c>
      <c r="C23" s="1">
        <f t="shared" si="0"/>
        <v>8.3327850149098115</v>
      </c>
      <c r="D23">
        <f t="shared" si="1"/>
        <v>4.7619047619047623E-3</v>
      </c>
      <c r="E23" s="2">
        <f t="shared" si="2"/>
        <v>0.12000789630486144</v>
      </c>
    </row>
    <row r="24" spans="2:5" x14ac:dyDescent="0.45">
      <c r="B24">
        <v>220</v>
      </c>
      <c r="C24" s="1">
        <f t="shared" si="0"/>
        <v>7.9540220596866389</v>
      </c>
      <c r="D24">
        <f t="shared" si="1"/>
        <v>4.5454545454545452E-3</v>
      </c>
      <c r="E24" s="2">
        <f t="shared" si="2"/>
        <v>0.12572255803366436</v>
      </c>
    </row>
    <row r="25" spans="2:5" x14ac:dyDescent="0.45">
      <c r="B25">
        <v>230</v>
      </c>
      <c r="C25" s="1">
        <f t="shared" si="0"/>
        <v>7.6081950136133063</v>
      </c>
      <c r="D25">
        <f t="shared" si="1"/>
        <v>4.3478260869565218E-3</v>
      </c>
      <c r="E25" s="2">
        <f t="shared" si="2"/>
        <v>0.13143721976246731</v>
      </c>
    </row>
    <row r="26" spans="2:5" x14ac:dyDescent="0.45">
      <c r="B26">
        <v>240</v>
      </c>
      <c r="C26" s="1">
        <f t="shared" si="0"/>
        <v>7.2911868880460853</v>
      </c>
      <c r="D26">
        <f t="shared" si="1"/>
        <v>4.1666666666666666E-3</v>
      </c>
      <c r="E26" s="2">
        <f t="shared" si="2"/>
        <v>0.13715188149127022</v>
      </c>
    </row>
    <row r="27" spans="2:5" x14ac:dyDescent="0.45">
      <c r="B27">
        <v>250</v>
      </c>
      <c r="C27" s="1">
        <f t="shared" si="0"/>
        <v>6.9995394125242418</v>
      </c>
      <c r="D27">
        <f t="shared" si="1"/>
        <v>4.0000000000000001E-3</v>
      </c>
      <c r="E27" s="2">
        <f t="shared" si="2"/>
        <v>0.14286654322007314</v>
      </c>
    </row>
    <row r="28" spans="2:5" x14ac:dyDescent="0.45">
      <c r="B28">
        <v>260</v>
      </c>
      <c r="C28" s="1">
        <f t="shared" si="0"/>
        <v>6.7303263581963861</v>
      </c>
      <c r="D28">
        <f t="shared" si="1"/>
        <v>3.8461538461538464E-3</v>
      </c>
      <c r="E28" s="2">
        <f t="shared" si="2"/>
        <v>0.14858120494887608</v>
      </c>
    </row>
    <row r="29" spans="2:5" x14ac:dyDescent="0.45">
      <c r="B29">
        <v>270</v>
      </c>
      <c r="C29" s="1">
        <f t="shared" si="0"/>
        <v>6.4810550115965206</v>
      </c>
      <c r="D29">
        <f t="shared" si="1"/>
        <v>3.7037037037037038E-3</v>
      </c>
      <c r="E29" s="2">
        <f t="shared" si="2"/>
        <v>0.154295866677679</v>
      </c>
    </row>
    <row r="30" spans="2:5" x14ac:dyDescent="0.45">
      <c r="B30">
        <v>280</v>
      </c>
      <c r="C30" s="1">
        <f t="shared" si="0"/>
        <v>6.2495887611823591</v>
      </c>
      <c r="D30">
        <f t="shared" si="1"/>
        <v>3.5714285714285713E-3</v>
      </c>
      <c r="E30" s="2">
        <f t="shared" si="2"/>
        <v>0.16001052840648192</v>
      </c>
    </row>
    <row r="31" spans="2:5" x14ac:dyDescent="0.45">
      <c r="B31">
        <v>290</v>
      </c>
      <c r="C31" s="1">
        <f t="shared" si="0"/>
        <v>6.034085700451933</v>
      </c>
      <c r="D31">
        <f t="shared" si="1"/>
        <v>3.4482758620689655E-3</v>
      </c>
      <c r="E31" s="2">
        <f t="shared" si="2"/>
        <v>0.16572519013528483</v>
      </c>
    </row>
    <row r="32" spans="2:5" x14ac:dyDescent="0.45">
      <c r="B32">
        <v>300</v>
      </c>
      <c r="C32" s="1">
        <f t="shared" si="0"/>
        <v>5.832949510436868</v>
      </c>
      <c r="D32">
        <f t="shared" si="1"/>
        <v>3.3333333333333335E-3</v>
      </c>
      <c r="E32" s="2">
        <f t="shared" si="2"/>
        <v>0.17143985186408778</v>
      </c>
    </row>
    <row r="33" spans="2:5" x14ac:dyDescent="0.45">
      <c r="B33">
        <v>310</v>
      </c>
      <c r="C33" s="1">
        <f t="shared" si="0"/>
        <v>5.6447898488098724</v>
      </c>
      <c r="D33">
        <f t="shared" si="1"/>
        <v>3.2258064516129032E-3</v>
      </c>
      <c r="E33" s="2">
        <f t="shared" si="2"/>
        <v>0.17715451359289069</v>
      </c>
    </row>
    <row r="34" spans="2:5" x14ac:dyDescent="0.45">
      <c r="B34">
        <v>320</v>
      </c>
      <c r="C34" s="1">
        <f t="shared" si="0"/>
        <v>5.4683901660345642</v>
      </c>
      <c r="D34">
        <f t="shared" si="1"/>
        <v>3.1250000000000002E-3</v>
      </c>
      <c r="E34" s="2">
        <f t="shared" si="2"/>
        <v>0.18286917532169361</v>
      </c>
    </row>
    <row r="35" spans="2:5" x14ac:dyDescent="0.45">
      <c r="B35">
        <v>330</v>
      </c>
      <c r="C35" s="1">
        <f t="shared" si="0"/>
        <v>5.3026813731244253</v>
      </c>
      <c r="D35">
        <f t="shared" si="1"/>
        <v>3.0303030303030303E-3</v>
      </c>
      <c r="E35" s="2">
        <f t="shared" si="2"/>
        <v>0.18858383705049656</v>
      </c>
    </row>
    <row r="36" spans="2:5" x14ac:dyDescent="0.45">
      <c r="B36">
        <v>340</v>
      </c>
      <c r="C36" s="1">
        <f t="shared" si="0"/>
        <v>5.1467201562678246</v>
      </c>
      <c r="D36">
        <f t="shared" si="1"/>
        <v>2.9411764705882353E-3</v>
      </c>
      <c r="E36" s="2">
        <f t="shared" si="2"/>
        <v>0.1942984987792995</v>
      </c>
    </row>
    <row r="37" spans="2:5" x14ac:dyDescent="0.45">
      <c r="B37">
        <v>350</v>
      </c>
      <c r="C37" s="1">
        <f t="shared" si="0"/>
        <v>4.9996710089458869</v>
      </c>
      <c r="D37">
        <f t="shared" si="1"/>
        <v>2.8571428571428571E-3</v>
      </c>
      <c r="E37" s="2">
        <f t="shared" si="2"/>
        <v>0.20001316050810242</v>
      </c>
    </row>
    <row r="38" spans="2:5" x14ac:dyDescent="0.45">
      <c r="B38">
        <v>360</v>
      </c>
      <c r="C38" s="1">
        <f t="shared" si="0"/>
        <v>4.8607912586973905</v>
      </c>
      <c r="D38">
        <f t="shared" si="1"/>
        <v>2.7777777777777779E-3</v>
      </c>
      <c r="E38" s="2">
        <f t="shared" si="2"/>
        <v>0.20572782223690531</v>
      </c>
    </row>
    <row r="39" spans="2:5" x14ac:dyDescent="0.45">
      <c r="B39">
        <v>370</v>
      </c>
      <c r="C39" s="1">
        <f t="shared" si="0"/>
        <v>4.7294185219758393</v>
      </c>
      <c r="D39">
        <f t="shared" si="1"/>
        <v>2.7027027027027029E-3</v>
      </c>
      <c r="E39" s="2">
        <f t="shared" si="2"/>
        <v>0.21144248396570825</v>
      </c>
    </row>
    <row r="40" spans="2:5" x14ac:dyDescent="0.45">
      <c r="B40">
        <v>380</v>
      </c>
      <c r="C40" s="1">
        <f t="shared" si="0"/>
        <v>4.60496013981858</v>
      </c>
      <c r="D40">
        <f t="shared" si="1"/>
        <v>2.631578947368421E-3</v>
      </c>
      <c r="E40" s="2">
        <f t="shared" si="2"/>
        <v>0.21715714569451119</v>
      </c>
    </row>
    <row r="41" spans="2:5" x14ac:dyDescent="0.45">
      <c r="B41">
        <v>390</v>
      </c>
      <c r="C41" s="1">
        <f t="shared" si="0"/>
        <v>4.4868842387975914</v>
      </c>
      <c r="D41">
        <f t="shared" si="1"/>
        <v>2.5641025641025641E-3</v>
      </c>
      <c r="E41" s="2">
        <f t="shared" si="2"/>
        <v>0.22287180742331408</v>
      </c>
    </row>
    <row r="42" spans="2:5" x14ac:dyDescent="0.45">
      <c r="B42">
        <v>400</v>
      </c>
      <c r="C42" s="1">
        <f t="shared" si="0"/>
        <v>4.3747121328276508</v>
      </c>
      <c r="D42">
        <f t="shared" si="1"/>
        <v>2.5000000000000001E-3</v>
      </c>
      <c r="E42" s="2">
        <f t="shared" si="2"/>
        <v>0.22858646915211706</v>
      </c>
    </row>
    <row r="43" spans="2:5" x14ac:dyDescent="0.45">
      <c r="B43">
        <v>410</v>
      </c>
      <c r="C43" s="1">
        <f t="shared" si="0"/>
        <v>4.2680118369050257</v>
      </c>
      <c r="D43">
        <f t="shared" si="1"/>
        <v>2.4390243902439024E-3</v>
      </c>
      <c r="E43" s="2">
        <f t="shared" si="2"/>
        <v>0.23430113088091994</v>
      </c>
    </row>
    <row r="44" spans="2:5" x14ac:dyDescent="0.45">
      <c r="B44">
        <v>420</v>
      </c>
      <c r="C44" s="1">
        <f t="shared" si="0"/>
        <v>4.1663925074549057</v>
      </c>
      <c r="D44">
        <f t="shared" si="1"/>
        <v>2.3809523809523812E-3</v>
      </c>
      <c r="E44" s="2">
        <f t="shared" si="2"/>
        <v>0.24001579260972289</v>
      </c>
    </row>
    <row r="45" spans="2:5" x14ac:dyDescent="0.45">
      <c r="B45">
        <v>430</v>
      </c>
      <c r="C45" s="1">
        <f t="shared" si="0"/>
        <v>4.069499658444327</v>
      </c>
      <c r="D45">
        <f t="shared" si="1"/>
        <v>2.3255813953488372E-3</v>
      </c>
      <c r="E45" s="2">
        <f t="shared" si="2"/>
        <v>0.24573045433852578</v>
      </c>
    </row>
    <row r="46" spans="2:5" x14ac:dyDescent="0.45">
      <c r="B46">
        <v>440</v>
      </c>
      <c r="C46" s="1">
        <f t="shared" si="0"/>
        <v>3.9770110298433194</v>
      </c>
      <c r="D46">
        <f t="shared" si="1"/>
        <v>2.2727272727272726E-3</v>
      </c>
      <c r="E46" s="2">
        <f t="shared" si="2"/>
        <v>0.25144511606732872</v>
      </c>
    </row>
    <row r="47" spans="2:5" x14ac:dyDescent="0.45">
      <c r="B47">
        <v>450</v>
      </c>
      <c r="C47" s="1">
        <f t="shared" si="0"/>
        <v>3.888633006957912</v>
      </c>
      <c r="D47">
        <f t="shared" si="1"/>
        <v>2.2222222222222222E-3</v>
      </c>
      <c r="E47" s="2">
        <f t="shared" si="2"/>
        <v>0.25715977779613169</v>
      </c>
    </row>
    <row r="48" spans="2:5" x14ac:dyDescent="0.45">
      <c r="B48">
        <v>460</v>
      </c>
      <c r="C48" s="1">
        <f t="shared" si="0"/>
        <v>3.8040975068066532</v>
      </c>
      <c r="D48">
        <f t="shared" si="1"/>
        <v>2.1739130434782609E-3</v>
      </c>
      <c r="E48" s="2">
        <f t="shared" si="2"/>
        <v>0.26287443952493461</v>
      </c>
    </row>
    <row r="49" spans="2:5" x14ac:dyDescent="0.45">
      <c r="B49">
        <v>470</v>
      </c>
      <c r="C49" s="1">
        <f t="shared" si="0"/>
        <v>3.7231592619809799</v>
      </c>
      <c r="D49">
        <f t="shared" si="1"/>
        <v>2.1276595744680851E-3</v>
      </c>
      <c r="E49" s="2">
        <f t="shared" si="2"/>
        <v>0.26858910125373753</v>
      </c>
    </row>
    <row r="50" spans="2:5" x14ac:dyDescent="0.45">
      <c r="B50">
        <v>480</v>
      </c>
      <c r="C50" s="1">
        <f t="shared" si="0"/>
        <v>3.6455934440230426</v>
      </c>
      <c r="D50">
        <f t="shared" si="1"/>
        <v>2.0833333333333333E-3</v>
      </c>
      <c r="E50" s="2">
        <f t="shared" si="2"/>
        <v>0.27430376298254044</v>
      </c>
    </row>
    <row r="51" spans="2:5" x14ac:dyDescent="0.45">
      <c r="B51">
        <v>490</v>
      </c>
      <c r="C51" s="1">
        <f t="shared" si="0"/>
        <v>3.5711935778184909</v>
      </c>
      <c r="D51">
        <f t="shared" si="1"/>
        <v>2.0408163265306124E-3</v>
      </c>
      <c r="E51" s="2">
        <f t="shared" si="2"/>
        <v>0.28001842471134336</v>
      </c>
    </row>
    <row r="52" spans="2:5" x14ac:dyDescent="0.45">
      <c r="B52">
        <v>500</v>
      </c>
      <c r="C52" s="1">
        <f t="shared" si="0"/>
        <v>3.4997697062621209</v>
      </c>
      <c r="D52">
        <f t="shared" si="1"/>
        <v>2E-3</v>
      </c>
      <c r="E52" s="2">
        <f t="shared" si="2"/>
        <v>0.28573308644014628</v>
      </c>
    </row>
    <row r="53" spans="2:5" x14ac:dyDescent="0.45">
      <c r="B53">
        <v>510</v>
      </c>
      <c r="C53" s="1">
        <f t="shared" si="0"/>
        <v>3.4311467708452166</v>
      </c>
      <c r="D53">
        <f t="shared" si="1"/>
        <v>1.9607843137254902E-3</v>
      </c>
      <c r="E53" s="2">
        <f t="shared" si="2"/>
        <v>0.29144774816894919</v>
      </c>
    </row>
    <row r="54" spans="2:5" x14ac:dyDescent="0.45">
      <c r="B54">
        <v>520</v>
      </c>
      <c r="C54" s="1">
        <f t="shared" si="0"/>
        <v>3.3651631790981931</v>
      </c>
      <c r="D54">
        <f t="shared" si="1"/>
        <v>1.9230769230769232E-3</v>
      </c>
      <c r="E54" s="2">
        <f t="shared" si="2"/>
        <v>0.29716240989775217</v>
      </c>
    </row>
    <row r="55" spans="2:5" x14ac:dyDescent="0.45">
      <c r="B55">
        <v>530</v>
      </c>
      <c r="C55" s="1">
        <f t="shared" si="0"/>
        <v>3.3016695342095481</v>
      </c>
      <c r="D55">
        <f t="shared" si="1"/>
        <v>1.8867924528301887E-3</v>
      </c>
      <c r="E55" s="2">
        <f t="shared" si="2"/>
        <v>0.30287707162655508</v>
      </c>
    </row>
    <row r="56" spans="2:5" x14ac:dyDescent="0.45">
      <c r="B56">
        <v>540</v>
      </c>
      <c r="C56" s="1">
        <f t="shared" si="0"/>
        <v>3.2405275057982603</v>
      </c>
      <c r="D56">
        <f t="shared" si="1"/>
        <v>1.8518518518518519E-3</v>
      </c>
      <c r="E56" s="2">
        <f t="shared" si="2"/>
        <v>0.308591733355358</v>
      </c>
    </row>
    <row r="57" spans="2:5" x14ac:dyDescent="0.45">
      <c r="B57">
        <v>550</v>
      </c>
      <c r="C57" s="1">
        <f t="shared" si="0"/>
        <v>3.1816088238746554</v>
      </c>
      <c r="D57">
        <f t="shared" si="1"/>
        <v>1.8181818181818182E-3</v>
      </c>
      <c r="E57" s="2">
        <f t="shared" si="2"/>
        <v>0.31430639508416092</v>
      </c>
    </row>
    <row r="58" spans="2:5" x14ac:dyDescent="0.45">
      <c r="B58">
        <v>560</v>
      </c>
      <c r="C58" s="1">
        <f t="shared" si="0"/>
        <v>3.1247943805911795</v>
      </c>
      <c r="D58">
        <f t="shared" si="1"/>
        <v>1.7857142857142857E-3</v>
      </c>
      <c r="E58" s="2">
        <f t="shared" si="2"/>
        <v>0.32002105681296383</v>
      </c>
    </row>
    <row r="59" spans="2:5" x14ac:dyDescent="0.45">
      <c r="B59">
        <v>570</v>
      </c>
      <c r="C59" s="1">
        <f t="shared" si="0"/>
        <v>3.0699734265457201</v>
      </c>
      <c r="D59">
        <f t="shared" si="1"/>
        <v>1.7543859649122807E-3</v>
      </c>
      <c r="E59" s="2">
        <f t="shared" si="2"/>
        <v>0.32573571854176675</v>
      </c>
    </row>
    <row r="60" spans="2:5" x14ac:dyDescent="0.45">
      <c r="B60">
        <v>580</v>
      </c>
      <c r="C60" s="1">
        <f t="shared" si="0"/>
        <v>3.0170428502259665</v>
      </c>
      <c r="D60">
        <f t="shared" si="1"/>
        <v>1.7241379310344827E-3</v>
      </c>
      <c r="E60" s="2">
        <f t="shared" si="2"/>
        <v>0.33145038027056967</v>
      </c>
    </row>
    <row r="61" spans="2:5" x14ac:dyDescent="0.45">
      <c r="B61">
        <v>590</v>
      </c>
      <c r="C61" s="1">
        <f t="shared" si="0"/>
        <v>2.9659065307306109</v>
      </c>
      <c r="D61">
        <f t="shared" si="1"/>
        <v>1.6949152542372881E-3</v>
      </c>
      <c r="E61" s="2">
        <f t="shared" si="2"/>
        <v>0.33716504199937264</v>
      </c>
    </row>
    <row r="62" spans="2:5" x14ac:dyDescent="0.45">
      <c r="B62">
        <v>600</v>
      </c>
      <c r="C62" s="1">
        <f t="shared" si="0"/>
        <v>2.916474755218434</v>
      </c>
      <c r="D62">
        <f t="shared" si="1"/>
        <v>1.6666666666666668E-3</v>
      </c>
      <c r="E62" s="2">
        <f t="shared" si="2"/>
        <v>0.34287970372817556</v>
      </c>
    </row>
    <row r="63" spans="2:5" x14ac:dyDescent="0.45">
      <c r="B63">
        <v>610</v>
      </c>
      <c r="C63" s="1">
        <f t="shared" si="0"/>
        <v>2.8686636936574761</v>
      </c>
      <c r="D63">
        <f t="shared" si="1"/>
        <v>1.639344262295082E-3</v>
      </c>
      <c r="E63" s="2">
        <f t="shared" si="2"/>
        <v>0.34859436545697847</v>
      </c>
    </row>
    <row r="64" spans="2:5" x14ac:dyDescent="0.45">
      <c r="B64">
        <v>620</v>
      </c>
      <c r="C64" s="1">
        <f t="shared" si="0"/>
        <v>2.8223949244049362</v>
      </c>
      <c r="D64">
        <f t="shared" si="1"/>
        <v>1.6129032258064516E-3</v>
      </c>
      <c r="E64" s="2">
        <f t="shared" si="2"/>
        <v>0.35430902718578139</v>
      </c>
    </row>
    <row r="65" spans="2:5" x14ac:dyDescent="0.45">
      <c r="B65">
        <v>630</v>
      </c>
      <c r="C65" s="1">
        <f t="shared" si="0"/>
        <v>2.7775950049699372</v>
      </c>
      <c r="D65">
        <f t="shared" si="1"/>
        <v>1.5873015873015873E-3</v>
      </c>
      <c r="E65" s="2">
        <f t="shared" si="2"/>
        <v>0.36002368891458436</v>
      </c>
    </row>
    <row r="66" spans="2:5" x14ac:dyDescent="0.45">
      <c r="B66">
        <v>640</v>
      </c>
      <c r="C66" s="1">
        <f t="shared" si="0"/>
        <v>2.7341950830172821</v>
      </c>
      <c r="D66">
        <f t="shared" si="1"/>
        <v>1.5625000000000001E-3</v>
      </c>
      <c r="E66" s="2">
        <f t="shared" si="2"/>
        <v>0.36573835064338722</v>
      </c>
    </row>
    <row r="67" spans="2:5" x14ac:dyDescent="0.45">
      <c r="B67">
        <v>650</v>
      </c>
      <c r="C67" s="1">
        <f t="shared" si="0"/>
        <v>2.6921305432785547</v>
      </c>
      <c r="D67">
        <f t="shared" si="1"/>
        <v>1.5384615384615385E-3</v>
      </c>
      <c r="E67" s="2">
        <f t="shared" si="2"/>
        <v>0.37145301237219014</v>
      </c>
    </row>
    <row r="68" spans="2:5" x14ac:dyDescent="0.45">
      <c r="B68">
        <v>660</v>
      </c>
      <c r="C68" s="1">
        <f t="shared" ref="C68:C112" si="3">$A$2/B68</f>
        <v>2.6513406865622127</v>
      </c>
      <c r="D68">
        <f t="shared" ref="D68:D101" si="4">1/B68</f>
        <v>1.5151515151515152E-3</v>
      </c>
      <c r="E68" s="2">
        <f t="shared" ref="E68:E101" si="5">1/C68</f>
        <v>0.37716767410099311</v>
      </c>
    </row>
    <row r="69" spans="2:5" x14ac:dyDescent="0.45">
      <c r="B69">
        <v>670</v>
      </c>
      <c r="C69" s="1">
        <f t="shared" si="3"/>
        <v>2.6117684375090455</v>
      </c>
      <c r="D69">
        <f t="shared" si="4"/>
        <v>1.4925373134328358E-3</v>
      </c>
      <c r="E69" s="2">
        <f t="shared" si="5"/>
        <v>0.38288233582979603</v>
      </c>
    </row>
    <row r="70" spans="2:5" x14ac:dyDescent="0.45">
      <c r="B70">
        <v>680</v>
      </c>
      <c r="C70" s="1">
        <f t="shared" si="3"/>
        <v>2.5733600781339123</v>
      </c>
      <c r="D70">
        <f t="shared" si="4"/>
        <v>1.4705882352941176E-3</v>
      </c>
      <c r="E70" s="2">
        <f t="shared" si="5"/>
        <v>0.388596997558599</v>
      </c>
    </row>
    <row r="71" spans="2:5" x14ac:dyDescent="0.45">
      <c r="B71">
        <v>690</v>
      </c>
      <c r="C71" s="1">
        <f t="shared" si="3"/>
        <v>2.5360650045377686</v>
      </c>
      <c r="D71">
        <f t="shared" si="4"/>
        <v>1.4492753623188406E-3</v>
      </c>
      <c r="E71" s="2">
        <f t="shared" si="5"/>
        <v>0.39431165928740192</v>
      </c>
    </row>
    <row r="72" spans="2:5" x14ac:dyDescent="0.45">
      <c r="B72">
        <v>700</v>
      </c>
      <c r="C72" s="1">
        <f t="shared" si="3"/>
        <v>2.4998355044729434</v>
      </c>
      <c r="D72">
        <f t="shared" si="4"/>
        <v>1.4285714285714286E-3</v>
      </c>
      <c r="E72" s="2">
        <f t="shared" si="5"/>
        <v>0.40002632101620483</v>
      </c>
    </row>
    <row r="73" spans="2:5" x14ac:dyDescent="0.45">
      <c r="B73">
        <v>710</v>
      </c>
      <c r="C73" s="1">
        <f t="shared" si="3"/>
        <v>2.464626553705719</v>
      </c>
      <c r="D73">
        <f t="shared" si="4"/>
        <v>1.4084507042253522E-3</v>
      </c>
      <c r="E73" s="2">
        <f t="shared" si="5"/>
        <v>0.40574098274500775</v>
      </c>
    </row>
    <row r="74" spans="2:5" x14ac:dyDescent="0.45">
      <c r="B74">
        <v>720</v>
      </c>
      <c r="C74" s="1">
        <f t="shared" si="3"/>
        <v>2.4303956293486952</v>
      </c>
      <c r="D74">
        <f t="shared" si="4"/>
        <v>1.3888888888888889E-3</v>
      </c>
      <c r="E74" s="2">
        <f t="shared" si="5"/>
        <v>0.41145564447381061</v>
      </c>
    </row>
    <row r="75" spans="2:5" x14ac:dyDescent="0.45">
      <c r="B75">
        <v>730</v>
      </c>
      <c r="C75" s="1">
        <f t="shared" si="3"/>
        <v>2.3971025385356994</v>
      </c>
      <c r="D75">
        <f t="shared" si="4"/>
        <v>1.3698630136986301E-3</v>
      </c>
      <c r="E75" s="2">
        <f t="shared" si="5"/>
        <v>0.41717030620261358</v>
      </c>
    </row>
    <row r="76" spans="2:5" x14ac:dyDescent="0.45">
      <c r="B76">
        <v>740</v>
      </c>
      <c r="C76" s="1">
        <f t="shared" si="3"/>
        <v>2.3647092609879197</v>
      </c>
      <c r="D76">
        <f t="shared" si="4"/>
        <v>1.3513513513513514E-3</v>
      </c>
      <c r="E76" s="2">
        <f t="shared" si="5"/>
        <v>0.4228849679314165</v>
      </c>
    </row>
    <row r="77" spans="2:5" x14ac:dyDescent="0.45">
      <c r="B77">
        <v>750</v>
      </c>
      <c r="C77" s="1">
        <f t="shared" si="3"/>
        <v>2.3331798041747471</v>
      </c>
      <c r="D77">
        <f t="shared" si="4"/>
        <v>1.3333333333333333E-3</v>
      </c>
      <c r="E77" s="2">
        <f t="shared" si="5"/>
        <v>0.42859962966021947</v>
      </c>
    </row>
    <row r="78" spans="2:5" x14ac:dyDescent="0.45">
      <c r="B78">
        <v>760</v>
      </c>
      <c r="C78" s="1">
        <f t="shared" si="3"/>
        <v>2.30248006990929</v>
      </c>
      <c r="D78">
        <f t="shared" si="4"/>
        <v>1.3157894736842105E-3</v>
      </c>
      <c r="E78" s="2">
        <f t="shared" si="5"/>
        <v>0.43431429138902239</v>
      </c>
    </row>
    <row r="79" spans="2:5" x14ac:dyDescent="0.45">
      <c r="B79">
        <v>770</v>
      </c>
      <c r="C79" s="1">
        <f t="shared" si="3"/>
        <v>2.2725777313390396</v>
      </c>
      <c r="D79">
        <f t="shared" si="4"/>
        <v>1.2987012987012987E-3</v>
      </c>
      <c r="E79" s="2">
        <f t="shared" si="5"/>
        <v>0.44002895311782531</v>
      </c>
    </row>
    <row r="80" spans="2:5" x14ac:dyDescent="0.45">
      <c r="B80">
        <v>780</v>
      </c>
      <c r="C80" s="1">
        <f t="shared" si="3"/>
        <v>2.2434421193987957</v>
      </c>
      <c r="D80">
        <f t="shared" si="4"/>
        <v>1.2820512820512821E-3</v>
      </c>
      <c r="E80" s="2">
        <f t="shared" si="5"/>
        <v>0.44574361484662817</v>
      </c>
    </row>
    <row r="81" spans="2:5" x14ac:dyDescent="0.45">
      <c r="B81">
        <v>790</v>
      </c>
      <c r="C81" s="1">
        <f t="shared" si="3"/>
        <v>2.2150441178874183</v>
      </c>
      <c r="D81">
        <f t="shared" si="4"/>
        <v>1.2658227848101266E-3</v>
      </c>
      <c r="E81" s="2">
        <f t="shared" si="5"/>
        <v>0.45145827657543114</v>
      </c>
    </row>
    <row r="82" spans="2:5" x14ac:dyDescent="0.45">
      <c r="B82">
        <v>800</v>
      </c>
      <c r="C82" s="1">
        <f t="shared" si="3"/>
        <v>2.1873560664138254</v>
      </c>
      <c r="D82">
        <f t="shared" si="4"/>
        <v>1.25E-3</v>
      </c>
      <c r="E82" s="2">
        <f t="shared" si="5"/>
        <v>0.45717293830423411</v>
      </c>
    </row>
    <row r="83" spans="2:5" x14ac:dyDescent="0.45">
      <c r="B83">
        <v>810</v>
      </c>
      <c r="C83" s="1">
        <f t="shared" si="3"/>
        <v>2.1603516705321733</v>
      </c>
      <c r="D83">
        <f t="shared" si="4"/>
        <v>1.2345679012345679E-3</v>
      </c>
      <c r="E83" s="2">
        <f t="shared" si="5"/>
        <v>0.46288760003303703</v>
      </c>
    </row>
    <row r="84" spans="2:5" x14ac:dyDescent="0.45">
      <c r="B84">
        <v>820</v>
      </c>
      <c r="C84" s="1">
        <f t="shared" si="3"/>
        <v>2.1340059184525129</v>
      </c>
      <c r="D84">
        <f t="shared" si="4"/>
        <v>1.2195121951219512E-3</v>
      </c>
      <c r="E84" s="2">
        <f t="shared" si="5"/>
        <v>0.46860226176183989</v>
      </c>
    </row>
    <row r="85" spans="2:5" x14ac:dyDescent="0.45">
      <c r="B85">
        <v>830</v>
      </c>
      <c r="C85" s="1">
        <f t="shared" si="3"/>
        <v>2.108295003772362</v>
      </c>
      <c r="D85">
        <f t="shared" si="4"/>
        <v>1.2048192771084338E-3</v>
      </c>
      <c r="E85" s="2">
        <f t="shared" si="5"/>
        <v>0.47431692349064286</v>
      </c>
    </row>
    <row r="86" spans="2:5" x14ac:dyDescent="0.45">
      <c r="B86">
        <v>840</v>
      </c>
      <c r="C86" s="1">
        <f t="shared" si="3"/>
        <v>2.0831962537274529</v>
      </c>
      <c r="D86">
        <f t="shared" si="4"/>
        <v>1.1904761904761906E-3</v>
      </c>
      <c r="E86" s="2">
        <f t="shared" si="5"/>
        <v>0.48003158521944578</v>
      </c>
    </row>
    <row r="87" spans="2:5" x14ac:dyDescent="0.45">
      <c r="B87">
        <v>850</v>
      </c>
      <c r="C87" s="1">
        <f t="shared" si="3"/>
        <v>2.0586880625071298</v>
      </c>
      <c r="D87">
        <f t="shared" si="4"/>
        <v>1.176470588235294E-3</v>
      </c>
      <c r="E87" s="2">
        <f t="shared" si="5"/>
        <v>0.48574624694824875</v>
      </c>
    </row>
    <row r="88" spans="2:5" x14ac:dyDescent="0.45">
      <c r="B88">
        <v>860</v>
      </c>
      <c r="C88" s="1">
        <f t="shared" si="3"/>
        <v>2.0347498292221635</v>
      </c>
      <c r="D88">
        <f t="shared" si="4"/>
        <v>1.1627906976744186E-3</v>
      </c>
      <c r="E88" s="2">
        <f t="shared" si="5"/>
        <v>0.49146090867705156</v>
      </c>
    </row>
    <row r="89" spans="2:5" x14ac:dyDescent="0.45">
      <c r="B89">
        <v>870</v>
      </c>
      <c r="C89" s="1">
        <f t="shared" si="3"/>
        <v>2.0113619001506442</v>
      </c>
      <c r="D89">
        <f t="shared" si="4"/>
        <v>1.1494252873563218E-3</v>
      </c>
      <c r="E89" s="2">
        <f t="shared" si="5"/>
        <v>0.49717557040585453</v>
      </c>
    </row>
    <row r="90" spans="2:5" x14ac:dyDescent="0.45">
      <c r="B90">
        <v>880</v>
      </c>
      <c r="C90" s="1">
        <f t="shared" si="3"/>
        <v>1.9885055149216597</v>
      </c>
      <c r="D90">
        <f t="shared" si="4"/>
        <v>1.1363636363636363E-3</v>
      </c>
      <c r="E90" s="2">
        <f t="shared" si="5"/>
        <v>0.50289023213465744</v>
      </c>
    </row>
    <row r="91" spans="2:5" x14ac:dyDescent="0.45">
      <c r="B91">
        <v>890</v>
      </c>
      <c r="C91" s="1">
        <f t="shared" si="3"/>
        <v>1.9661627563270343</v>
      </c>
      <c r="D91">
        <f t="shared" si="4"/>
        <v>1.1235955056179776E-3</v>
      </c>
      <c r="E91" s="2">
        <f t="shared" si="5"/>
        <v>0.50860489386346042</v>
      </c>
    </row>
    <row r="92" spans="2:5" x14ac:dyDescent="0.45">
      <c r="B92">
        <v>900</v>
      </c>
      <c r="C92" s="1">
        <f t="shared" si="3"/>
        <v>1.944316503478956</v>
      </c>
      <c r="D92">
        <f t="shared" si="4"/>
        <v>1.1111111111111111E-3</v>
      </c>
      <c r="E92" s="2">
        <f t="shared" si="5"/>
        <v>0.51431955559226339</v>
      </c>
    </row>
    <row r="93" spans="2:5" x14ac:dyDescent="0.45">
      <c r="B93">
        <v>910</v>
      </c>
      <c r="C93" s="1">
        <f t="shared" si="3"/>
        <v>1.9229503880561105</v>
      </c>
      <c r="D93">
        <f t="shared" si="4"/>
        <v>1.0989010989010989E-3</v>
      </c>
      <c r="E93" s="2">
        <f t="shared" si="5"/>
        <v>0.52003421732106625</v>
      </c>
    </row>
    <row r="94" spans="2:5" x14ac:dyDescent="0.45">
      <c r="B94">
        <v>920</v>
      </c>
      <c r="C94" s="1">
        <f t="shared" si="3"/>
        <v>1.9020487534033266</v>
      </c>
      <c r="D94">
        <f t="shared" si="4"/>
        <v>1.0869565217391304E-3</v>
      </c>
      <c r="E94" s="2">
        <f t="shared" si="5"/>
        <v>0.52574887904986922</v>
      </c>
    </row>
    <row r="95" spans="2:5" x14ac:dyDescent="0.45">
      <c r="B95">
        <v>930</v>
      </c>
      <c r="C95" s="1">
        <f t="shared" si="3"/>
        <v>1.8815966162699576</v>
      </c>
      <c r="D95">
        <f t="shared" si="4"/>
        <v>1.0752688172043011E-3</v>
      </c>
      <c r="E95" s="2">
        <f t="shared" si="5"/>
        <v>0.53146354077867208</v>
      </c>
    </row>
    <row r="96" spans="2:5" x14ac:dyDescent="0.45">
      <c r="B96">
        <v>940</v>
      </c>
      <c r="C96" s="1">
        <f t="shared" si="3"/>
        <v>1.86157963099049</v>
      </c>
      <c r="D96">
        <f t="shared" si="4"/>
        <v>1.0638297872340426E-3</v>
      </c>
      <c r="E96" s="2">
        <f t="shared" si="5"/>
        <v>0.53717820250747506</v>
      </c>
    </row>
    <row r="97" spans="2:5" x14ac:dyDescent="0.45">
      <c r="B97">
        <v>950</v>
      </c>
      <c r="C97" s="1">
        <f t="shared" si="3"/>
        <v>1.8419840559274321</v>
      </c>
      <c r="D97">
        <f t="shared" si="4"/>
        <v>1.0526315789473684E-3</v>
      </c>
      <c r="E97" s="2">
        <f t="shared" si="5"/>
        <v>0.54289286423627792</v>
      </c>
    </row>
    <row r="98" spans="2:5" x14ac:dyDescent="0.45">
      <c r="B98">
        <v>960</v>
      </c>
      <c r="C98" s="1">
        <f t="shared" si="3"/>
        <v>1.8227967220115213</v>
      </c>
      <c r="D98">
        <f t="shared" si="4"/>
        <v>1.0416666666666667E-3</v>
      </c>
      <c r="E98" s="2">
        <f t="shared" si="5"/>
        <v>0.54860752596508089</v>
      </c>
    </row>
    <row r="99" spans="2:5" x14ac:dyDescent="0.45">
      <c r="B99">
        <v>970</v>
      </c>
      <c r="C99" s="1">
        <f t="shared" si="3"/>
        <v>1.8040050032278974</v>
      </c>
      <c r="D99">
        <f t="shared" si="4"/>
        <v>1.0309278350515464E-3</v>
      </c>
      <c r="E99" s="2">
        <f t="shared" si="5"/>
        <v>0.55432218769388386</v>
      </c>
    </row>
    <row r="100" spans="2:5" x14ac:dyDescent="0.45">
      <c r="B100">
        <v>980</v>
      </c>
      <c r="C100" s="1">
        <f t="shared" si="3"/>
        <v>1.7855967889092454</v>
      </c>
      <c r="D100">
        <f t="shared" si="4"/>
        <v>1.0204081632653062E-3</v>
      </c>
      <c r="E100" s="2">
        <f t="shared" si="5"/>
        <v>0.56003684942268672</v>
      </c>
    </row>
    <row r="101" spans="2:5" x14ac:dyDescent="0.45">
      <c r="B101">
        <v>990</v>
      </c>
      <c r="C101" s="1">
        <f t="shared" si="3"/>
        <v>1.7675604577081419</v>
      </c>
      <c r="D101">
        <f t="shared" si="4"/>
        <v>1.0101010101010101E-3</v>
      </c>
      <c r="E101" s="2">
        <f t="shared" si="5"/>
        <v>0.56575151115148969</v>
      </c>
    </row>
    <row r="102" spans="2:5" x14ac:dyDescent="0.45">
      <c r="B102">
        <v>930</v>
      </c>
      <c r="C102" s="1">
        <f t="shared" si="3"/>
        <v>1.8815966162699576</v>
      </c>
      <c r="D102">
        <f t="shared" ref="D102:D112" si="6">1/B102</f>
        <v>1.0752688172043011E-3</v>
      </c>
      <c r="E102" s="2">
        <f t="shared" ref="E102:E112" si="7">1/C102</f>
        <v>0.53146354077867208</v>
      </c>
    </row>
    <row r="103" spans="2:5" x14ac:dyDescent="0.45">
      <c r="B103">
        <v>940</v>
      </c>
      <c r="C103" s="1">
        <f t="shared" si="3"/>
        <v>1.86157963099049</v>
      </c>
      <c r="D103">
        <f t="shared" si="6"/>
        <v>1.0638297872340426E-3</v>
      </c>
      <c r="E103" s="2">
        <f t="shared" si="7"/>
        <v>0.53717820250747506</v>
      </c>
    </row>
    <row r="104" spans="2:5" x14ac:dyDescent="0.45">
      <c r="B104">
        <v>950</v>
      </c>
      <c r="C104" s="1">
        <f t="shared" si="3"/>
        <v>1.8419840559274321</v>
      </c>
      <c r="D104">
        <f t="shared" si="6"/>
        <v>1.0526315789473684E-3</v>
      </c>
      <c r="E104" s="2">
        <f t="shared" si="7"/>
        <v>0.54289286423627792</v>
      </c>
    </row>
    <row r="105" spans="2:5" x14ac:dyDescent="0.45">
      <c r="B105">
        <v>960</v>
      </c>
      <c r="C105" s="1">
        <f t="shared" si="3"/>
        <v>1.8227967220115213</v>
      </c>
      <c r="D105">
        <f t="shared" si="6"/>
        <v>1.0416666666666667E-3</v>
      </c>
      <c r="E105" s="2">
        <f t="shared" si="7"/>
        <v>0.54860752596508089</v>
      </c>
    </row>
    <row r="106" spans="2:5" x14ac:dyDescent="0.45">
      <c r="B106">
        <v>970</v>
      </c>
      <c r="C106" s="1">
        <f t="shared" si="3"/>
        <v>1.8040050032278974</v>
      </c>
      <c r="D106">
        <f t="shared" si="6"/>
        <v>1.0309278350515464E-3</v>
      </c>
      <c r="E106" s="2">
        <f t="shared" si="7"/>
        <v>0.55432218769388386</v>
      </c>
    </row>
    <row r="107" spans="2:5" x14ac:dyDescent="0.45">
      <c r="B107">
        <v>980</v>
      </c>
      <c r="C107" s="1">
        <f t="shared" si="3"/>
        <v>1.7855967889092454</v>
      </c>
      <c r="D107">
        <f t="shared" si="6"/>
        <v>1.0204081632653062E-3</v>
      </c>
      <c r="E107" s="2">
        <f t="shared" si="7"/>
        <v>0.56003684942268672</v>
      </c>
    </row>
    <row r="108" spans="2:5" x14ac:dyDescent="0.45">
      <c r="B108">
        <v>990</v>
      </c>
      <c r="C108" s="1">
        <f t="shared" si="3"/>
        <v>1.7675604577081419</v>
      </c>
      <c r="D108">
        <f t="shared" si="6"/>
        <v>1.0101010101010101E-3</v>
      </c>
      <c r="E108" s="2">
        <f t="shared" si="7"/>
        <v>0.56575151115148969</v>
      </c>
    </row>
    <row r="109" spans="2:5" x14ac:dyDescent="0.45">
      <c r="B109">
        <v>1000</v>
      </c>
      <c r="C109" s="1">
        <f t="shared" si="3"/>
        <v>1.7498848531310605</v>
      </c>
      <c r="D109">
        <f t="shared" si="6"/>
        <v>1E-3</v>
      </c>
      <c r="E109" s="2">
        <f t="shared" si="7"/>
        <v>0.57146617288029256</v>
      </c>
    </row>
    <row r="110" spans="2:5" x14ac:dyDescent="0.45">
      <c r="B110">
        <v>2000</v>
      </c>
      <c r="C110" s="1">
        <f t="shared" si="3"/>
        <v>0.87494242656553023</v>
      </c>
      <c r="D110">
        <f t="shared" si="6"/>
        <v>5.0000000000000001E-4</v>
      </c>
      <c r="E110" s="2">
        <f t="shared" si="7"/>
        <v>1.1429323457605851</v>
      </c>
    </row>
    <row r="111" spans="2:5" x14ac:dyDescent="0.45">
      <c r="B111">
        <v>3000</v>
      </c>
      <c r="C111" s="1">
        <f t="shared" si="3"/>
        <v>0.58329495104368678</v>
      </c>
      <c r="D111">
        <f t="shared" si="6"/>
        <v>3.3333333333333332E-4</v>
      </c>
      <c r="E111" s="2">
        <f t="shared" si="7"/>
        <v>1.7143985186408779</v>
      </c>
    </row>
    <row r="112" spans="2:5" x14ac:dyDescent="0.45">
      <c r="B112">
        <v>5000</v>
      </c>
      <c r="C112" s="1">
        <f t="shared" si="3"/>
        <v>0.34997697062621208</v>
      </c>
      <c r="D112">
        <f t="shared" si="6"/>
        <v>2.0000000000000001E-4</v>
      </c>
      <c r="E112" s="2">
        <f t="shared" si="7"/>
        <v>2.857330864401463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00"/>
  <sheetViews>
    <sheetView workbookViewId="0">
      <selection activeCell="C2" sqref="C2"/>
    </sheetView>
  </sheetViews>
  <sheetFormatPr baseColWidth="10" defaultColWidth="9.1328125" defaultRowHeight="14.25" x14ac:dyDescent="0.45"/>
  <cols>
    <col min="1" max="1" width="36.73046875" customWidth="1"/>
    <col min="3" max="3" width="12.1328125" customWidth="1"/>
    <col min="9" max="9" width="10.265625" bestFit="1" customWidth="1"/>
  </cols>
  <sheetData>
    <row r="1" spans="1:9" x14ac:dyDescent="0.45">
      <c r="A1" t="s">
        <v>154</v>
      </c>
      <c r="B1" t="s">
        <v>148</v>
      </c>
      <c r="C1" t="s">
        <v>147</v>
      </c>
    </row>
    <row r="2" spans="1:9" x14ac:dyDescent="0.45">
      <c r="A2" s="1">
        <v>27040.32</v>
      </c>
      <c r="B2">
        <v>1</v>
      </c>
      <c r="C2" s="2">
        <f>$A$2/B2</f>
        <v>27040.32</v>
      </c>
      <c r="G2" s="1"/>
      <c r="I2" s="2"/>
    </row>
    <row r="3" spans="1:9" x14ac:dyDescent="0.45">
      <c r="B3">
        <v>10</v>
      </c>
      <c r="C3" s="2">
        <f t="shared" ref="C3:C66" si="0">$A$2/B3</f>
        <v>2704.0320000000002</v>
      </c>
      <c r="G3" s="1"/>
      <c r="I3" s="2"/>
    </row>
    <row r="4" spans="1:9" x14ac:dyDescent="0.45">
      <c r="B4">
        <v>20</v>
      </c>
      <c r="C4" s="2">
        <f t="shared" si="0"/>
        <v>1352.0160000000001</v>
      </c>
      <c r="G4" s="1"/>
      <c r="I4" s="2"/>
    </row>
    <row r="5" spans="1:9" x14ac:dyDescent="0.45">
      <c r="B5">
        <v>30</v>
      </c>
      <c r="C5" s="2">
        <f t="shared" si="0"/>
        <v>901.34399999999994</v>
      </c>
      <c r="G5" s="1"/>
      <c r="I5" s="2"/>
    </row>
    <row r="6" spans="1:9" x14ac:dyDescent="0.45">
      <c r="B6">
        <v>40</v>
      </c>
      <c r="C6" s="2">
        <f t="shared" si="0"/>
        <v>676.00800000000004</v>
      </c>
      <c r="G6" s="1"/>
      <c r="I6" s="2"/>
    </row>
    <row r="7" spans="1:9" x14ac:dyDescent="0.45">
      <c r="B7">
        <v>50</v>
      </c>
      <c r="C7" s="2">
        <f t="shared" si="0"/>
        <v>540.80639999999994</v>
      </c>
      <c r="G7" s="1"/>
      <c r="I7" s="2"/>
    </row>
    <row r="8" spans="1:9" x14ac:dyDescent="0.45">
      <c r="B8">
        <v>60</v>
      </c>
      <c r="C8" s="2">
        <f t="shared" si="0"/>
        <v>450.67199999999997</v>
      </c>
      <c r="G8" s="1"/>
      <c r="I8" s="2"/>
    </row>
    <row r="9" spans="1:9" x14ac:dyDescent="0.45">
      <c r="B9">
        <v>70</v>
      </c>
      <c r="C9" s="2">
        <f t="shared" si="0"/>
        <v>386.29028571428569</v>
      </c>
      <c r="G9" s="1"/>
      <c r="I9" s="2"/>
    </row>
    <row r="10" spans="1:9" x14ac:dyDescent="0.45">
      <c r="B10">
        <v>80</v>
      </c>
      <c r="C10" s="2">
        <f t="shared" si="0"/>
        <v>338.00400000000002</v>
      </c>
      <c r="G10" s="1"/>
      <c r="I10" s="2"/>
    </row>
    <row r="11" spans="1:9" x14ac:dyDescent="0.45">
      <c r="B11">
        <v>90</v>
      </c>
      <c r="C11" s="2">
        <f t="shared" si="0"/>
        <v>300.44799999999998</v>
      </c>
      <c r="G11" s="1"/>
      <c r="I11" s="2"/>
    </row>
    <row r="12" spans="1:9" x14ac:dyDescent="0.45">
      <c r="B12">
        <v>100</v>
      </c>
      <c r="C12" s="2">
        <f t="shared" si="0"/>
        <v>270.40319999999997</v>
      </c>
      <c r="G12" s="1"/>
      <c r="I12" s="2"/>
    </row>
    <row r="13" spans="1:9" x14ac:dyDescent="0.45">
      <c r="B13">
        <v>110</v>
      </c>
      <c r="C13" s="2">
        <f t="shared" si="0"/>
        <v>245.82109090909091</v>
      </c>
      <c r="G13" s="1"/>
      <c r="I13" s="2"/>
    </row>
    <row r="14" spans="1:9" x14ac:dyDescent="0.45">
      <c r="B14">
        <v>120</v>
      </c>
      <c r="C14" s="2">
        <f t="shared" si="0"/>
        <v>225.33599999999998</v>
      </c>
      <c r="G14" s="1"/>
      <c r="I14" s="2"/>
    </row>
    <row r="15" spans="1:9" x14ac:dyDescent="0.45">
      <c r="B15">
        <v>130</v>
      </c>
      <c r="C15" s="2">
        <f t="shared" si="0"/>
        <v>208.00246153846155</v>
      </c>
      <c r="G15" s="1"/>
      <c r="I15" s="2"/>
    </row>
    <row r="16" spans="1:9" x14ac:dyDescent="0.45">
      <c r="B16">
        <v>140</v>
      </c>
      <c r="C16" s="2">
        <f t="shared" si="0"/>
        <v>193.14514285714284</v>
      </c>
      <c r="G16" s="1"/>
      <c r="I16" s="2"/>
    </row>
    <row r="17" spans="2:9" x14ac:dyDescent="0.45">
      <c r="B17">
        <v>150</v>
      </c>
      <c r="C17" s="2">
        <f t="shared" si="0"/>
        <v>180.2688</v>
      </c>
      <c r="G17" s="1"/>
      <c r="I17" s="2"/>
    </row>
    <row r="18" spans="2:9" x14ac:dyDescent="0.45">
      <c r="B18">
        <v>160</v>
      </c>
      <c r="C18" s="2">
        <f t="shared" si="0"/>
        <v>169.00200000000001</v>
      </c>
      <c r="G18" s="1"/>
      <c r="I18" s="2"/>
    </row>
    <row r="19" spans="2:9" x14ac:dyDescent="0.45">
      <c r="B19">
        <v>170</v>
      </c>
      <c r="C19" s="2">
        <f t="shared" si="0"/>
        <v>159.06070588235295</v>
      </c>
      <c r="G19" s="1"/>
      <c r="I19" s="2"/>
    </row>
    <row r="20" spans="2:9" x14ac:dyDescent="0.45">
      <c r="B20">
        <v>180</v>
      </c>
      <c r="C20" s="2">
        <f t="shared" si="0"/>
        <v>150.22399999999999</v>
      </c>
      <c r="G20" s="1"/>
      <c r="I20" s="2"/>
    </row>
    <row r="21" spans="2:9" x14ac:dyDescent="0.45">
      <c r="B21">
        <v>190</v>
      </c>
      <c r="C21" s="2">
        <f t="shared" si="0"/>
        <v>142.31747368421051</v>
      </c>
      <c r="G21" s="1"/>
      <c r="I21" s="2"/>
    </row>
    <row r="22" spans="2:9" x14ac:dyDescent="0.45">
      <c r="B22">
        <v>200</v>
      </c>
      <c r="C22" s="2">
        <f t="shared" si="0"/>
        <v>135.20159999999998</v>
      </c>
      <c r="G22" s="1"/>
      <c r="I22" s="2"/>
    </row>
    <row r="23" spans="2:9" x14ac:dyDescent="0.45">
      <c r="B23">
        <v>210</v>
      </c>
      <c r="C23" s="2">
        <f t="shared" si="0"/>
        <v>128.76342857142856</v>
      </c>
      <c r="G23" s="1"/>
      <c r="I23" s="2"/>
    </row>
    <row r="24" spans="2:9" x14ac:dyDescent="0.45">
      <c r="B24">
        <v>220</v>
      </c>
      <c r="C24" s="2">
        <f t="shared" si="0"/>
        <v>122.91054545454546</v>
      </c>
      <c r="G24" s="1"/>
      <c r="I24" s="2"/>
    </row>
    <row r="25" spans="2:9" x14ac:dyDescent="0.45">
      <c r="B25">
        <v>230</v>
      </c>
      <c r="C25" s="2">
        <f t="shared" si="0"/>
        <v>117.56660869565218</v>
      </c>
      <c r="G25" s="1"/>
      <c r="I25" s="2"/>
    </row>
    <row r="26" spans="2:9" x14ac:dyDescent="0.45">
      <c r="B26">
        <v>240</v>
      </c>
      <c r="C26" s="2">
        <f t="shared" si="0"/>
        <v>112.66799999999999</v>
      </c>
      <c r="G26" s="1"/>
      <c r="I26" s="2"/>
    </row>
    <row r="27" spans="2:9" x14ac:dyDescent="0.45">
      <c r="B27">
        <v>250</v>
      </c>
      <c r="C27" s="2">
        <f t="shared" si="0"/>
        <v>108.16128</v>
      </c>
      <c r="G27" s="1"/>
      <c r="I27" s="2"/>
    </row>
    <row r="28" spans="2:9" x14ac:dyDescent="0.45">
      <c r="B28">
        <v>260</v>
      </c>
      <c r="C28" s="2">
        <f t="shared" si="0"/>
        <v>104.00123076923077</v>
      </c>
      <c r="G28" s="1"/>
      <c r="I28" s="2"/>
    </row>
    <row r="29" spans="2:9" x14ac:dyDescent="0.45">
      <c r="B29">
        <v>270</v>
      </c>
      <c r="C29" s="2">
        <f t="shared" si="0"/>
        <v>100.14933333333333</v>
      </c>
      <c r="G29" s="1"/>
      <c r="I29" s="2"/>
    </row>
    <row r="30" spans="2:9" x14ac:dyDescent="0.45">
      <c r="B30">
        <v>280</v>
      </c>
      <c r="C30" s="2">
        <f t="shared" si="0"/>
        <v>96.572571428571422</v>
      </c>
      <c r="G30" s="1"/>
      <c r="I30" s="2"/>
    </row>
    <row r="31" spans="2:9" x14ac:dyDescent="0.45">
      <c r="B31">
        <v>290</v>
      </c>
      <c r="C31" s="2">
        <f t="shared" si="0"/>
        <v>93.242482758620682</v>
      </c>
      <c r="G31" s="1"/>
      <c r="I31" s="2"/>
    </row>
    <row r="32" spans="2:9" x14ac:dyDescent="0.45">
      <c r="B32">
        <v>300</v>
      </c>
      <c r="C32" s="2">
        <f t="shared" si="0"/>
        <v>90.134399999999999</v>
      </c>
      <c r="G32" s="1"/>
      <c r="I32" s="2"/>
    </row>
    <row r="33" spans="2:9" x14ac:dyDescent="0.45">
      <c r="B33">
        <v>310</v>
      </c>
      <c r="C33" s="2">
        <f t="shared" si="0"/>
        <v>87.226838709677423</v>
      </c>
      <c r="G33" s="1"/>
      <c r="I33" s="2"/>
    </row>
    <row r="34" spans="2:9" x14ac:dyDescent="0.45">
      <c r="B34">
        <v>320</v>
      </c>
      <c r="C34" s="2">
        <f t="shared" si="0"/>
        <v>84.501000000000005</v>
      </c>
      <c r="G34" s="1"/>
      <c r="I34" s="2"/>
    </row>
    <row r="35" spans="2:9" x14ac:dyDescent="0.45">
      <c r="B35">
        <v>330</v>
      </c>
      <c r="C35" s="2">
        <f t="shared" si="0"/>
        <v>81.940363636363642</v>
      </c>
      <c r="G35" s="1"/>
      <c r="I35" s="2"/>
    </row>
    <row r="36" spans="2:9" x14ac:dyDescent="0.45">
      <c r="B36">
        <v>340</v>
      </c>
      <c r="C36" s="2">
        <f t="shared" si="0"/>
        <v>79.530352941176474</v>
      </c>
      <c r="G36" s="1"/>
      <c r="I36" s="2"/>
    </row>
    <row r="37" spans="2:9" x14ac:dyDescent="0.45">
      <c r="B37">
        <v>350</v>
      </c>
      <c r="C37" s="2">
        <f t="shared" si="0"/>
        <v>77.25805714285714</v>
      </c>
      <c r="G37" s="1"/>
      <c r="I37" s="2"/>
    </row>
    <row r="38" spans="2:9" x14ac:dyDescent="0.45">
      <c r="B38">
        <v>360</v>
      </c>
      <c r="C38" s="2">
        <f t="shared" si="0"/>
        <v>75.111999999999995</v>
      </c>
      <c r="G38" s="1"/>
      <c r="I38" s="2"/>
    </row>
    <row r="39" spans="2:9" x14ac:dyDescent="0.45">
      <c r="B39">
        <v>370</v>
      </c>
      <c r="C39" s="2">
        <f t="shared" si="0"/>
        <v>73.081945945945947</v>
      </c>
      <c r="G39" s="1"/>
      <c r="I39" s="2"/>
    </row>
    <row r="40" spans="2:9" x14ac:dyDescent="0.45">
      <c r="B40">
        <v>380</v>
      </c>
      <c r="C40" s="2">
        <f t="shared" si="0"/>
        <v>71.158736842105256</v>
      </c>
      <c r="G40" s="1"/>
      <c r="I40" s="2"/>
    </row>
    <row r="41" spans="2:9" x14ac:dyDescent="0.45">
      <c r="B41">
        <v>390</v>
      </c>
      <c r="C41" s="2">
        <f t="shared" si="0"/>
        <v>69.334153846153839</v>
      </c>
      <c r="G41" s="1"/>
      <c r="I41" s="2"/>
    </row>
    <row r="42" spans="2:9" x14ac:dyDescent="0.45">
      <c r="B42">
        <v>400</v>
      </c>
      <c r="C42" s="2">
        <f t="shared" si="0"/>
        <v>67.600799999999992</v>
      </c>
      <c r="G42" s="1"/>
      <c r="I42" s="2"/>
    </row>
    <row r="43" spans="2:9" x14ac:dyDescent="0.45">
      <c r="B43">
        <v>410</v>
      </c>
      <c r="C43" s="2">
        <f t="shared" si="0"/>
        <v>65.951999999999998</v>
      </c>
      <c r="G43" s="1"/>
      <c r="I43" s="2"/>
    </row>
    <row r="44" spans="2:9" x14ac:dyDescent="0.45">
      <c r="B44">
        <v>420</v>
      </c>
      <c r="C44" s="2">
        <f t="shared" si="0"/>
        <v>64.381714285714281</v>
      </c>
      <c r="G44" s="1"/>
      <c r="I44" s="2"/>
    </row>
    <row r="45" spans="2:9" x14ac:dyDescent="0.45">
      <c r="B45">
        <v>430</v>
      </c>
      <c r="C45" s="2">
        <f t="shared" si="0"/>
        <v>62.884465116279067</v>
      </c>
      <c r="G45" s="1"/>
      <c r="I45" s="2"/>
    </row>
    <row r="46" spans="2:9" x14ac:dyDescent="0.45">
      <c r="B46">
        <v>440</v>
      </c>
      <c r="C46" s="2">
        <f t="shared" si="0"/>
        <v>61.455272727272728</v>
      </c>
      <c r="G46" s="1"/>
      <c r="I46" s="2"/>
    </row>
    <row r="47" spans="2:9" x14ac:dyDescent="0.45">
      <c r="B47">
        <v>450</v>
      </c>
      <c r="C47" s="2">
        <f t="shared" si="0"/>
        <v>60.089599999999997</v>
      </c>
      <c r="G47" s="1"/>
      <c r="I47" s="2"/>
    </row>
    <row r="48" spans="2:9" x14ac:dyDescent="0.45">
      <c r="B48">
        <v>460</v>
      </c>
      <c r="C48" s="2">
        <f t="shared" si="0"/>
        <v>58.783304347826089</v>
      </c>
      <c r="G48" s="1"/>
      <c r="I48" s="2"/>
    </row>
    <row r="49" spans="2:9" x14ac:dyDescent="0.45">
      <c r="B49">
        <v>470</v>
      </c>
      <c r="C49" s="2">
        <f t="shared" si="0"/>
        <v>57.532595744680847</v>
      </c>
      <c r="G49" s="1"/>
      <c r="I49" s="2"/>
    </row>
    <row r="50" spans="2:9" x14ac:dyDescent="0.45">
      <c r="B50">
        <v>480</v>
      </c>
      <c r="C50" s="2">
        <f t="shared" si="0"/>
        <v>56.333999999999996</v>
      </c>
      <c r="G50" s="1"/>
      <c r="I50" s="2"/>
    </row>
    <row r="51" spans="2:9" x14ac:dyDescent="0.45">
      <c r="B51">
        <v>490</v>
      </c>
      <c r="C51" s="2">
        <f t="shared" si="0"/>
        <v>55.184326530612246</v>
      </c>
      <c r="G51" s="1"/>
      <c r="I51" s="2"/>
    </row>
    <row r="52" spans="2:9" x14ac:dyDescent="0.45">
      <c r="B52">
        <v>500</v>
      </c>
      <c r="C52" s="2">
        <f t="shared" si="0"/>
        <v>54.080640000000002</v>
      </c>
      <c r="G52" s="1"/>
      <c r="I52" s="2"/>
    </row>
    <row r="53" spans="2:9" x14ac:dyDescent="0.45">
      <c r="B53">
        <v>510</v>
      </c>
      <c r="C53" s="2">
        <f t="shared" si="0"/>
        <v>53.020235294117647</v>
      </c>
      <c r="G53" s="1"/>
      <c r="I53" s="2"/>
    </row>
    <row r="54" spans="2:9" x14ac:dyDescent="0.45">
      <c r="B54">
        <v>520</v>
      </c>
      <c r="C54" s="2">
        <f t="shared" si="0"/>
        <v>52.000615384615386</v>
      </c>
      <c r="G54" s="1"/>
      <c r="I54" s="2"/>
    </row>
    <row r="55" spans="2:9" x14ac:dyDescent="0.45">
      <c r="B55">
        <v>530</v>
      </c>
      <c r="C55" s="2">
        <f t="shared" si="0"/>
        <v>51.019471698113207</v>
      </c>
      <c r="G55" s="1"/>
      <c r="I55" s="2"/>
    </row>
    <row r="56" spans="2:9" x14ac:dyDescent="0.45">
      <c r="B56">
        <v>540</v>
      </c>
      <c r="C56" s="2">
        <f t="shared" si="0"/>
        <v>50.074666666666666</v>
      </c>
      <c r="G56" s="1"/>
      <c r="I56" s="2"/>
    </row>
    <row r="57" spans="2:9" x14ac:dyDescent="0.45">
      <c r="B57">
        <v>550</v>
      </c>
      <c r="C57" s="2">
        <f t="shared" si="0"/>
        <v>49.164218181818178</v>
      </c>
      <c r="G57" s="1"/>
      <c r="I57" s="2"/>
    </row>
    <row r="58" spans="2:9" x14ac:dyDescent="0.45">
      <c r="B58">
        <v>560</v>
      </c>
      <c r="C58" s="2">
        <f t="shared" si="0"/>
        <v>48.286285714285711</v>
      </c>
      <c r="G58" s="1"/>
      <c r="I58" s="2"/>
    </row>
    <row r="59" spans="2:9" x14ac:dyDescent="0.45">
      <c r="B59">
        <v>570</v>
      </c>
      <c r="C59" s="2">
        <f t="shared" si="0"/>
        <v>47.439157894736844</v>
      </c>
      <c r="G59" s="1"/>
      <c r="I59" s="2"/>
    </row>
    <row r="60" spans="2:9" x14ac:dyDescent="0.45">
      <c r="B60">
        <v>580</v>
      </c>
      <c r="C60" s="2">
        <f t="shared" si="0"/>
        <v>46.621241379310341</v>
      </c>
      <c r="G60" s="1"/>
      <c r="I60" s="2"/>
    </row>
    <row r="61" spans="2:9" x14ac:dyDescent="0.45">
      <c r="B61">
        <v>590</v>
      </c>
      <c r="C61" s="2">
        <f t="shared" si="0"/>
        <v>45.831050847457625</v>
      </c>
      <c r="G61" s="1"/>
      <c r="I61" s="2"/>
    </row>
    <row r="62" spans="2:9" x14ac:dyDescent="0.45">
      <c r="B62">
        <v>600</v>
      </c>
      <c r="C62" s="2">
        <f t="shared" si="0"/>
        <v>45.0672</v>
      </c>
      <c r="G62" s="1"/>
      <c r="I62" s="2"/>
    </row>
    <row r="63" spans="2:9" x14ac:dyDescent="0.45">
      <c r="B63">
        <v>610</v>
      </c>
      <c r="C63" s="2">
        <f t="shared" si="0"/>
        <v>44.328393442622954</v>
      </c>
      <c r="G63" s="1"/>
      <c r="I63" s="2"/>
    </row>
    <row r="64" spans="2:9" x14ac:dyDescent="0.45">
      <c r="B64">
        <v>620</v>
      </c>
      <c r="C64" s="2">
        <f t="shared" si="0"/>
        <v>43.613419354838712</v>
      </c>
      <c r="G64" s="1"/>
      <c r="I64" s="2"/>
    </row>
    <row r="65" spans="2:9" x14ac:dyDescent="0.45">
      <c r="B65">
        <v>630</v>
      </c>
      <c r="C65" s="2">
        <f t="shared" si="0"/>
        <v>42.921142857142854</v>
      </c>
      <c r="G65" s="1"/>
      <c r="I65" s="2"/>
    </row>
    <row r="66" spans="2:9" x14ac:dyDescent="0.45">
      <c r="B66">
        <v>640</v>
      </c>
      <c r="C66" s="2">
        <f t="shared" si="0"/>
        <v>42.250500000000002</v>
      </c>
      <c r="G66" s="1"/>
      <c r="I66" s="2"/>
    </row>
    <row r="67" spans="2:9" x14ac:dyDescent="0.45">
      <c r="B67">
        <v>650</v>
      </c>
      <c r="C67" s="2">
        <f t="shared" ref="C67:C130" si="1">$A$2/B67</f>
        <v>41.600492307692306</v>
      </c>
      <c r="G67" s="1"/>
      <c r="I67" s="2"/>
    </row>
    <row r="68" spans="2:9" x14ac:dyDescent="0.45">
      <c r="B68">
        <v>660</v>
      </c>
      <c r="C68" s="2">
        <f t="shared" si="1"/>
        <v>40.970181818181821</v>
      </c>
      <c r="G68" s="1"/>
      <c r="I68" s="2"/>
    </row>
    <row r="69" spans="2:9" x14ac:dyDescent="0.45">
      <c r="B69">
        <v>670</v>
      </c>
      <c r="C69" s="2">
        <f t="shared" si="1"/>
        <v>40.358686567164177</v>
      </c>
      <c r="G69" s="1"/>
      <c r="I69" s="2"/>
    </row>
    <row r="70" spans="2:9" x14ac:dyDescent="0.45">
      <c r="B70">
        <v>680</v>
      </c>
      <c r="C70" s="2">
        <f t="shared" si="1"/>
        <v>39.765176470588237</v>
      </c>
      <c r="G70" s="1"/>
      <c r="I70" s="2"/>
    </row>
    <row r="71" spans="2:9" x14ac:dyDescent="0.45">
      <c r="B71">
        <v>690</v>
      </c>
      <c r="C71" s="2">
        <f t="shared" si="1"/>
        <v>39.188869565217388</v>
      </c>
      <c r="G71" s="1"/>
      <c r="I71" s="2"/>
    </row>
    <row r="72" spans="2:9" x14ac:dyDescent="0.45">
      <c r="B72">
        <v>700</v>
      </c>
      <c r="C72" s="2">
        <f t="shared" si="1"/>
        <v>38.62902857142857</v>
      </c>
      <c r="G72" s="1"/>
      <c r="I72" s="2"/>
    </row>
    <row r="73" spans="2:9" x14ac:dyDescent="0.45">
      <c r="B73">
        <v>710</v>
      </c>
      <c r="C73" s="2">
        <f t="shared" si="1"/>
        <v>38.084957746478871</v>
      </c>
      <c r="G73" s="1"/>
      <c r="I73" s="2"/>
    </row>
    <row r="74" spans="2:9" x14ac:dyDescent="0.45">
      <c r="B74">
        <v>720</v>
      </c>
      <c r="C74" s="2">
        <f t="shared" si="1"/>
        <v>37.555999999999997</v>
      </c>
      <c r="G74" s="1"/>
      <c r="I74" s="2"/>
    </row>
    <row r="75" spans="2:9" x14ac:dyDescent="0.45">
      <c r="B75">
        <v>730</v>
      </c>
      <c r="C75" s="2">
        <f t="shared" si="1"/>
        <v>37.041534246575345</v>
      </c>
      <c r="G75" s="1"/>
      <c r="I75" s="2"/>
    </row>
    <row r="76" spans="2:9" x14ac:dyDescent="0.45">
      <c r="B76">
        <v>740</v>
      </c>
      <c r="C76" s="2">
        <f t="shared" si="1"/>
        <v>36.540972972972973</v>
      </c>
      <c r="G76" s="1"/>
      <c r="I76" s="2"/>
    </row>
    <row r="77" spans="2:9" x14ac:dyDescent="0.45">
      <c r="B77">
        <v>750</v>
      </c>
      <c r="C77" s="2">
        <f t="shared" si="1"/>
        <v>36.053759999999997</v>
      </c>
      <c r="G77" s="1"/>
      <c r="I77" s="2"/>
    </row>
    <row r="78" spans="2:9" x14ac:dyDescent="0.45">
      <c r="B78">
        <v>760</v>
      </c>
      <c r="C78" s="2">
        <f t="shared" si="1"/>
        <v>35.579368421052628</v>
      </c>
      <c r="G78" s="1"/>
      <c r="I78" s="2"/>
    </row>
    <row r="79" spans="2:9" x14ac:dyDescent="0.45">
      <c r="B79">
        <v>770</v>
      </c>
      <c r="C79" s="2">
        <f t="shared" si="1"/>
        <v>35.117298701298701</v>
      </c>
      <c r="G79" s="1"/>
      <c r="I79" s="2"/>
    </row>
    <row r="80" spans="2:9" x14ac:dyDescent="0.45">
      <c r="B80">
        <v>780</v>
      </c>
      <c r="C80" s="2">
        <f t="shared" si="1"/>
        <v>34.66707692307692</v>
      </c>
      <c r="G80" s="1"/>
      <c r="I80" s="2"/>
    </row>
    <row r="81" spans="2:9" x14ac:dyDescent="0.45">
      <c r="B81">
        <v>790</v>
      </c>
      <c r="C81" s="2">
        <f t="shared" si="1"/>
        <v>34.228253164556961</v>
      </c>
      <c r="G81" s="1"/>
      <c r="I81" s="2"/>
    </row>
    <row r="82" spans="2:9" x14ac:dyDescent="0.45">
      <c r="B82">
        <v>800</v>
      </c>
      <c r="C82" s="2">
        <f t="shared" si="1"/>
        <v>33.800399999999996</v>
      </c>
      <c r="G82" s="1"/>
      <c r="I82" s="2"/>
    </row>
    <row r="83" spans="2:9" x14ac:dyDescent="0.45">
      <c r="B83">
        <v>810</v>
      </c>
      <c r="C83" s="2">
        <f t="shared" si="1"/>
        <v>33.383111111111113</v>
      </c>
      <c r="G83" s="1"/>
      <c r="I83" s="2"/>
    </row>
    <row r="84" spans="2:9" x14ac:dyDescent="0.45">
      <c r="B84">
        <v>820</v>
      </c>
      <c r="C84" s="2">
        <f t="shared" si="1"/>
        <v>32.975999999999999</v>
      </c>
      <c r="G84" s="1"/>
      <c r="I84" s="2"/>
    </row>
    <row r="85" spans="2:9" x14ac:dyDescent="0.45">
      <c r="B85">
        <v>830</v>
      </c>
      <c r="C85" s="2">
        <f t="shared" si="1"/>
        <v>32.578698795180721</v>
      </c>
      <c r="G85" s="1"/>
      <c r="I85" s="2"/>
    </row>
    <row r="86" spans="2:9" x14ac:dyDescent="0.45">
      <c r="B86">
        <v>840</v>
      </c>
      <c r="C86" s="2">
        <f t="shared" si="1"/>
        <v>32.190857142857141</v>
      </c>
      <c r="G86" s="1"/>
      <c r="I86" s="2"/>
    </row>
    <row r="87" spans="2:9" x14ac:dyDescent="0.45">
      <c r="B87">
        <v>850</v>
      </c>
      <c r="C87" s="2">
        <f t="shared" si="1"/>
        <v>31.812141176470586</v>
      </c>
      <c r="G87" s="1"/>
      <c r="I87" s="2"/>
    </row>
    <row r="88" spans="2:9" x14ac:dyDescent="0.45">
      <c r="B88">
        <v>860</v>
      </c>
      <c r="C88" s="2">
        <f t="shared" si="1"/>
        <v>31.442232558139533</v>
      </c>
      <c r="G88" s="1"/>
      <c r="I88" s="2"/>
    </row>
    <row r="89" spans="2:9" x14ac:dyDescent="0.45">
      <c r="B89">
        <v>870</v>
      </c>
      <c r="C89" s="2">
        <f t="shared" si="1"/>
        <v>31.080827586206897</v>
      </c>
      <c r="G89" s="1"/>
      <c r="I89" s="2"/>
    </row>
    <row r="90" spans="2:9" x14ac:dyDescent="0.45">
      <c r="B90">
        <v>880</v>
      </c>
      <c r="C90" s="2">
        <f t="shared" si="1"/>
        <v>30.727636363636364</v>
      </c>
      <c r="G90" s="1"/>
      <c r="I90" s="2"/>
    </row>
    <row r="91" spans="2:9" x14ac:dyDescent="0.45">
      <c r="B91">
        <v>890</v>
      </c>
      <c r="C91" s="2">
        <f t="shared" si="1"/>
        <v>30.382382022471909</v>
      </c>
      <c r="G91" s="1"/>
      <c r="I91" s="2"/>
    </row>
    <row r="92" spans="2:9" x14ac:dyDescent="0.45">
      <c r="B92">
        <v>900</v>
      </c>
      <c r="C92" s="2">
        <f t="shared" si="1"/>
        <v>30.044799999999999</v>
      </c>
      <c r="G92" s="1"/>
      <c r="I92" s="2"/>
    </row>
    <row r="93" spans="2:9" x14ac:dyDescent="0.45">
      <c r="B93">
        <v>910</v>
      </c>
      <c r="C93" s="2">
        <f t="shared" si="1"/>
        <v>29.714637362637362</v>
      </c>
      <c r="G93" s="1"/>
      <c r="I93" s="2"/>
    </row>
    <row r="94" spans="2:9" x14ac:dyDescent="0.45">
      <c r="B94">
        <v>920</v>
      </c>
      <c r="C94" s="2">
        <f t="shared" si="1"/>
        <v>29.391652173913045</v>
      </c>
      <c r="G94" s="1"/>
      <c r="I94" s="2"/>
    </row>
    <row r="95" spans="2:9" x14ac:dyDescent="0.45">
      <c r="B95">
        <v>930</v>
      </c>
      <c r="C95" s="2">
        <f t="shared" si="1"/>
        <v>29.075612903225807</v>
      </c>
      <c r="G95" s="1"/>
      <c r="I95" s="2"/>
    </row>
    <row r="96" spans="2:9" x14ac:dyDescent="0.45">
      <c r="B96">
        <v>940</v>
      </c>
      <c r="C96" s="2">
        <f t="shared" si="1"/>
        <v>28.766297872340424</v>
      </c>
      <c r="G96" s="1"/>
      <c r="I96" s="2"/>
    </row>
    <row r="97" spans="2:9" x14ac:dyDescent="0.45">
      <c r="B97">
        <v>950</v>
      </c>
      <c r="C97" s="2">
        <f t="shared" si="1"/>
        <v>28.463494736842105</v>
      </c>
      <c r="G97" s="1"/>
      <c r="I97" s="2"/>
    </row>
    <row r="98" spans="2:9" x14ac:dyDescent="0.45">
      <c r="B98">
        <v>960</v>
      </c>
      <c r="C98" s="2">
        <f t="shared" si="1"/>
        <v>28.166999999999998</v>
      </c>
      <c r="G98" s="1"/>
      <c r="I98" s="2"/>
    </row>
    <row r="99" spans="2:9" x14ac:dyDescent="0.45">
      <c r="B99">
        <v>970</v>
      </c>
      <c r="C99" s="2">
        <f t="shared" si="1"/>
        <v>27.876618556701029</v>
      </c>
      <c r="G99" s="1"/>
      <c r="I99" s="2"/>
    </row>
    <row r="100" spans="2:9" x14ac:dyDescent="0.45">
      <c r="B100">
        <v>980</v>
      </c>
      <c r="C100" s="2">
        <f t="shared" si="1"/>
        <v>27.592163265306123</v>
      </c>
      <c r="G100" s="1"/>
      <c r="I100" s="2"/>
    </row>
    <row r="101" spans="2:9" x14ac:dyDescent="0.45">
      <c r="B101">
        <v>990</v>
      </c>
      <c r="C101" s="2">
        <f t="shared" si="1"/>
        <v>27.313454545454544</v>
      </c>
      <c r="G101" s="1"/>
      <c r="I101" s="2"/>
    </row>
    <row r="102" spans="2:9" x14ac:dyDescent="0.45">
      <c r="B102">
        <v>1000</v>
      </c>
      <c r="C102" s="2">
        <f t="shared" si="1"/>
        <v>27.040320000000001</v>
      </c>
      <c r="G102" s="1"/>
      <c r="I102" s="2"/>
    </row>
    <row r="103" spans="2:9" x14ac:dyDescent="0.45">
      <c r="B103">
        <v>1010</v>
      </c>
      <c r="C103" s="2">
        <f t="shared" si="1"/>
        <v>26.77259405940594</v>
      </c>
      <c r="G103" s="1"/>
      <c r="I103" s="2"/>
    </row>
    <row r="104" spans="2:9" x14ac:dyDescent="0.45">
      <c r="B104">
        <v>1020</v>
      </c>
      <c r="C104" s="2">
        <f t="shared" si="1"/>
        <v>26.510117647058824</v>
      </c>
      <c r="G104" s="1"/>
      <c r="I104" s="2"/>
    </row>
    <row r="105" spans="2:9" x14ac:dyDescent="0.45">
      <c r="B105">
        <v>1030</v>
      </c>
      <c r="C105" s="2">
        <f t="shared" si="1"/>
        <v>26.25273786407767</v>
      </c>
      <c r="G105" s="1"/>
      <c r="I105" s="2"/>
    </row>
    <row r="106" spans="2:9" x14ac:dyDescent="0.45">
      <c r="B106">
        <v>1040</v>
      </c>
      <c r="C106" s="2">
        <f t="shared" si="1"/>
        <v>26.000307692307693</v>
      </c>
      <c r="G106" s="1"/>
      <c r="I106" s="2"/>
    </row>
    <row r="107" spans="2:9" x14ac:dyDescent="0.45">
      <c r="B107">
        <v>1050</v>
      </c>
      <c r="C107" s="2">
        <f t="shared" si="1"/>
        <v>25.752685714285715</v>
      </c>
      <c r="G107" s="1"/>
      <c r="I107" s="2"/>
    </row>
    <row r="108" spans="2:9" x14ac:dyDescent="0.45">
      <c r="B108">
        <v>1060</v>
      </c>
      <c r="C108" s="2">
        <f t="shared" si="1"/>
        <v>25.509735849056604</v>
      </c>
      <c r="G108" s="1"/>
      <c r="I108" s="2"/>
    </row>
    <row r="109" spans="2:9" x14ac:dyDescent="0.45">
      <c r="B109">
        <v>1070</v>
      </c>
      <c r="C109" s="2">
        <f t="shared" si="1"/>
        <v>25.271327102803738</v>
      </c>
      <c r="G109" s="1"/>
      <c r="I109" s="2"/>
    </row>
    <row r="110" spans="2:9" x14ac:dyDescent="0.45">
      <c r="B110">
        <v>1080</v>
      </c>
      <c r="C110" s="2">
        <f t="shared" si="1"/>
        <v>25.037333333333333</v>
      </c>
      <c r="G110" s="1"/>
      <c r="I110" s="2"/>
    </row>
    <row r="111" spans="2:9" x14ac:dyDescent="0.45">
      <c r="B111">
        <v>1090</v>
      </c>
      <c r="C111" s="2">
        <f t="shared" si="1"/>
        <v>24.807633027522936</v>
      </c>
    </row>
    <row r="112" spans="2:9" x14ac:dyDescent="0.45">
      <c r="B112">
        <v>1100</v>
      </c>
      <c r="C112" s="2">
        <f t="shared" si="1"/>
        <v>24.582109090909089</v>
      </c>
    </row>
    <row r="113" spans="2:3" x14ac:dyDescent="0.45">
      <c r="B113">
        <v>1110</v>
      </c>
      <c r="C113" s="2">
        <f t="shared" si="1"/>
        <v>24.360648648648649</v>
      </c>
    </row>
    <row r="114" spans="2:3" x14ac:dyDescent="0.45">
      <c r="B114">
        <v>1120</v>
      </c>
      <c r="C114" s="2">
        <f t="shared" si="1"/>
        <v>24.143142857142855</v>
      </c>
    </row>
    <row r="115" spans="2:3" x14ac:dyDescent="0.45">
      <c r="B115">
        <v>1130</v>
      </c>
      <c r="C115" s="2">
        <f t="shared" si="1"/>
        <v>23.929486725663718</v>
      </c>
    </row>
    <row r="116" spans="2:3" x14ac:dyDescent="0.45">
      <c r="B116">
        <v>1140</v>
      </c>
      <c r="C116" s="2">
        <f t="shared" si="1"/>
        <v>23.719578947368422</v>
      </c>
    </row>
    <row r="117" spans="2:3" x14ac:dyDescent="0.45">
      <c r="B117">
        <v>1150</v>
      </c>
      <c r="C117" s="2">
        <f t="shared" si="1"/>
        <v>23.513321739130433</v>
      </c>
    </row>
    <row r="118" spans="2:3" x14ac:dyDescent="0.45">
      <c r="B118">
        <v>1160</v>
      </c>
      <c r="C118" s="2">
        <f t="shared" si="1"/>
        <v>23.31062068965517</v>
      </c>
    </row>
    <row r="119" spans="2:3" x14ac:dyDescent="0.45">
      <c r="B119">
        <v>1170</v>
      </c>
      <c r="C119" s="2">
        <f t="shared" si="1"/>
        <v>23.111384615384615</v>
      </c>
    </row>
    <row r="120" spans="2:3" x14ac:dyDescent="0.45">
      <c r="B120">
        <v>1180</v>
      </c>
      <c r="C120" s="2">
        <f t="shared" si="1"/>
        <v>22.915525423728813</v>
      </c>
    </row>
    <row r="121" spans="2:3" x14ac:dyDescent="0.45">
      <c r="B121">
        <v>1190</v>
      </c>
      <c r="C121" s="2">
        <f t="shared" si="1"/>
        <v>22.722957983193275</v>
      </c>
    </row>
    <row r="122" spans="2:3" x14ac:dyDescent="0.45">
      <c r="B122">
        <v>1200</v>
      </c>
      <c r="C122" s="2">
        <f t="shared" si="1"/>
        <v>22.5336</v>
      </c>
    </row>
    <row r="123" spans="2:3" x14ac:dyDescent="0.45">
      <c r="B123">
        <v>1210</v>
      </c>
      <c r="C123" s="2">
        <f t="shared" si="1"/>
        <v>22.347371900826445</v>
      </c>
    </row>
    <row r="124" spans="2:3" x14ac:dyDescent="0.45">
      <c r="B124">
        <v>1220</v>
      </c>
      <c r="C124" s="2">
        <f t="shared" si="1"/>
        <v>22.164196721311477</v>
      </c>
    </row>
    <row r="125" spans="2:3" x14ac:dyDescent="0.45">
      <c r="B125">
        <v>1230</v>
      </c>
      <c r="C125" s="2">
        <f t="shared" si="1"/>
        <v>21.983999999999998</v>
      </c>
    </row>
    <row r="126" spans="2:3" x14ac:dyDescent="0.45">
      <c r="B126">
        <v>1240</v>
      </c>
      <c r="C126" s="2">
        <f t="shared" si="1"/>
        <v>21.806709677419356</v>
      </c>
    </row>
    <row r="127" spans="2:3" x14ac:dyDescent="0.45">
      <c r="B127">
        <v>1250</v>
      </c>
      <c r="C127" s="2">
        <f t="shared" si="1"/>
        <v>21.632255999999998</v>
      </c>
    </row>
    <row r="128" spans="2:3" x14ac:dyDescent="0.45">
      <c r="B128">
        <v>1260</v>
      </c>
      <c r="C128" s="2">
        <f t="shared" si="1"/>
        <v>21.460571428571427</v>
      </c>
    </row>
    <row r="129" spans="2:3" x14ac:dyDescent="0.45">
      <c r="B129">
        <v>1270</v>
      </c>
      <c r="C129" s="2">
        <f t="shared" si="1"/>
        <v>21.291590551181102</v>
      </c>
    </row>
    <row r="130" spans="2:3" x14ac:dyDescent="0.45">
      <c r="B130">
        <v>1280</v>
      </c>
      <c r="C130" s="2">
        <f t="shared" si="1"/>
        <v>21.125250000000001</v>
      </c>
    </row>
    <row r="131" spans="2:3" x14ac:dyDescent="0.45">
      <c r="B131">
        <v>1290</v>
      </c>
      <c r="C131" s="2">
        <f t="shared" ref="C131:C194" si="2">$A$2/B131</f>
        <v>20.961488372093022</v>
      </c>
    </row>
    <row r="132" spans="2:3" x14ac:dyDescent="0.45">
      <c r="B132">
        <v>1300</v>
      </c>
      <c r="C132" s="2">
        <f t="shared" si="2"/>
        <v>20.800246153846153</v>
      </c>
    </row>
    <row r="133" spans="2:3" x14ac:dyDescent="0.45">
      <c r="B133">
        <v>1310</v>
      </c>
      <c r="C133" s="2">
        <f t="shared" si="2"/>
        <v>20.641465648854961</v>
      </c>
    </row>
    <row r="134" spans="2:3" x14ac:dyDescent="0.45">
      <c r="B134">
        <v>1320</v>
      </c>
      <c r="C134" s="2">
        <f t="shared" si="2"/>
        <v>20.485090909090911</v>
      </c>
    </row>
    <row r="135" spans="2:3" x14ac:dyDescent="0.45">
      <c r="B135">
        <v>1330</v>
      </c>
      <c r="C135" s="2">
        <f t="shared" si="2"/>
        <v>20.331067669172931</v>
      </c>
    </row>
    <row r="136" spans="2:3" x14ac:dyDescent="0.45">
      <c r="B136">
        <v>1340</v>
      </c>
      <c r="C136" s="2">
        <f t="shared" si="2"/>
        <v>20.179343283582089</v>
      </c>
    </row>
    <row r="137" spans="2:3" x14ac:dyDescent="0.45">
      <c r="B137">
        <v>1350</v>
      </c>
      <c r="C137" s="2">
        <f t="shared" si="2"/>
        <v>20.029866666666667</v>
      </c>
    </row>
    <row r="138" spans="2:3" x14ac:dyDescent="0.45">
      <c r="B138">
        <v>1360</v>
      </c>
      <c r="C138" s="2">
        <f t="shared" si="2"/>
        <v>19.882588235294119</v>
      </c>
    </row>
    <row r="139" spans="2:3" x14ac:dyDescent="0.45">
      <c r="B139">
        <v>1370</v>
      </c>
      <c r="C139" s="2">
        <f t="shared" si="2"/>
        <v>19.737459854014599</v>
      </c>
    </row>
    <row r="140" spans="2:3" x14ac:dyDescent="0.45">
      <c r="B140">
        <v>1380</v>
      </c>
      <c r="C140" s="2">
        <f t="shared" si="2"/>
        <v>19.594434782608694</v>
      </c>
    </row>
    <row r="141" spans="2:3" x14ac:dyDescent="0.45">
      <c r="B141">
        <v>1390</v>
      </c>
      <c r="C141" s="2">
        <f t="shared" si="2"/>
        <v>19.453467625899279</v>
      </c>
    </row>
    <row r="142" spans="2:3" x14ac:dyDescent="0.45">
      <c r="B142">
        <v>1400</v>
      </c>
      <c r="C142" s="2">
        <f t="shared" si="2"/>
        <v>19.314514285714285</v>
      </c>
    </row>
    <row r="143" spans="2:3" x14ac:dyDescent="0.45">
      <c r="B143">
        <v>1410</v>
      </c>
      <c r="C143" s="2">
        <f t="shared" si="2"/>
        <v>19.177531914893617</v>
      </c>
    </row>
    <row r="144" spans="2:3" x14ac:dyDescent="0.45">
      <c r="B144">
        <v>1420</v>
      </c>
      <c r="C144" s="2">
        <f t="shared" si="2"/>
        <v>19.042478873239435</v>
      </c>
    </row>
    <row r="145" spans="2:3" x14ac:dyDescent="0.45">
      <c r="B145">
        <v>1430</v>
      </c>
      <c r="C145" s="2">
        <f t="shared" si="2"/>
        <v>18.909314685314683</v>
      </c>
    </row>
    <row r="146" spans="2:3" x14ac:dyDescent="0.45">
      <c r="B146">
        <v>1440</v>
      </c>
      <c r="C146" s="2">
        <f t="shared" si="2"/>
        <v>18.777999999999999</v>
      </c>
    </row>
    <row r="147" spans="2:3" x14ac:dyDescent="0.45">
      <c r="B147">
        <v>1450</v>
      </c>
      <c r="C147" s="2">
        <f t="shared" si="2"/>
        <v>18.648496551724136</v>
      </c>
    </row>
    <row r="148" spans="2:3" x14ac:dyDescent="0.45">
      <c r="B148">
        <v>1460</v>
      </c>
      <c r="C148" s="2">
        <f t="shared" si="2"/>
        <v>18.520767123287673</v>
      </c>
    </row>
    <row r="149" spans="2:3" x14ac:dyDescent="0.45">
      <c r="B149">
        <v>1470</v>
      </c>
      <c r="C149" s="2">
        <f t="shared" si="2"/>
        <v>18.394775510204081</v>
      </c>
    </row>
    <row r="150" spans="2:3" x14ac:dyDescent="0.45">
      <c r="B150">
        <v>1480</v>
      </c>
      <c r="C150" s="2">
        <f t="shared" si="2"/>
        <v>18.270486486486487</v>
      </c>
    </row>
    <row r="151" spans="2:3" x14ac:dyDescent="0.45">
      <c r="B151">
        <v>1490</v>
      </c>
      <c r="C151" s="2">
        <f t="shared" si="2"/>
        <v>18.147865771812079</v>
      </c>
    </row>
    <row r="152" spans="2:3" x14ac:dyDescent="0.45">
      <c r="B152">
        <v>1500</v>
      </c>
      <c r="C152" s="2">
        <f t="shared" si="2"/>
        <v>18.026879999999998</v>
      </c>
    </row>
    <row r="153" spans="2:3" x14ac:dyDescent="0.45">
      <c r="B153">
        <v>1510</v>
      </c>
      <c r="C153" s="2">
        <f t="shared" si="2"/>
        <v>17.907496688741723</v>
      </c>
    </row>
    <row r="154" spans="2:3" x14ac:dyDescent="0.45">
      <c r="B154">
        <v>1520</v>
      </c>
      <c r="C154" s="2">
        <f t="shared" si="2"/>
        <v>17.789684210526314</v>
      </c>
    </row>
    <row r="155" spans="2:3" x14ac:dyDescent="0.45">
      <c r="B155">
        <v>1530</v>
      </c>
      <c r="C155" s="2">
        <f t="shared" si="2"/>
        <v>17.673411764705882</v>
      </c>
    </row>
    <row r="156" spans="2:3" x14ac:dyDescent="0.45">
      <c r="B156">
        <v>1540</v>
      </c>
      <c r="C156" s="2">
        <f t="shared" si="2"/>
        <v>17.55864935064935</v>
      </c>
    </row>
    <row r="157" spans="2:3" x14ac:dyDescent="0.45">
      <c r="B157">
        <v>1550</v>
      </c>
      <c r="C157" s="2">
        <f t="shared" si="2"/>
        <v>17.445367741935485</v>
      </c>
    </row>
    <row r="158" spans="2:3" x14ac:dyDescent="0.45">
      <c r="B158">
        <v>1560</v>
      </c>
      <c r="C158" s="2">
        <f t="shared" si="2"/>
        <v>17.33353846153846</v>
      </c>
    </row>
    <row r="159" spans="2:3" x14ac:dyDescent="0.45">
      <c r="B159">
        <v>1570</v>
      </c>
      <c r="C159" s="2">
        <f t="shared" si="2"/>
        <v>17.223133757961783</v>
      </c>
    </row>
    <row r="160" spans="2:3" x14ac:dyDescent="0.45">
      <c r="B160">
        <v>1580</v>
      </c>
      <c r="C160" s="2">
        <f t="shared" si="2"/>
        <v>17.11412658227848</v>
      </c>
    </row>
    <row r="161" spans="2:3" x14ac:dyDescent="0.45">
      <c r="B161">
        <v>1590</v>
      </c>
      <c r="C161" s="2">
        <f t="shared" si="2"/>
        <v>17.006490566037737</v>
      </c>
    </row>
    <row r="162" spans="2:3" x14ac:dyDescent="0.45">
      <c r="B162">
        <v>1600</v>
      </c>
      <c r="C162" s="2">
        <f t="shared" si="2"/>
        <v>16.900199999999998</v>
      </c>
    </row>
    <row r="163" spans="2:3" x14ac:dyDescent="0.45">
      <c r="B163">
        <v>1610</v>
      </c>
      <c r="C163" s="2">
        <f t="shared" si="2"/>
        <v>16.795229813664594</v>
      </c>
    </row>
    <row r="164" spans="2:3" x14ac:dyDescent="0.45">
      <c r="B164">
        <v>1620</v>
      </c>
      <c r="C164" s="2">
        <f t="shared" si="2"/>
        <v>16.691555555555556</v>
      </c>
    </row>
    <row r="165" spans="2:3" x14ac:dyDescent="0.45">
      <c r="B165">
        <v>1630</v>
      </c>
      <c r="C165" s="2">
        <f t="shared" si="2"/>
        <v>16.589153374233128</v>
      </c>
    </row>
    <row r="166" spans="2:3" x14ac:dyDescent="0.45">
      <c r="B166">
        <v>1640</v>
      </c>
      <c r="C166" s="2">
        <f t="shared" si="2"/>
        <v>16.488</v>
      </c>
    </row>
    <row r="167" spans="2:3" x14ac:dyDescent="0.45">
      <c r="B167">
        <v>1650</v>
      </c>
      <c r="C167" s="2">
        <f t="shared" si="2"/>
        <v>16.388072727272728</v>
      </c>
    </row>
    <row r="168" spans="2:3" x14ac:dyDescent="0.45">
      <c r="B168">
        <v>1660</v>
      </c>
      <c r="C168" s="2">
        <f t="shared" si="2"/>
        <v>16.28934939759036</v>
      </c>
    </row>
    <row r="169" spans="2:3" x14ac:dyDescent="0.45">
      <c r="B169">
        <v>1670</v>
      </c>
      <c r="C169" s="2">
        <f t="shared" si="2"/>
        <v>16.191808383233532</v>
      </c>
    </row>
    <row r="170" spans="2:3" x14ac:dyDescent="0.45">
      <c r="B170">
        <v>1680</v>
      </c>
      <c r="C170" s="2">
        <f t="shared" si="2"/>
        <v>16.09542857142857</v>
      </c>
    </row>
    <row r="171" spans="2:3" x14ac:dyDescent="0.45">
      <c r="B171">
        <v>1690</v>
      </c>
      <c r="C171" s="2">
        <f t="shared" si="2"/>
        <v>16.000189349112425</v>
      </c>
    </row>
    <row r="172" spans="2:3" x14ac:dyDescent="0.45">
      <c r="B172">
        <v>1700</v>
      </c>
      <c r="C172" s="2">
        <f t="shared" si="2"/>
        <v>15.906070588235293</v>
      </c>
    </row>
    <row r="173" spans="2:3" x14ac:dyDescent="0.45">
      <c r="B173">
        <v>1710</v>
      </c>
      <c r="C173" s="2">
        <f t="shared" si="2"/>
        <v>15.813052631578946</v>
      </c>
    </row>
    <row r="174" spans="2:3" x14ac:dyDescent="0.45">
      <c r="B174">
        <v>1720</v>
      </c>
      <c r="C174" s="2">
        <f t="shared" si="2"/>
        <v>15.721116279069767</v>
      </c>
    </row>
    <row r="175" spans="2:3" x14ac:dyDescent="0.45">
      <c r="B175">
        <v>1730</v>
      </c>
      <c r="C175" s="2">
        <f t="shared" si="2"/>
        <v>15.630242774566474</v>
      </c>
    </row>
    <row r="176" spans="2:3" x14ac:dyDescent="0.45">
      <c r="B176">
        <v>1740</v>
      </c>
      <c r="C176" s="2">
        <f t="shared" si="2"/>
        <v>15.540413793103449</v>
      </c>
    </row>
    <row r="177" spans="2:3" x14ac:dyDescent="0.45">
      <c r="B177">
        <v>1750</v>
      </c>
      <c r="C177" s="2">
        <f t="shared" si="2"/>
        <v>15.451611428571429</v>
      </c>
    </row>
    <row r="178" spans="2:3" x14ac:dyDescent="0.45">
      <c r="B178">
        <v>1760</v>
      </c>
      <c r="C178" s="2">
        <f t="shared" si="2"/>
        <v>15.363818181818182</v>
      </c>
    </row>
    <row r="179" spans="2:3" x14ac:dyDescent="0.45">
      <c r="B179">
        <v>1770</v>
      </c>
      <c r="C179" s="2">
        <f t="shared" si="2"/>
        <v>15.277016949152543</v>
      </c>
    </row>
    <row r="180" spans="2:3" x14ac:dyDescent="0.45">
      <c r="B180">
        <v>1780</v>
      </c>
      <c r="C180" s="2">
        <f t="shared" si="2"/>
        <v>15.191191011235954</v>
      </c>
    </row>
    <row r="181" spans="2:3" x14ac:dyDescent="0.45">
      <c r="B181">
        <v>1790</v>
      </c>
      <c r="C181" s="2">
        <f t="shared" si="2"/>
        <v>15.106324022346369</v>
      </c>
    </row>
    <row r="182" spans="2:3" x14ac:dyDescent="0.45">
      <c r="B182">
        <v>1800</v>
      </c>
      <c r="C182" s="2">
        <f t="shared" si="2"/>
        <v>15.022399999999999</v>
      </c>
    </row>
    <row r="183" spans="2:3" x14ac:dyDescent="0.45">
      <c r="B183">
        <v>1810</v>
      </c>
      <c r="C183" s="2">
        <f t="shared" si="2"/>
        <v>14.939403314917127</v>
      </c>
    </row>
    <row r="184" spans="2:3" x14ac:dyDescent="0.45">
      <c r="B184">
        <v>1820</v>
      </c>
      <c r="C184" s="2">
        <f t="shared" si="2"/>
        <v>14.857318681318681</v>
      </c>
    </row>
    <row r="185" spans="2:3" x14ac:dyDescent="0.45">
      <c r="B185">
        <v>1830</v>
      </c>
      <c r="C185" s="2">
        <f t="shared" si="2"/>
        <v>14.776131147540983</v>
      </c>
    </row>
    <row r="186" spans="2:3" x14ac:dyDescent="0.45">
      <c r="B186">
        <v>1840</v>
      </c>
      <c r="C186" s="2">
        <f t="shared" si="2"/>
        <v>14.695826086956522</v>
      </c>
    </row>
    <row r="187" spans="2:3" x14ac:dyDescent="0.45">
      <c r="B187">
        <v>1850</v>
      </c>
      <c r="C187" s="2">
        <f t="shared" si="2"/>
        <v>14.616389189189189</v>
      </c>
    </row>
    <row r="188" spans="2:3" x14ac:dyDescent="0.45">
      <c r="B188">
        <v>1860</v>
      </c>
      <c r="C188" s="2">
        <f t="shared" si="2"/>
        <v>14.537806451612903</v>
      </c>
    </row>
    <row r="189" spans="2:3" x14ac:dyDescent="0.45">
      <c r="B189">
        <v>1870</v>
      </c>
      <c r="C189" s="2">
        <f t="shared" si="2"/>
        <v>14.460064171122994</v>
      </c>
    </row>
    <row r="190" spans="2:3" x14ac:dyDescent="0.45">
      <c r="B190">
        <v>1880</v>
      </c>
      <c r="C190" s="2">
        <f t="shared" si="2"/>
        <v>14.383148936170212</v>
      </c>
    </row>
    <row r="191" spans="2:3" x14ac:dyDescent="0.45">
      <c r="B191">
        <v>1890</v>
      </c>
      <c r="C191" s="2">
        <f t="shared" si="2"/>
        <v>14.307047619047619</v>
      </c>
    </row>
    <row r="192" spans="2:3" x14ac:dyDescent="0.45">
      <c r="B192">
        <v>1900</v>
      </c>
      <c r="C192" s="2">
        <f t="shared" si="2"/>
        <v>14.231747368421052</v>
      </c>
    </row>
    <row r="193" spans="2:3" x14ac:dyDescent="0.45">
      <c r="B193">
        <v>1910</v>
      </c>
      <c r="C193" s="2">
        <f t="shared" si="2"/>
        <v>14.157235602094241</v>
      </c>
    </row>
    <row r="194" spans="2:3" x14ac:dyDescent="0.45">
      <c r="B194">
        <v>1920</v>
      </c>
      <c r="C194" s="2">
        <f t="shared" si="2"/>
        <v>14.083499999999999</v>
      </c>
    </row>
    <row r="195" spans="2:3" x14ac:dyDescent="0.45">
      <c r="B195">
        <v>1930</v>
      </c>
      <c r="C195" s="2">
        <f t="shared" ref="C195:C258" si="3">$A$2/B195</f>
        <v>14.010528497409327</v>
      </c>
    </row>
    <row r="196" spans="2:3" x14ac:dyDescent="0.45">
      <c r="B196">
        <v>1940</v>
      </c>
      <c r="C196" s="2">
        <f t="shared" si="3"/>
        <v>13.938309278350514</v>
      </c>
    </row>
    <row r="197" spans="2:3" x14ac:dyDescent="0.45">
      <c r="B197">
        <v>1950</v>
      </c>
      <c r="C197" s="2">
        <f t="shared" si="3"/>
        <v>13.86683076923077</v>
      </c>
    </row>
    <row r="198" spans="2:3" x14ac:dyDescent="0.45">
      <c r="B198">
        <v>1960</v>
      </c>
      <c r="C198" s="2">
        <f t="shared" si="3"/>
        <v>13.796081632653062</v>
      </c>
    </row>
    <row r="199" spans="2:3" x14ac:dyDescent="0.45">
      <c r="B199">
        <v>1970</v>
      </c>
      <c r="C199" s="2">
        <f t="shared" si="3"/>
        <v>13.72605076142132</v>
      </c>
    </row>
    <row r="200" spans="2:3" x14ac:dyDescent="0.45">
      <c r="B200">
        <v>1980</v>
      </c>
      <c r="C200" s="2">
        <f t="shared" si="3"/>
        <v>13.656727272727272</v>
      </c>
    </row>
    <row r="201" spans="2:3" x14ac:dyDescent="0.45">
      <c r="B201">
        <v>1990</v>
      </c>
      <c r="C201" s="2">
        <f t="shared" si="3"/>
        <v>13.588100502512562</v>
      </c>
    </row>
    <row r="202" spans="2:3" x14ac:dyDescent="0.45">
      <c r="B202">
        <v>2000</v>
      </c>
      <c r="C202" s="2">
        <f t="shared" si="3"/>
        <v>13.520160000000001</v>
      </c>
    </row>
    <row r="203" spans="2:3" x14ac:dyDescent="0.45">
      <c r="B203">
        <v>2010</v>
      </c>
      <c r="C203" s="2">
        <f t="shared" si="3"/>
        <v>13.45289552238806</v>
      </c>
    </row>
    <row r="204" spans="2:3" x14ac:dyDescent="0.45">
      <c r="B204">
        <v>2020</v>
      </c>
      <c r="C204" s="2">
        <f t="shared" si="3"/>
        <v>13.38629702970297</v>
      </c>
    </row>
    <row r="205" spans="2:3" x14ac:dyDescent="0.45">
      <c r="B205">
        <v>2030</v>
      </c>
      <c r="C205" s="2">
        <f t="shared" si="3"/>
        <v>13.320354679802955</v>
      </c>
    </row>
    <row r="206" spans="2:3" x14ac:dyDescent="0.45">
      <c r="B206">
        <v>2040</v>
      </c>
      <c r="C206" s="2">
        <f t="shared" si="3"/>
        <v>13.255058823529412</v>
      </c>
    </row>
    <row r="207" spans="2:3" x14ac:dyDescent="0.45">
      <c r="B207">
        <v>2050</v>
      </c>
      <c r="C207" s="2">
        <f t="shared" si="3"/>
        <v>13.1904</v>
      </c>
    </row>
    <row r="208" spans="2:3" x14ac:dyDescent="0.45">
      <c r="B208">
        <v>2060</v>
      </c>
      <c r="C208" s="2">
        <f t="shared" si="3"/>
        <v>13.126368932038835</v>
      </c>
    </row>
    <row r="209" spans="2:3" x14ac:dyDescent="0.45">
      <c r="B209">
        <v>2070</v>
      </c>
      <c r="C209" s="2">
        <f t="shared" si="3"/>
        <v>13.06295652173913</v>
      </c>
    </row>
    <row r="210" spans="2:3" x14ac:dyDescent="0.45">
      <c r="B210">
        <v>2080</v>
      </c>
      <c r="C210" s="2">
        <f t="shared" si="3"/>
        <v>13.000153846153847</v>
      </c>
    </row>
    <row r="211" spans="2:3" x14ac:dyDescent="0.45">
      <c r="B211">
        <v>2090</v>
      </c>
      <c r="C211" s="2">
        <f t="shared" si="3"/>
        <v>12.937952153110048</v>
      </c>
    </row>
    <row r="212" spans="2:3" x14ac:dyDescent="0.45">
      <c r="B212">
        <v>2100</v>
      </c>
      <c r="C212" s="2">
        <f t="shared" si="3"/>
        <v>12.876342857142857</v>
      </c>
    </row>
    <row r="213" spans="2:3" x14ac:dyDescent="0.45">
      <c r="B213">
        <v>2110</v>
      </c>
      <c r="C213" s="2">
        <f t="shared" si="3"/>
        <v>12.815317535545024</v>
      </c>
    </row>
    <row r="214" spans="2:3" x14ac:dyDescent="0.45">
      <c r="B214">
        <v>2120</v>
      </c>
      <c r="C214" s="2">
        <f t="shared" si="3"/>
        <v>12.754867924528302</v>
      </c>
    </row>
    <row r="215" spans="2:3" x14ac:dyDescent="0.45">
      <c r="B215">
        <v>2130</v>
      </c>
      <c r="C215" s="2">
        <f t="shared" si="3"/>
        <v>12.694985915492957</v>
      </c>
    </row>
    <row r="216" spans="2:3" x14ac:dyDescent="0.45">
      <c r="B216">
        <v>2140</v>
      </c>
      <c r="C216" s="2">
        <f t="shared" si="3"/>
        <v>12.635663551401869</v>
      </c>
    </row>
    <row r="217" spans="2:3" x14ac:dyDescent="0.45">
      <c r="B217">
        <v>2150</v>
      </c>
      <c r="C217" s="2">
        <f t="shared" si="3"/>
        <v>12.576893023255813</v>
      </c>
    </row>
    <row r="218" spans="2:3" x14ac:dyDescent="0.45">
      <c r="B218">
        <v>2160</v>
      </c>
      <c r="C218" s="2">
        <f t="shared" si="3"/>
        <v>12.518666666666666</v>
      </c>
    </row>
    <row r="219" spans="2:3" x14ac:dyDescent="0.45">
      <c r="B219">
        <v>2170</v>
      </c>
      <c r="C219" s="2">
        <f t="shared" si="3"/>
        <v>12.460976958525345</v>
      </c>
    </row>
    <row r="220" spans="2:3" x14ac:dyDescent="0.45">
      <c r="B220">
        <v>2180</v>
      </c>
      <c r="C220" s="2">
        <f t="shared" si="3"/>
        <v>12.403816513761468</v>
      </c>
    </row>
    <row r="221" spans="2:3" x14ac:dyDescent="0.45">
      <c r="B221">
        <v>2190</v>
      </c>
      <c r="C221" s="2">
        <f t="shared" si="3"/>
        <v>12.34717808219178</v>
      </c>
    </row>
    <row r="222" spans="2:3" x14ac:dyDescent="0.45">
      <c r="B222">
        <v>2200</v>
      </c>
      <c r="C222" s="2">
        <f t="shared" si="3"/>
        <v>12.291054545454545</v>
      </c>
    </row>
    <row r="223" spans="2:3" x14ac:dyDescent="0.45">
      <c r="B223">
        <v>2210</v>
      </c>
      <c r="C223" s="2">
        <f t="shared" si="3"/>
        <v>12.235438914027149</v>
      </c>
    </row>
    <row r="224" spans="2:3" x14ac:dyDescent="0.45">
      <c r="B224">
        <v>2220</v>
      </c>
      <c r="C224" s="2">
        <f t="shared" si="3"/>
        <v>12.180324324324324</v>
      </c>
    </row>
    <row r="225" spans="2:3" x14ac:dyDescent="0.45">
      <c r="B225">
        <v>2230</v>
      </c>
      <c r="C225" s="2">
        <f t="shared" si="3"/>
        <v>12.12570403587444</v>
      </c>
    </row>
    <row r="226" spans="2:3" x14ac:dyDescent="0.45">
      <c r="B226">
        <v>2240</v>
      </c>
      <c r="C226" s="2">
        <f t="shared" si="3"/>
        <v>12.071571428571428</v>
      </c>
    </row>
    <row r="227" spans="2:3" x14ac:dyDescent="0.45">
      <c r="B227">
        <v>2250</v>
      </c>
      <c r="C227" s="2">
        <f t="shared" si="3"/>
        <v>12.01792</v>
      </c>
    </row>
    <row r="228" spans="2:3" x14ac:dyDescent="0.45">
      <c r="B228">
        <v>2260</v>
      </c>
      <c r="C228" s="2">
        <f t="shared" si="3"/>
        <v>11.964743362831859</v>
      </c>
    </row>
    <row r="229" spans="2:3" x14ac:dyDescent="0.45">
      <c r="B229">
        <v>2270</v>
      </c>
      <c r="C229" s="2">
        <f t="shared" si="3"/>
        <v>11.912035242290749</v>
      </c>
    </row>
    <row r="230" spans="2:3" x14ac:dyDescent="0.45">
      <c r="B230">
        <v>2280</v>
      </c>
      <c r="C230" s="2">
        <f t="shared" si="3"/>
        <v>11.859789473684211</v>
      </c>
    </row>
    <row r="231" spans="2:3" x14ac:dyDescent="0.45">
      <c r="B231">
        <v>2290</v>
      </c>
      <c r="C231" s="2">
        <f t="shared" si="3"/>
        <v>11.808</v>
      </c>
    </row>
    <row r="232" spans="2:3" x14ac:dyDescent="0.45">
      <c r="B232">
        <v>2300</v>
      </c>
      <c r="C232" s="2">
        <f t="shared" si="3"/>
        <v>11.756660869565216</v>
      </c>
    </row>
    <row r="233" spans="2:3" x14ac:dyDescent="0.45">
      <c r="B233">
        <v>2310</v>
      </c>
      <c r="C233" s="2">
        <f t="shared" si="3"/>
        <v>11.705766233766234</v>
      </c>
    </row>
    <row r="234" spans="2:3" x14ac:dyDescent="0.45">
      <c r="B234">
        <v>2320</v>
      </c>
      <c r="C234" s="2">
        <f t="shared" si="3"/>
        <v>11.655310344827585</v>
      </c>
    </row>
    <row r="235" spans="2:3" x14ac:dyDescent="0.45">
      <c r="B235">
        <v>2330</v>
      </c>
      <c r="C235" s="2">
        <f t="shared" si="3"/>
        <v>11.605287553648068</v>
      </c>
    </row>
    <row r="236" spans="2:3" x14ac:dyDescent="0.45">
      <c r="B236">
        <v>2340</v>
      </c>
      <c r="C236" s="2">
        <f t="shared" si="3"/>
        <v>11.555692307692308</v>
      </c>
    </row>
    <row r="237" spans="2:3" x14ac:dyDescent="0.45">
      <c r="B237">
        <v>2350</v>
      </c>
      <c r="C237" s="2">
        <f t="shared" si="3"/>
        <v>11.506519148936171</v>
      </c>
    </row>
    <row r="238" spans="2:3" x14ac:dyDescent="0.45">
      <c r="B238">
        <v>2360</v>
      </c>
      <c r="C238" s="2">
        <f t="shared" si="3"/>
        <v>11.457762711864406</v>
      </c>
    </row>
    <row r="239" spans="2:3" x14ac:dyDescent="0.45">
      <c r="B239">
        <v>2370</v>
      </c>
      <c r="C239" s="2">
        <f t="shared" si="3"/>
        <v>11.409417721518988</v>
      </c>
    </row>
    <row r="240" spans="2:3" x14ac:dyDescent="0.45">
      <c r="B240">
        <v>2380</v>
      </c>
      <c r="C240" s="2">
        <f t="shared" si="3"/>
        <v>11.361478991596638</v>
      </c>
    </row>
    <row r="241" spans="2:3" x14ac:dyDescent="0.45">
      <c r="B241">
        <v>2390</v>
      </c>
      <c r="C241" s="2">
        <f t="shared" si="3"/>
        <v>11.313941422594143</v>
      </c>
    </row>
    <row r="242" spans="2:3" x14ac:dyDescent="0.45">
      <c r="B242">
        <v>2400</v>
      </c>
      <c r="C242" s="2">
        <f t="shared" si="3"/>
        <v>11.2668</v>
      </c>
    </row>
    <row r="243" spans="2:3" x14ac:dyDescent="0.45">
      <c r="B243">
        <v>2410</v>
      </c>
      <c r="C243" s="2">
        <f t="shared" si="3"/>
        <v>11.220049792531119</v>
      </c>
    </row>
    <row r="244" spans="2:3" x14ac:dyDescent="0.45">
      <c r="B244">
        <v>2420</v>
      </c>
      <c r="C244" s="2">
        <f t="shared" si="3"/>
        <v>11.173685950413223</v>
      </c>
    </row>
    <row r="245" spans="2:3" x14ac:dyDescent="0.45">
      <c r="B245">
        <v>2430</v>
      </c>
      <c r="C245" s="2">
        <f t="shared" si="3"/>
        <v>11.127703703703704</v>
      </c>
    </row>
    <row r="246" spans="2:3" x14ac:dyDescent="0.45">
      <c r="B246">
        <v>2440</v>
      </c>
      <c r="C246" s="2">
        <f t="shared" si="3"/>
        <v>11.082098360655738</v>
      </c>
    </row>
    <row r="247" spans="2:3" x14ac:dyDescent="0.45">
      <c r="B247">
        <v>2450</v>
      </c>
      <c r="C247" s="2">
        <f t="shared" si="3"/>
        <v>11.036865306122449</v>
      </c>
    </row>
    <row r="248" spans="2:3" x14ac:dyDescent="0.45">
      <c r="B248">
        <v>2460</v>
      </c>
      <c r="C248" s="2">
        <f t="shared" si="3"/>
        <v>10.991999999999999</v>
      </c>
    </row>
    <row r="249" spans="2:3" x14ac:dyDescent="0.45">
      <c r="B249">
        <v>2470</v>
      </c>
      <c r="C249" s="2">
        <f t="shared" si="3"/>
        <v>10.947497975708503</v>
      </c>
    </row>
    <row r="250" spans="2:3" x14ac:dyDescent="0.45">
      <c r="B250">
        <v>2480</v>
      </c>
      <c r="C250" s="2">
        <f t="shared" si="3"/>
        <v>10.903354838709678</v>
      </c>
    </row>
    <row r="251" spans="2:3" x14ac:dyDescent="0.45">
      <c r="B251">
        <v>2490</v>
      </c>
      <c r="C251" s="2">
        <f t="shared" si="3"/>
        <v>10.859566265060241</v>
      </c>
    </row>
    <row r="252" spans="2:3" x14ac:dyDescent="0.45">
      <c r="B252">
        <v>2500</v>
      </c>
      <c r="C252" s="2">
        <f t="shared" si="3"/>
        <v>10.816127999999999</v>
      </c>
    </row>
    <row r="253" spans="2:3" x14ac:dyDescent="0.45">
      <c r="B253">
        <v>2510</v>
      </c>
      <c r="C253" s="2">
        <f t="shared" si="3"/>
        <v>10.773035856573705</v>
      </c>
    </row>
    <row r="254" spans="2:3" x14ac:dyDescent="0.45">
      <c r="B254">
        <v>2520</v>
      </c>
      <c r="C254" s="2">
        <f t="shared" si="3"/>
        <v>10.730285714285714</v>
      </c>
    </row>
    <row r="255" spans="2:3" x14ac:dyDescent="0.45">
      <c r="B255">
        <v>2530</v>
      </c>
      <c r="C255" s="2">
        <f t="shared" si="3"/>
        <v>10.687873517786562</v>
      </c>
    </row>
    <row r="256" spans="2:3" x14ac:dyDescent="0.45">
      <c r="B256">
        <v>2540</v>
      </c>
      <c r="C256" s="2">
        <f t="shared" si="3"/>
        <v>10.645795275590551</v>
      </c>
    </row>
    <row r="257" spans="2:3" x14ac:dyDescent="0.45">
      <c r="B257">
        <v>2550</v>
      </c>
      <c r="C257" s="2">
        <f t="shared" si="3"/>
        <v>10.604047058823529</v>
      </c>
    </row>
    <row r="258" spans="2:3" x14ac:dyDescent="0.45">
      <c r="B258">
        <v>2560</v>
      </c>
      <c r="C258" s="2">
        <f t="shared" si="3"/>
        <v>10.562625000000001</v>
      </c>
    </row>
    <row r="259" spans="2:3" x14ac:dyDescent="0.45">
      <c r="B259">
        <v>2570</v>
      </c>
      <c r="C259" s="2">
        <f t="shared" ref="C259:C322" si="4">$A$2/B259</f>
        <v>10.521525291828794</v>
      </c>
    </row>
    <row r="260" spans="2:3" x14ac:dyDescent="0.45">
      <c r="B260">
        <v>2580</v>
      </c>
      <c r="C260" s="2">
        <f t="shared" si="4"/>
        <v>10.480744186046511</v>
      </c>
    </row>
    <row r="261" spans="2:3" x14ac:dyDescent="0.45">
      <c r="B261">
        <v>2590</v>
      </c>
      <c r="C261" s="2">
        <f t="shared" si="4"/>
        <v>10.440277992277991</v>
      </c>
    </row>
    <row r="262" spans="2:3" x14ac:dyDescent="0.45">
      <c r="B262">
        <v>2600</v>
      </c>
      <c r="C262" s="2">
        <f t="shared" si="4"/>
        <v>10.400123076923077</v>
      </c>
    </row>
    <row r="263" spans="2:3" x14ac:dyDescent="0.45">
      <c r="B263">
        <v>2610</v>
      </c>
      <c r="C263" s="2">
        <f t="shared" si="4"/>
        <v>10.360275862068965</v>
      </c>
    </row>
    <row r="264" spans="2:3" x14ac:dyDescent="0.45">
      <c r="B264">
        <v>2620</v>
      </c>
      <c r="C264" s="2">
        <f t="shared" si="4"/>
        <v>10.320732824427481</v>
      </c>
    </row>
    <row r="265" spans="2:3" x14ac:dyDescent="0.45">
      <c r="B265">
        <v>2630</v>
      </c>
      <c r="C265" s="2">
        <f t="shared" si="4"/>
        <v>10.281490494296579</v>
      </c>
    </row>
    <row r="266" spans="2:3" x14ac:dyDescent="0.45">
      <c r="B266">
        <v>2640</v>
      </c>
      <c r="C266" s="2">
        <f t="shared" si="4"/>
        <v>10.242545454545455</v>
      </c>
    </row>
    <row r="267" spans="2:3" x14ac:dyDescent="0.45">
      <c r="B267">
        <v>2650</v>
      </c>
      <c r="C267" s="2">
        <f t="shared" si="4"/>
        <v>10.203894339622641</v>
      </c>
    </row>
    <row r="268" spans="2:3" x14ac:dyDescent="0.45">
      <c r="B268">
        <v>2660</v>
      </c>
      <c r="C268" s="2">
        <f t="shared" si="4"/>
        <v>10.165533834586466</v>
      </c>
    </row>
    <row r="269" spans="2:3" x14ac:dyDescent="0.45">
      <c r="B269">
        <v>2670</v>
      </c>
      <c r="C269" s="2">
        <f t="shared" si="4"/>
        <v>10.127460674157303</v>
      </c>
    </row>
    <row r="270" spans="2:3" x14ac:dyDescent="0.45">
      <c r="B270">
        <v>2680</v>
      </c>
      <c r="C270" s="2">
        <f t="shared" si="4"/>
        <v>10.089671641791044</v>
      </c>
    </row>
    <row r="271" spans="2:3" x14ac:dyDescent="0.45">
      <c r="B271">
        <v>2690</v>
      </c>
      <c r="C271" s="2">
        <f t="shared" si="4"/>
        <v>10.052163568773235</v>
      </c>
    </row>
    <row r="272" spans="2:3" x14ac:dyDescent="0.45">
      <c r="B272">
        <v>2700</v>
      </c>
      <c r="C272" s="2">
        <f t="shared" si="4"/>
        <v>10.014933333333333</v>
      </c>
    </row>
    <row r="273" spans="2:3" x14ac:dyDescent="0.45">
      <c r="B273">
        <v>2710</v>
      </c>
      <c r="C273" s="2">
        <f t="shared" si="4"/>
        <v>9.9779778597785977</v>
      </c>
    </row>
    <row r="274" spans="2:3" x14ac:dyDescent="0.45">
      <c r="B274">
        <v>2720</v>
      </c>
      <c r="C274" s="2">
        <f t="shared" si="4"/>
        <v>9.9412941176470593</v>
      </c>
    </row>
    <row r="275" spans="2:3" x14ac:dyDescent="0.45">
      <c r="B275">
        <v>2730</v>
      </c>
      <c r="C275" s="2">
        <f t="shared" si="4"/>
        <v>9.9048791208791211</v>
      </c>
    </row>
    <row r="276" spans="2:3" x14ac:dyDescent="0.45">
      <c r="B276">
        <v>2740</v>
      </c>
      <c r="C276" s="2">
        <f t="shared" si="4"/>
        <v>9.8687299270072995</v>
      </c>
    </row>
    <row r="277" spans="2:3" x14ac:dyDescent="0.45">
      <c r="B277">
        <v>2750</v>
      </c>
      <c r="C277" s="2">
        <f t="shared" si="4"/>
        <v>9.832843636363636</v>
      </c>
    </row>
    <row r="278" spans="2:3" x14ac:dyDescent="0.45">
      <c r="B278">
        <v>2760</v>
      </c>
      <c r="C278" s="2">
        <f t="shared" si="4"/>
        <v>9.797217391304347</v>
      </c>
    </row>
    <row r="279" spans="2:3" x14ac:dyDescent="0.45">
      <c r="B279">
        <v>2770</v>
      </c>
      <c r="C279" s="2">
        <f t="shared" si="4"/>
        <v>9.7618483754512635</v>
      </c>
    </row>
    <row r="280" spans="2:3" x14ac:dyDescent="0.45">
      <c r="B280">
        <v>2780</v>
      </c>
      <c r="C280" s="2">
        <f t="shared" si="4"/>
        <v>9.7267338129496395</v>
      </c>
    </row>
    <row r="281" spans="2:3" x14ac:dyDescent="0.45">
      <c r="B281">
        <v>2790</v>
      </c>
      <c r="C281" s="2">
        <f t="shared" si="4"/>
        <v>9.6918709677419361</v>
      </c>
    </row>
    <row r="282" spans="2:3" x14ac:dyDescent="0.45">
      <c r="B282">
        <v>2800</v>
      </c>
      <c r="C282" s="2">
        <f t="shared" si="4"/>
        <v>9.6572571428571425</v>
      </c>
    </row>
    <row r="283" spans="2:3" x14ac:dyDescent="0.45">
      <c r="B283">
        <v>2810</v>
      </c>
      <c r="C283" s="2">
        <f t="shared" si="4"/>
        <v>9.6228896797153016</v>
      </c>
    </row>
    <row r="284" spans="2:3" x14ac:dyDescent="0.45">
      <c r="B284">
        <v>2820</v>
      </c>
      <c r="C284" s="2">
        <f t="shared" si="4"/>
        <v>9.5887659574468085</v>
      </c>
    </row>
    <row r="285" spans="2:3" x14ac:dyDescent="0.45">
      <c r="B285">
        <v>2830</v>
      </c>
      <c r="C285" s="2">
        <f t="shared" si="4"/>
        <v>9.5548833922261487</v>
      </c>
    </row>
    <row r="286" spans="2:3" x14ac:dyDescent="0.45">
      <c r="B286">
        <v>2840</v>
      </c>
      <c r="C286" s="2">
        <f t="shared" si="4"/>
        <v>9.5212394366197177</v>
      </c>
    </row>
    <row r="287" spans="2:3" x14ac:dyDescent="0.45">
      <c r="B287">
        <v>2850</v>
      </c>
      <c r="C287" s="2">
        <f t="shared" si="4"/>
        <v>9.4878315789473682</v>
      </c>
    </row>
    <row r="288" spans="2:3" x14ac:dyDescent="0.45">
      <c r="B288">
        <v>2860</v>
      </c>
      <c r="C288" s="2">
        <f t="shared" si="4"/>
        <v>9.4546573426573417</v>
      </c>
    </row>
    <row r="289" spans="2:3" x14ac:dyDescent="0.45">
      <c r="B289">
        <v>2870</v>
      </c>
      <c r="C289" s="2">
        <f t="shared" si="4"/>
        <v>9.4217142857142857</v>
      </c>
    </row>
    <row r="290" spans="2:3" x14ac:dyDescent="0.45">
      <c r="B290">
        <v>2880</v>
      </c>
      <c r="C290" s="2">
        <f t="shared" si="4"/>
        <v>9.3889999999999993</v>
      </c>
    </row>
    <row r="291" spans="2:3" x14ac:dyDescent="0.45">
      <c r="B291">
        <v>2890</v>
      </c>
      <c r="C291" s="2">
        <f t="shared" si="4"/>
        <v>9.3565121107266442</v>
      </c>
    </row>
    <row r="292" spans="2:3" x14ac:dyDescent="0.45">
      <c r="B292">
        <v>2900</v>
      </c>
      <c r="C292" s="2">
        <f t="shared" si="4"/>
        <v>9.3242482758620682</v>
      </c>
    </row>
    <row r="293" spans="2:3" x14ac:dyDescent="0.45">
      <c r="B293">
        <v>2910</v>
      </c>
      <c r="C293" s="2">
        <f t="shared" si="4"/>
        <v>9.2922061855670108</v>
      </c>
    </row>
    <row r="294" spans="2:3" x14ac:dyDescent="0.45">
      <c r="B294">
        <v>2920</v>
      </c>
      <c r="C294" s="2">
        <f t="shared" si="4"/>
        <v>9.2603835616438364</v>
      </c>
    </row>
    <row r="295" spans="2:3" x14ac:dyDescent="0.45">
      <c r="B295">
        <v>2930</v>
      </c>
      <c r="C295" s="2">
        <f t="shared" si="4"/>
        <v>9.2287781569965865</v>
      </c>
    </row>
    <row r="296" spans="2:3" x14ac:dyDescent="0.45">
      <c r="B296">
        <v>2940</v>
      </c>
      <c r="C296" s="2">
        <f t="shared" si="4"/>
        <v>9.1973877551020404</v>
      </c>
    </row>
    <row r="297" spans="2:3" x14ac:dyDescent="0.45">
      <c r="B297">
        <v>2950</v>
      </c>
      <c r="C297" s="2">
        <f t="shared" si="4"/>
        <v>9.1662101694915261</v>
      </c>
    </row>
    <row r="298" spans="2:3" x14ac:dyDescent="0.45">
      <c r="B298">
        <v>2960</v>
      </c>
      <c r="C298" s="2">
        <f t="shared" si="4"/>
        <v>9.1352432432432433</v>
      </c>
    </row>
    <row r="299" spans="2:3" x14ac:dyDescent="0.45">
      <c r="B299">
        <v>2970</v>
      </c>
      <c r="C299" s="2">
        <f t="shared" si="4"/>
        <v>9.104484848484848</v>
      </c>
    </row>
    <row r="300" spans="2:3" x14ac:dyDescent="0.45">
      <c r="B300">
        <v>2980</v>
      </c>
      <c r="C300" s="2">
        <f t="shared" si="4"/>
        <v>9.0739328859060393</v>
      </c>
    </row>
    <row r="301" spans="2:3" x14ac:dyDescent="0.45">
      <c r="B301">
        <v>2990</v>
      </c>
      <c r="C301" s="2">
        <f t="shared" si="4"/>
        <v>9.0435852842809368</v>
      </c>
    </row>
    <row r="302" spans="2:3" x14ac:dyDescent="0.45">
      <c r="B302">
        <v>3000</v>
      </c>
      <c r="C302" s="2">
        <f t="shared" si="4"/>
        <v>9.0134399999999992</v>
      </c>
    </row>
    <row r="303" spans="2:3" x14ac:dyDescent="0.45">
      <c r="B303">
        <v>3010</v>
      </c>
      <c r="C303" s="2">
        <f t="shared" si="4"/>
        <v>8.983495016611295</v>
      </c>
    </row>
    <row r="304" spans="2:3" x14ac:dyDescent="0.45">
      <c r="B304">
        <v>3020</v>
      </c>
      <c r="C304" s="2">
        <f t="shared" si="4"/>
        <v>8.9537483443708616</v>
      </c>
    </row>
    <row r="305" spans="2:3" x14ac:dyDescent="0.45">
      <c r="B305">
        <v>3030</v>
      </c>
      <c r="C305" s="2">
        <f t="shared" si="4"/>
        <v>8.9241980198019792</v>
      </c>
    </row>
    <row r="306" spans="2:3" x14ac:dyDescent="0.45">
      <c r="B306">
        <v>3040</v>
      </c>
      <c r="C306" s="2">
        <f t="shared" si="4"/>
        <v>8.894842105263157</v>
      </c>
    </row>
    <row r="307" spans="2:3" x14ac:dyDescent="0.45">
      <c r="B307">
        <v>3050</v>
      </c>
      <c r="C307" s="2">
        <f t="shared" si="4"/>
        <v>8.8656786885245893</v>
      </c>
    </row>
    <row r="308" spans="2:3" x14ac:dyDescent="0.45">
      <c r="B308">
        <v>3060</v>
      </c>
      <c r="C308" s="2">
        <f t="shared" si="4"/>
        <v>8.8367058823529412</v>
      </c>
    </row>
    <row r="309" spans="2:3" x14ac:dyDescent="0.45">
      <c r="B309">
        <v>3070</v>
      </c>
      <c r="C309" s="2">
        <f t="shared" si="4"/>
        <v>8.8079218241042341</v>
      </c>
    </row>
    <row r="310" spans="2:3" x14ac:dyDescent="0.45">
      <c r="B310">
        <v>3080</v>
      </c>
      <c r="C310" s="2">
        <f t="shared" si="4"/>
        <v>8.7793246753246752</v>
      </c>
    </row>
    <row r="311" spans="2:3" x14ac:dyDescent="0.45">
      <c r="B311">
        <v>3090</v>
      </c>
      <c r="C311" s="2">
        <f t="shared" si="4"/>
        <v>8.7509126213592232</v>
      </c>
    </row>
    <row r="312" spans="2:3" x14ac:dyDescent="0.45">
      <c r="B312">
        <v>3100</v>
      </c>
      <c r="C312" s="2">
        <f t="shared" si="4"/>
        <v>8.7226838709677423</v>
      </c>
    </row>
    <row r="313" spans="2:3" x14ac:dyDescent="0.45">
      <c r="B313">
        <v>3110</v>
      </c>
      <c r="C313" s="2">
        <f t="shared" si="4"/>
        <v>8.6946366559485533</v>
      </c>
    </row>
    <row r="314" spans="2:3" x14ac:dyDescent="0.45">
      <c r="B314">
        <v>3120</v>
      </c>
      <c r="C314" s="2">
        <f t="shared" si="4"/>
        <v>8.6667692307692299</v>
      </c>
    </row>
    <row r="315" spans="2:3" x14ac:dyDescent="0.45">
      <c r="B315">
        <v>3130</v>
      </c>
      <c r="C315" s="2">
        <f t="shared" si="4"/>
        <v>8.6390798722044728</v>
      </c>
    </row>
    <row r="316" spans="2:3" x14ac:dyDescent="0.45">
      <c r="B316">
        <v>3140</v>
      </c>
      <c r="C316" s="2">
        <f t="shared" si="4"/>
        <v>8.6115668789808915</v>
      </c>
    </row>
    <row r="317" spans="2:3" x14ac:dyDescent="0.45">
      <c r="B317">
        <v>3150</v>
      </c>
      <c r="C317" s="2">
        <f t="shared" si="4"/>
        <v>8.5842285714285715</v>
      </c>
    </row>
    <row r="318" spans="2:3" x14ac:dyDescent="0.45">
      <c r="B318">
        <v>3160</v>
      </c>
      <c r="C318" s="2">
        <f t="shared" si="4"/>
        <v>8.5570632911392401</v>
      </c>
    </row>
    <row r="319" spans="2:3" x14ac:dyDescent="0.45">
      <c r="B319">
        <v>3170</v>
      </c>
      <c r="C319" s="2">
        <f t="shared" si="4"/>
        <v>8.5300694006309143</v>
      </c>
    </row>
    <row r="320" spans="2:3" x14ac:dyDescent="0.45">
      <c r="B320">
        <v>3180</v>
      </c>
      <c r="C320" s="2">
        <f t="shared" si="4"/>
        <v>8.5032452830188685</v>
      </c>
    </row>
    <row r="321" spans="2:3" x14ac:dyDescent="0.45">
      <c r="B321">
        <v>3190</v>
      </c>
      <c r="C321" s="2">
        <f t="shared" si="4"/>
        <v>8.4765893416927902</v>
      </c>
    </row>
    <row r="322" spans="2:3" x14ac:dyDescent="0.45">
      <c r="B322">
        <v>3200</v>
      </c>
      <c r="C322" s="2">
        <f t="shared" si="4"/>
        <v>8.4500999999999991</v>
      </c>
    </row>
    <row r="323" spans="2:3" x14ac:dyDescent="0.45">
      <c r="B323">
        <v>3210</v>
      </c>
      <c r="C323" s="2">
        <f t="shared" ref="C323:C386" si="5">$A$2/B323</f>
        <v>8.4237757009345788</v>
      </c>
    </row>
    <row r="324" spans="2:3" x14ac:dyDescent="0.45">
      <c r="B324">
        <v>3220</v>
      </c>
      <c r="C324" s="2">
        <f t="shared" si="5"/>
        <v>8.3976149068322972</v>
      </c>
    </row>
    <row r="325" spans="2:3" x14ac:dyDescent="0.45">
      <c r="B325">
        <v>3230</v>
      </c>
      <c r="C325" s="2">
        <f t="shared" si="5"/>
        <v>8.3716160990712076</v>
      </c>
    </row>
    <row r="326" spans="2:3" x14ac:dyDescent="0.45">
      <c r="B326">
        <v>3240</v>
      </c>
      <c r="C326" s="2">
        <f t="shared" si="5"/>
        <v>8.3457777777777782</v>
      </c>
    </row>
    <row r="327" spans="2:3" x14ac:dyDescent="0.45">
      <c r="B327">
        <v>3250</v>
      </c>
      <c r="C327" s="2">
        <f t="shared" si="5"/>
        <v>8.3200984615384623</v>
      </c>
    </row>
    <row r="328" spans="2:3" x14ac:dyDescent="0.45">
      <c r="B328">
        <v>3260</v>
      </c>
      <c r="C328" s="2">
        <f t="shared" si="5"/>
        <v>8.2945766871165638</v>
      </c>
    </row>
    <row r="329" spans="2:3" x14ac:dyDescent="0.45">
      <c r="B329">
        <v>3270</v>
      </c>
      <c r="C329" s="2">
        <f t="shared" si="5"/>
        <v>8.2692110091743114</v>
      </c>
    </row>
    <row r="330" spans="2:3" x14ac:dyDescent="0.45">
      <c r="B330">
        <v>3280</v>
      </c>
      <c r="C330" s="2">
        <f t="shared" si="5"/>
        <v>8.2439999999999998</v>
      </c>
    </row>
    <row r="331" spans="2:3" x14ac:dyDescent="0.45">
      <c r="B331">
        <v>3290</v>
      </c>
      <c r="C331" s="2">
        <f t="shared" si="5"/>
        <v>8.2189422492401221</v>
      </c>
    </row>
    <row r="332" spans="2:3" x14ac:dyDescent="0.45">
      <c r="B332">
        <v>3300</v>
      </c>
      <c r="C332" s="2">
        <f t="shared" si="5"/>
        <v>8.1940363636363642</v>
      </c>
    </row>
    <row r="333" spans="2:3" x14ac:dyDescent="0.45">
      <c r="B333">
        <v>3310</v>
      </c>
      <c r="C333" s="2">
        <f t="shared" si="5"/>
        <v>8.1692809667673707</v>
      </c>
    </row>
    <row r="334" spans="2:3" x14ac:dyDescent="0.45">
      <c r="B334">
        <v>3320</v>
      </c>
      <c r="C334" s="2">
        <f t="shared" si="5"/>
        <v>8.1446746987951801</v>
      </c>
    </row>
    <row r="335" spans="2:3" x14ac:dyDescent="0.45">
      <c r="B335">
        <v>3330</v>
      </c>
      <c r="C335" s="2">
        <f t="shared" si="5"/>
        <v>8.1202162162162157</v>
      </c>
    </row>
    <row r="336" spans="2:3" x14ac:dyDescent="0.45">
      <c r="B336">
        <v>3340</v>
      </c>
      <c r="C336" s="2">
        <f t="shared" si="5"/>
        <v>8.095904191616766</v>
      </c>
    </row>
    <row r="337" spans="2:3" x14ac:dyDescent="0.45">
      <c r="B337">
        <v>3350</v>
      </c>
      <c r="C337" s="2">
        <f t="shared" si="5"/>
        <v>8.0717373134328358</v>
      </c>
    </row>
    <row r="338" spans="2:3" x14ac:dyDescent="0.45">
      <c r="B338">
        <v>3360</v>
      </c>
      <c r="C338" s="2">
        <f t="shared" si="5"/>
        <v>8.0477142857142852</v>
      </c>
    </row>
    <row r="339" spans="2:3" x14ac:dyDescent="0.45">
      <c r="B339">
        <v>3370</v>
      </c>
      <c r="C339" s="2">
        <f t="shared" si="5"/>
        <v>8.0238338278931742</v>
      </c>
    </row>
    <row r="340" spans="2:3" x14ac:dyDescent="0.45">
      <c r="B340">
        <v>3380</v>
      </c>
      <c r="C340" s="2">
        <f t="shared" si="5"/>
        <v>8.0000946745562125</v>
      </c>
    </row>
    <row r="341" spans="2:3" x14ac:dyDescent="0.45">
      <c r="B341">
        <v>3390</v>
      </c>
      <c r="C341" s="2">
        <f t="shared" si="5"/>
        <v>7.9764955752212385</v>
      </c>
    </row>
    <row r="342" spans="2:3" x14ac:dyDescent="0.45">
      <c r="B342">
        <v>3400</v>
      </c>
      <c r="C342" s="2">
        <f t="shared" si="5"/>
        <v>7.9530352941176465</v>
      </c>
    </row>
    <row r="343" spans="2:3" x14ac:dyDescent="0.45">
      <c r="B343">
        <v>3410</v>
      </c>
      <c r="C343" s="2">
        <f t="shared" si="5"/>
        <v>7.9297126099706743</v>
      </c>
    </row>
    <row r="344" spans="2:3" x14ac:dyDescent="0.45">
      <c r="B344">
        <v>3420</v>
      </c>
      <c r="C344" s="2">
        <f t="shared" si="5"/>
        <v>7.9065263157894732</v>
      </c>
    </row>
    <row r="345" spans="2:3" x14ac:dyDescent="0.45">
      <c r="B345">
        <v>3430</v>
      </c>
      <c r="C345" s="2">
        <f t="shared" si="5"/>
        <v>7.8834752186588917</v>
      </c>
    </row>
    <row r="346" spans="2:3" x14ac:dyDescent="0.45">
      <c r="B346">
        <v>3440</v>
      </c>
      <c r="C346" s="2">
        <f t="shared" si="5"/>
        <v>7.8605581395348834</v>
      </c>
    </row>
    <row r="347" spans="2:3" x14ac:dyDescent="0.45">
      <c r="B347">
        <v>3450</v>
      </c>
      <c r="C347" s="2">
        <f t="shared" si="5"/>
        <v>7.8377739130434785</v>
      </c>
    </row>
    <row r="348" spans="2:3" x14ac:dyDescent="0.45">
      <c r="B348">
        <v>3460</v>
      </c>
      <c r="C348" s="2">
        <f t="shared" si="5"/>
        <v>7.815121387283237</v>
      </c>
    </row>
    <row r="349" spans="2:3" x14ac:dyDescent="0.45">
      <c r="B349">
        <v>3470</v>
      </c>
      <c r="C349" s="2">
        <f t="shared" si="5"/>
        <v>7.792599423631124</v>
      </c>
    </row>
    <row r="350" spans="2:3" x14ac:dyDescent="0.45">
      <c r="B350">
        <v>3480</v>
      </c>
      <c r="C350" s="2">
        <f t="shared" si="5"/>
        <v>7.7702068965517244</v>
      </c>
    </row>
    <row r="351" spans="2:3" x14ac:dyDescent="0.45">
      <c r="B351">
        <v>3490</v>
      </c>
      <c r="C351" s="2">
        <f t="shared" si="5"/>
        <v>7.7479426934097422</v>
      </c>
    </row>
    <row r="352" spans="2:3" x14ac:dyDescent="0.45">
      <c r="B352">
        <v>3500</v>
      </c>
      <c r="C352" s="2">
        <f t="shared" si="5"/>
        <v>7.7258057142857144</v>
      </c>
    </row>
    <row r="353" spans="2:3" x14ac:dyDescent="0.45">
      <c r="B353">
        <v>3510</v>
      </c>
      <c r="C353" s="2">
        <f t="shared" si="5"/>
        <v>7.7037948717948721</v>
      </c>
    </row>
    <row r="354" spans="2:3" x14ac:dyDescent="0.45">
      <c r="B354">
        <v>3520</v>
      </c>
      <c r="C354" s="2">
        <f t="shared" si="5"/>
        <v>7.681909090909091</v>
      </c>
    </row>
    <row r="355" spans="2:3" x14ac:dyDescent="0.45">
      <c r="B355">
        <v>3530</v>
      </c>
      <c r="C355" s="2">
        <f t="shared" si="5"/>
        <v>7.6601473087818697</v>
      </c>
    </row>
    <row r="356" spans="2:3" x14ac:dyDescent="0.45">
      <c r="B356">
        <v>3540</v>
      </c>
      <c r="C356" s="2">
        <f t="shared" si="5"/>
        <v>7.6385084745762715</v>
      </c>
    </row>
    <row r="357" spans="2:3" x14ac:dyDescent="0.45">
      <c r="B357">
        <v>3550</v>
      </c>
      <c r="C357" s="2">
        <f t="shared" si="5"/>
        <v>7.6169915492957747</v>
      </c>
    </row>
    <row r="358" spans="2:3" x14ac:dyDescent="0.45">
      <c r="B358">
        <v>3560</v>
      </c>
      <c r="C358" s="2">
        <f t="shared" si="5"/>
        <v>7.5955955056179771</v>
      </c>
    </row>
    <row r="359" spans="2:3" x14ac:dyDescent="0.45">
      <c r="B359">
        <v>3570</v>
      </c>
      <c r="C359" s="2">
        <f t="shared" si="5"/>
        <v>7.5743193277310921</v>
      </c>
    </row>
    <row r="360" spans="2:3" x14ac:dyDescent="0.45">
      <c r="B360">
        <v>3580</v>
      </c>
      <c r="C360" s="2">
        <f t="shared" si="5"/>
        <v>7.5531620111731845</v>
      </c>
    </row>
    <row r="361" spans="2:3" x14ac:dyDescent="0.45">
      <c r="B361">
        <v>3590</v>
      </c>
      <c r="C361" s="2">
        <f t="shared" si="5"/>
        <v>7.5321225626740942</v>
      </c>
    </row>
    <row r="362" spans="2:3" x14ac:dyDescent="0.45">
      <c r="B362">
        <v>3600</v>
      </c>
      <c r="C362" s="2">
        <f t="shared" si="5"/>
        <v>7.5111999999999997</v>
      </c>
    </row>
    <row r="363" spans="2:3" x14ac:dyDescent="0.45">
      <c r="B363">
        <v>3610</v>
      </c>
      <c r="C363" s="2">
        <f t="shared" si="5"/>
        <v>7.4903933518005541</v>
      </c>
    </row>
    <row r="364" spans="2:3" x14ac:dyDescent="0.45">
      <c r="B364">
        <v>3620</v>
      </c>
      <c r="C364" s="2">
        <f t="shared" si="5"/>
        <v>7.4697016574585637</v>
      </c>
    </row>
    <row r="365" spans="2:3" x14ac:dyDescent="0.45">
      <c r="B365">
        <v>3630</v>
      </c>
      <c r="C365" s="2">
        <f t="shared" si="5"/>
        <v>7.4491239669421487</v>
      </c>
    </row>
    <row r="366" spans="2:3" x14ac:dyDescent="0.45">
      <c r="B366">
        <v>3640</v>
      </c>
      <c r="C366" s="2">
        <f t="shared" si="5"/>
        <v>7.4286593406593404</v>
      </c>
    </row>
    <row r="367" spans="2:3" x14ac:dyDescent="0.45">
      <c r="B367">
        <v>3650</v>
      </c>
      <c r="C367" s="2">
        <f t="shared" si="5"/>
        <v>7.4083068493150686</v>
      </c>
    </row>
    <row r="368" spans="2:3" x14ac:dyDescent="0.45">
      <c r="B368">
        <v>3660</v>
      </c>
      <c r="C368" s="2">
        <f t="shared" si="5"/>
        <v>7.3880655737704917</v>
      </c>
    </row>
    <row r="369" spans="2:3" x14ac:dyDescent="0.45">
      <c r="B369">
        <v>3670</v>
      </c>
      <c r="C369" s="2">
        <f t="shared" si="5"/>
        <v>7.3679346049046321</v>
      </c>
    </row>
    <row r="370" spans="2:3" x14ac:dyDescent="0.45">
      <c r="B370">
        <v>3680</v>
      </c>
      <c r="C370" s="2">
        <f t="shared" si="5"/>
        <v>7.3479130434782611</v>
      </c>
    </row>
    <row r="371" spans="2:3" x14ac:dyDescent="0.45">
      <c r="B371">
        <v>3690</v>
      </c>
      <c r="C371" s="2">
        <f t="shared" si="5"/>
        <v>7.3280000000000003</v>
      </c>
    </row>
    <row r="372" spans="2:3" x14ac:dyDescent="0.45">
      <c r="B372">
        <v>3700</v>
      </c>
      <c r="C372" s="2">
        <f t="shared" si="5"/>
        <v>7.3081945945945943</v>
      </c>
    </row>
    <row r="373" spans="2:3" x14ac:dyDescent="0.45">
      <c r="B373">
        <v>3710</v>
      </c>
      <c r="C373" s="2">
        <f t="shared" si="5"/>
        <v>7.288495956873315</v>
      </c>
    </row>
    <row r="374" spans="2:3" x14ac:dyDescent="0.45">
      <c r="B374">
        <v>3720</v>
      </c>
      <c r="C374" s="2">
        <f t="shared" si="5"/>
        <v>7.2689032258064517</v>
      </c>
    </row>
    <row r="375" spans="2:3" x14ac:dyDescent="0.45">
      <c r="B375">
        <v>3730</v>
      </c>
      <c r="C375" s="2">
        <f t="shared" si="5"/>
        <v>7.2494155495978552</v>
      </c>
    </row>
    <row r="376" spans="2:3" x14ac:dyDescent="0.45">
      <c r="B376">
        <v>3740</v>
      </c>
      <c r="C376" s="2">
        <f t="shared" si="5"/>
        <v>7.230032085561497</v>
      </c>
    </row>
    <row r="377" spans="2:3" x14ac:dyDescent="0.45">
      <c r="B377">
        <v>3750</v>
      </c>
      <c r="C377" s="2">
        <f t="shared" si="5"/>
        <v>7.2107520000000003</v>
      </c>
    </row>
    <row r="378" spans="2:3" x14ac:dyDescent="0.45">
      <c r="B378">
        <v>3760</v>
      </c>
      <c r="C378" s="2">
        <f t="shared" si="5"/>
        <v>7.1915744680851059</v>
      </c>
    </row>
    <row r="379" spans="2:3" x14ac:dyDescent="0.45">
      <c r="B379">
        <v>3770</v>
      </c>
      <c r="C379" s="2">
        <f t="shared" si="5"/>
        <v>7.1724986737400531</v>
      </c>
    </row>
    <row r="380" spans="2:3" x14ac:dyDescent="0.45">
      <c r="B380">
        <v>3780</v>
      </c>
      <c r="C380" s="2">
        <f t="shared" si="5"/>
        <v>7.1535238095238096</v>
      </c>
    </row>
    <row r="381" spans="2:3" x14ac:dyDescent="0.45">
      <c r="B381">
        <v>3790</v>
      </c>
      <c r="C381" s="2">
        <f t="shared" si="5"/>
        <v>7.1346490765171504</v>
      </c>
    </row>
    <row r="382" spans="2:3" x14ac:dyDescent="0.45">
      <c r="B382">
        <v>3800</v>
      </c>
      <c r="C382" s="2">
        <f t="shared" si="5"/>
        <v>7.1158736842105261</v>
      </c>
    </row>
    <row r="383" spans="2:3" x14ac:dyDescent="0.45">
      <c r="B383">
        <v>3810</v>
      </c>
      <c r="C383" s="2">
        <f t="shared" si="5"/>
        <v>7.0971968503937006</v>
      </c>
    </row>
    <row r="384" spans="2:3" x14ac:dyDescent="0.45">
      <c r="B384">
        <v>3820</v>
      </c>
      <c r="C384" s="2">
        <f t="shared" si="5"/>
        <v>7.0786178010471206</v>
      </c>
    </row>
    <row r="385" spans="2:3" x14ac:dyDescent="0.45">
      <c r="B385">
        <v>3830</v>
      </c>
      <c r="C385" s="2">
        <f t="shared" si="5"/>
        <v>7.0601357702349867</v>
      </c>
    </row>
    <row r="386" spans="2:3" x14ac:dyDescent="0.45">
      <c r="B386">
        <v>3840</v>
      </c>
      <c r="C386" s="2">
        <f t="shared" si="5"/>
        <v>7.0417499999999995</v>
      </c>
    </row>
    <row r="387" spans="2:3" x14ac:dyDescent="0.45">
      <c r="B387">
        <v>3850</v>
      </c>
      <c r="C387" s="2">
        <f t="shared" ref="C387:C450" si="6">$A$2/B387</f>
        <v>7.0234597402597405</v>
      </c>
    </row>
    <row r="388" spans="2:3" x14ac:dyDescent="0.45">
      <c r="B388">
        <v>3860</v>
      </c>
      <c r="C388" s="2">
        <f t="shared" si="6"/>
        <v>7.0052642487046635</v>
      </c>
    </row>
    <row r="389" spans="2:3" x14ac:dyDescent="0.45">
      <c r="B389">
        <v>3870</v>
      </c>
      <c r="C389" s="2">
        <f t="shared" si="6"/>
        <v>6.9871627906976741</v>
      </c>
    </row>
    <row r="390" spans="2:3" x14ac:dyDescent="0.45">
      <c r="B390">
        <v>3880</v>
      </c>
      <c r="C390" s="2">
        <f t="shared" si="6"/>
        <v>6.9691546391752572</v>
      </c>
    </row>
    <row r="391" spans="2:3" x14ac:dyDescent="0.45">
      <c r="B391">
        <v>3890</v>
      </c>
      <c r="C391" s="2">
        <f t="shared" si="6"/>
        <v>6.951239074550128</v>
      </c>
    </row>
    <row r="392" spans="2:3" x14ac:dyDescent="0.45">
      <c r="B392">
        <v>3900</v>
      </c>
      <c r="C392" s="2">
        <f t="shared" si="6"/>
        <v>6.933415384615385</v>
      </c>
    </row>
    <row r="393" spans="2:3" x14ac:dyDescent="0.45">
      <c r="B393">
        <v>3910</v>
      </c>
      <c r="C393" s="2">
        <f t="shared" si="6"/>
        <v>6.9156828644501278</v>
      </c>
    </row>
    <row r="394" spans="2:3" x14ac:dyDescent="0.45">
      <c r="B394">
        <v>3920</v>
      </c>
      <c r="C394" s="2">
        <f t="shared" si="6"/>
        <v>6.8980408163265308</v>
      </c>
    </row>
    <row r="395" spans="2:3" x14ac:dyDescent="0.45">
      <c r="B395">
        <v>3930</v>
      </c>
      <c r="C395" s="2">
        <f t="shared" si="6"/>
        <v>6.8804885496183203</v>
      </c>
    </row>
    <row r="396" spans="2:3" x14ac:dyDescent="0.45">
      <c r="B396">
        <v>3940</v>
      </c>
      <c r="C396" s="2">
        <f t="shared" si="6"/>
        <v>6.8630253807106598</v>
      </c>
    </row>
    <row r="397" spans="2:3" x14ac:dyDescent="0.45">
      <c r="B397">
        <v>3950</v>
      </c>
      <c r="C397" s="2">
        <f t="shared" si="6"/>
        <v>6.8456506329113926</v>
      </c>
    </row>
    <row r="398" spans="2:3" x14ac:dyDescent="0.45">
      <c r="B398">
        <v>3960</v>
      </c>
      <c r="C398" s="2">
        <f t="shared" si="6"/>
        <v>6.828363636363636</v>
      </c>
    </row>
    <row r="399" spans="2:3" x14ac:dyDescent="0.45">
      <c r="B399">
        <v>3970</v>
      </c>
      <c r="C399" s="2">
        <f t="shared" si="6"/>
        <v>6.8111637279596975</v>
      </c>
    </row>
    <row r="400" spans="2:3" x14ac:dyDescent="0.45">
      <c r="B400">
        <v>3980</v>
      </c>
      <c r="C400" s="2">
        <f t="shared" si="6"/>
        <v>6.794050251256281</v>
      </c>
    </row>
    <row r="401" spans="2:3" x14ac:dyDescent="0.45">
      <c r="B401">
        <v>3990</v>
      </c>
      <c r="C401" s="2">
        <f t="shared" si="6"/>
        <v>6.7770225563909774</v>
      </c>
    </row>
    <row r="402" spans="2:3" x14ac:dyDescent="0.45">
      <c r="B402">
        <v>4000</v>
      </c>
      <c r="C402" s="2">
        <f t="shared" si="6"/>
        <v>6.7600800000000003</v>
      </c>
    </row>
    <row r="403" spans="2:3" x14ac:dyDescent="0.45">
      <c r="B403">
        <v>4010</v>
      </c>
      <c r="C403" s="2">
        <f t="shared" si="6"/>
        <v>6.7432219451371571</v>
      </c>
    </row>
    <row r="404" spans="2:3" x14ac:dyDescent="0.45">
      <c r="B404">
        <v>4020</v>
      </c>
      <c r="C404" s="2">
        <f t="shared" si="6"/>
        <v>6.7264477611940299</v>
      </c>
    </row>
    <row r="405" spans="2:3" x14ac:dyDescent="0.45">
      <c r="B405">
        <v>4030</v>
      </c>
      <c r="C405" s="2">
        <f t="shared" si="6"/>
        <v>6.7097568238213396</v>
      </c>
    </row>
    <row r="406" spans="2:3" x14ac:dyDescent="0.45">
      <c r="B406">
        <v>4040</v>
      </c>
      <c r="C406" s="2">
        <f t="shared" si="6"/>
        <v>6.6931485148514849</v>
      </c>
    </row>
    <row r="407" spans="2:3" x14ac:dyDescent="0.45">
      <c r="B407">
        <v>4050</v>
      </c>
      <c r="C407" s="2">
        <f t="shared" si="6"/>
        <v>6.676622222222222</v>
      </c>
    </row>
    <row r="408" spans="2:3" x14ac:dyDescent="0.45">
      <c r="B408">
        <v>4060</v>
      </c>
      <c r="C408" s="2">
        <f t="shared" si="6"/>
        <v>6.6601773399014776</v>
      </c>
    </row>
    <row r="409" spans="2:3" x14ac:dyDescent="0.45">
      <c r="B409">
        <v>4070</v>
      </c>
      <c r="C409" s="2">
        <f t="shared" si="6"/>
        <v>6.6438132678132673</v>
      </c>
    </row>
    <row r="410" spans="2:3" x14ac:dyDescent="0.45">
      <c r="B410">
        <v>4080</v>
      </c>
      <c r="C410" s="2">
        <f t="shared" si="6"/>
        <v>6.6275294117647059</v>
      </c>
    </row>
    <row r="411" spans="2:3" x14ac:dyDescent="0.45">
      <c r="B411">
        <v>4090</v>
      </c>
      <c r="C411" s="2">
        <f t="shared" si="6"/>
        <v>6.6113251833740829</v>
      </c>
    </row>
    <row r="412" spans="2:3" x14ac:dyDescent="0.45">
      <c r="B412">
        <v>4100</v>
      </c>
      <c r="C412" s="2">
        <f t="shared" si="6"/>
        <v>6.5952000000000002</v>
      </c>
    </row>
    <row r="413" spans="2:3" x14ac:dyDescent="0.45">
      <c r="B413">
        <v>4110</v>
      </c>
      <c r="C413" s="2">
        <f t="shared" si="6"/>
        <v>6.5791532846715324</v>
      </c>
    </row>
    <row r="414" spans="2:3" x14ac:dyDescent="0.45">
      <c r="B414">
        <v>4120</v>
      </c>
      <c r="C414" s="2">
        <f t="shared" si="6"/>
        <v>6.5631844660194174</v>
      </c>
    </row>
    <row r="415" spans="2:3" x14ac:dyDescent="0.45">
      <c r="B415">
        <v>4130</v>
      </c>
      <c r="C415" s="2">
        <f t="shared" si="6"/>
        <v>6.5472929782082323</v>
      </c>
    </row>
    <row r="416" spans="2:3" x14ac:dyDescent="0.45">
      <c r="B416">
        <v>4140</v>
      </c>
      <c r="C416" s="2">
        <f t="shared" si="6"/>
        <v>6.531478260869565</v>
      </c>
    </row>
    <row r="417" spans="2:3" x14ac:dyDescent="0.45">
      <c r="B417">
        <v>4150</v>
      </c>
      <c r="C417" s="2">
        <f t="shared" si="6"/>
        <v>6.5157397590361441</v>
      </c>
    </row>
    <row r="418" spans="2:3" x14ac:dyDescent="0.45">
      <c r="B418">
        <v>4160</v>
      </c>
      <c r="C418" s="2">
        <f t="shared" si="6"/>
        <v>6.5000769230769233</v>
      </c>
    </row>
    <row r="419" spans="2:3" x14ac:dyDescent="0.45">
      <c r="B419">
        <v>4170</v>
      </c>
      <c r="C419" s="2">
        <f t="shared" si="6"/>
        <v>6.4844892086330939</v>
      </c>
    </row>
    <row r="420" spans="2:3" x14ac:dyDescent="0.45">
      <c r="B420">
        <v>4180</v>
      </c>
      <c r="C420" s="2">
        <f t="shared" si="6"/>
        <v>6.4689760765550242</v>
      </c>
    </row>
    <row r="421" spans="2:3" x14ac:dyDescent="0.45">
      <c r="B421">
        <v>4190</v>
      </c>
      <c r="C421" s="2">
        <f t="shared" si="6"/>
        <v>6.4535369928400952</v>
      </c>
    </row>
    <row r="422" spans="2:3" x14ac:dyDescent="0.45">
      <c r="B422">
        <v>4200</v>
      </c>
      <c r="C422" s="2">
        <f t="shared" si="6"/>
        <v>6.4381714285714287</v>
      </c>
    </row>
    <row r="423" spans="2:3" x14ac:dyDescent="0.45">
      <c r="B423">
        <v>4210</v>
      </c>
      <c r="C423" s="2">
        <f t="shared" si="6"/>
        <v>6.422878859857482</v>
      </c>
    </row>
    <row r="424" spans="2:3" x14ac:dyDescent="0.45">
      <c r="B424">
        <v>4220</v>
      </c>
      <c r="C424" s="2">
        <f t="shared" si="6"/>
        <v>6.4076587677725119</v>
      </c>
    </row>
    <row r="425" spans="2:3" x14ac:dyDescent="0.45">
      <c r="B425">
        <v>4230</v>
      </c>
      <c r="C425" s="2">
        <f t="shared" si="6"/>
        <v>6.392510638297872</v>
      </c>
    </row>
    <row r="426" spans="2:3" x14ac:dyDescent="0.45">
      <c r="B426">
        <v>4240</v>
      </c>
      <c r="C426" s="2">
        <f t="shared" si="6"/>
        <v>6.3774339622641509</v>
      </c>
    </row>
    <row r="427" spans="2:3" x14ac:dyDescent="0.45">
      <c r="B427">
        <v>4250</v>
      </c>
      <c r="C427" s="2">
        <f t="shared" si="6"/>
        <v>6.3624282352941179</v>
      </c>
    </row>
    <row r="428" spans="2:3" x14ac:dyDescent="0.45">
      <c r="B428">
        <v>4260</v>
      </c>
      <c r="C428" s="2">
        <f t="shared" si="6"/>
        <v>6.3474929577464785</v>
      </c>
    </row>
    <row r="429" spans="2:3" x14ac:dyDescent="0.45">
      <c r="B429">
        <v>4270</v>
      </c>
      <c r="C429" s="2">
        <f t="shared" si="6"/>
        <v>6.3326276346604216</v>
      </c>
    </row>
    <row r="430" spans="2:3" x14ac:dyDescent="0.45">
      <c r="B430">
        <v>4280</v>
      </c>
      <c r="C430" s="2">
        <f t="shared" si="6"/>
        <v>6.3178317757009346</v>
      </c>
    </row>
    <row r="431" spans="2:3" x14ac:dyDescent="0.45">
      <c r="B431">
        <v>4290</v>
      </c>
      <c r="C431" s="2">
        <f t="shared" si="6"/>
        <v>6.3031048951048954</v>
      </c>
    </row>
    <row r="432" spans="2:3" x14ac:dyDescent="0.45">
      <c r="B432">
        <v>4300</v>
      </c>
      <c r="C432" s="2">
        <f t="shared" si="6"/>
        <v>6.2884465116279067</v>
      </c>
    </row>
    <row r="433" spans="2:3" x14ac:dyDescent="0.45">
      <c r="B433">
        <v>4310</v>
      </c>
      <c r="C433" s="2">
        <f t="shared" si="6"/>
        <v>6.2738561484918796</v>
      </c>
    </row>
    <row r="434" spans="2:3" x14ac:dyDescent="0.45">
      <c r="B434">
        <v>4320</v>
      </c>
      <c r="C434" s="2">
        <f t="shared" si="6"/>
        <v>6.2593333333333332</v>
      </c>
    </row>
    <row r="435" spans="2:3" x14ac:dyDescent="0.45">
      <c r="B435">
        <v>4330</v>
      </c>
      <c r="C435" s="2">
        <f t="shared" si="6"/>
        <v>6.2448775981524252</v>
      </c>
    </row>
    <row r="436" spans="2:3" x14ac:dyDescent="0.45">
      <c r="B436">
        <v>4340</v>
      </c>
      <c r="C436" s="2">
        <f t="shared" si="6"/>
        <v>6.2304884792626725</v>
      </c>
    </row>
    <row r="437" spans="2:3" x14ac:dyDescent="0.45">
      <c r="B437">
        <v>4350</v>
      </c>
      <c r="C437" s="2">
        <f t="shared" si="6"/>
        <v>6.2161655172413797</v>
      </c>
    </row>
    <row r="438" spans="2:3" x14ac:dyDescent="0.45">
      <c r="B438">
        <v>4360</v>
      </c>
      <c r="C438" s="2">
        <f t="shared" si="6"/>
        <v>6.201908256880734</v>
      </c>
    </row>
    <row r="439" spans="2:3" x14ac:dyDescent="0.45">
      <c r="B439">
        <v>4370</v>
      </c>
      <c r="C439" s="2">
        <f t="shared" si="6"/>
        <v>6.1877162471395879</v>
      </c>
    </row>
    <row r="440" spans="2:3" x14ac:dyDescent="0.45">
      <c r="B440">
        <v>4380</v>
      </c>
      <c r="C440" s="2">
        <f t="shared" si="6"/>
        <v>6.17358904109589</v>
      </c>
    </row>
    <row r="441" spans="2:3" x14ac:dyDescent="0.45">
      <c r="B441">
        <v>4390</v>
      </c>
      <c r="C441" s="2">
        <f t="shared" si="6"/>
        <v>6.1595261958997725</v>
      </c>
    </row>
    <row r="442" spans="2:3" x14ac:dyDescent="0.45">
      <c r="B442">
        <v>4400</v>
      </c>
      <c r="C442" s="2">
        <f t="shared" si="6"/>
        <v>6.1455272727272723</v>
      </c>
    </row>
    <row r="443" spans="2:3" x14ac:dyDescent="0.45">
      <c r="B443">
        <v>4410</v>
      </c>
      <c r="C443" s="2">
        <f t="shared" si="6"/>
        <v>6.1315918367346942</v>
      </c>
    </row>
    <row r="444" spans="2:3" x14ac:dyDescent="0.45">
      <c r="B444">
        <v>4420</v>
      </c>
      <c r="C444" s="2">
        <f t="shared" si="6"/>
        <v>6.1177194570135747</v>
      </c>
    </row>
    <row r="445" spans="2:3" x14ac:dyDescent="0.45">
      <c r="B445">
        <v>4430</v>
      </c>
      <c r="C445" s="2">
        <f t="shared" si="6"/>
        <v>6.1039097065462755</v>
      </c>
    </row>
    <row r="446" spans="2:3" x14ac:dyDescent="0.45">
      <c r="B446">
        <v>4440</v>
      </c>
      <c r="C446" s="2">
        <f t="shared" si="6"/>
        <v>6.0901621621621622</v>
      </c>
    </row>
    <row r="447" spans="2:3" x14ac:dyDescent="0.45">
      <c r="B447">
        <v>4450</v>
      </c>
      <c r="C447" s="2">
        <f t="shared" si="6"/>
        <v>6.0764764044943815</v>
      </c>
    </row>
    <row r="448" spans="2:3" x14ac:dyDescent="0.45">
      <c r="B448">
        <v>4460</v>
      </c>
      <c r="C448" s="2">
        <f t="shared" si="6"/>
        <v>6.0628520179372201</v>
      </c>
    </row>
    <row r="449" spans="2:3" x14ac:dyDescent="0.45">
      <c r="B449">
        <v>4470</v>
      </c>
      <c r="C449" s="2">
        <f t="shared" si="6"/>
        <v>6.0492885906040268</v>
      </c>
    </row>
    <row r="450" spans="2:3" x14ac:dyDescent="0.45">
      <c r="B450">
        <v>4480</v>
      </c>
      <c r="C450" s="2">
        <f t="shared" si="6"/>
        <v>6.0357857142857139</v>
      </c>
    </row>
    <row r="451" spans="2:3" x14ac:dyDescent="0.45">
      <c r="B451">
        <v>4490</v>
      </c>
      <c r="C451" s="2">
        <f t="shared" ref="C451:C514" si="7">$A$2/B451</f>
        <v>6.0223429844097991</v>
      </c>
    </row>
    <row r="452" spans="2:3" x14ac:dyDescent="0.45">
      <c r="B452">
        <v>4500</v>
      </c>
      <c r="C452" s="2">
        <f t="shared" si="7"/>
        <v>6.0089600000000001</v>
      </c>
    </row>
    <row r="453" spans="2:3" x14ac:dyDescent="0.45">
      <c r="B453">
        <v>4510</v>
      </c>
      <c r="C453" s="2">
        <f t="shared" si="7"/>
        <v>5.9956363636363639</v>
      </c>
    </row>
    <row r="454" spans="2:3" x14ac:dyDescent="0.45">
      <c r="B454">
        <v>4520</v>
      </c>
      <c r="C454" s="2">
        <f t="shared" si="7"/>
        <v>5.9823716814159296</v>
      </c>
    </row>
    <row r="455" spans="2:3" x14ac:dyDescent="0.45">
      <c r="B455">
        <v>4530</v>
      </c>
      <c r="C455" s="2">
        <f t="shared" si="7"/>
        <v>5.9691655629139069</v>
      </c>
    </row>
    <row r="456" spans="2:3" x14ac:dyDescent="0.45">
      <c r="B456">
        <v>4540</v>
      </c>
      <c r="C456" s="2">
        <f t="shared" si="7"/>
        <v>5.9560176211453744</v>
      </c>
    </row>
    <row r="457" spans="2:3" x14ac:dyDescent="0.45">
      <c r="B457">
        <v>4550</v>
      </c>
      <c r="C457" s="2">
        <f t="shared" si="7"/>
        <v>5.9429274725274723</v>
      </c>
    </row>
    <row r="458" spans="2:3" x14ac:dyDescent="0.45">
      <c r="B458">
        <v>4560</v>
      </c>
      <c r="C458" s="2">
        <f t="shared" si="7"/>
        <v>5.9298947368421056</v>
      </c>
    </row>
    <row r="459" spans="2:3" x14ac:dyDescent="0.45">
      <c r="B459">
        <v>4570</v>
      </c>
      <c r="C459" s="2">
        <f t="shared" si="7"/>
        <v>5.9169190371991247</v>
      </c>
    </row>
    <row r="460" spans="2:3" x14ac:dyDescent="0.45">
      <c r="B460">
        <v>4580</v>
      </c>
      <c r="C460" s="2">
        <f t="shared" si="7"/>
        <v>5.9039999999999999</v>
      </c>
    </row>
    <row r="461" spans="2:3" x14ac:dyDescent="0.45">
      <c r="B461">
        <v>4590</v>
      </c>
      <c r="C461" s="2">
        <f t="shared" si="7"/>
        <v>5.8911372549019605</v>
      </c>
    </row>
    <row r="462" spans="2:3" x14ac:dyDescent="0.45">
      <c r="B462">
        <v>4600</v>
      </c>
      <c r="C462" s="2">
        <f t="shared" si="7"/>
        <v>5.8783304347826082</v>
      </c>
    </row>
    <row r="463" spans="2:3" x14ac:dyDescent="0.45">
      <c r="B463">
        <v>4610</v>
      </c>
      <c r="C463" s="2">
        <f t="shared" si="7"/>
        <v>5.8655791757049887</v>
      </c>
    </row>
    <row r="464" spans="2:3" x14ac:dyDescent="0.45">
      <c r="B464">
        <v>4620</v>
      </c>
      <c r="C464" s="2">
        <f t="shared" si="7"/>
        <v>5.8528831168831168</v>
      </c>
    </row>
    <row r="465" spans="2:3" x14ac:dyDescent="0.45">
      <c r="B465">
        <v>4630</v>
      </c>
      <c r="C465" s="2">
        <f t="shared" si="7"/>
        <v>5.840241900647948</v>
      </c>
    </row>
    <row r="466" spans="2:3" x14ac:dyDescent="0.45">
      <c r="B466">
        <v>4640</v>
      </c>
      <c r="C466" s="2">
        <f t="shared" si="7"/>
        <v>5.8276551724137926</v>
      </c>
    </row>
    <row r="467" spans="2:3" x14ac:dyDescent="0.45">
      <c r="B467">
        <v>4650</v>
      </c>
      <c r="C467" s="2">
        <f t="shared" si="7"/>
        <v>5.815122580645161</v>
      </c>
    </row>
    <row r="468" spans="2:3" x14ac:dyDescent="0.45">
      <c r="B468">
        <v>4660</v>
      </c>
      <c r="C468" s="2">
        <f t="shared" si="7"/>
        <v>5.8026437768240342</v>
      </c>
    </row>
    <row r="469" spans="2:3" x14ac:dyDescent="0.45">
      <c r="B469">
        <v>4670</v>
      </c>
      <c r="C469" s="2">
        <f t="shared" si="7"/>
        <v>5.7902184154175584</v>
      </c>
    </row>
    <row r="470" spans="2:3" x14ac:dyDescent="0.45">
      <c r="B470">
        <v>4680</v>
      </c>
      <c r="C470" s="2">
        <f t="shared" si="7"/>
        <v>5.7778461538461539</v>
      </c>
    </row>
    <row r="471" spans="2:3" x14ac:dyDescent="0.45">
      <c r="B471">
        <v>4690</v>
      </c>
      <c r="C471" s="2">
        <f t="shared" si="7"/>
        <v>5.7655266524520252</v>
      </c>
    </row>
    <row r="472" spans="2:3" x14ac:dyDescent="0.45">
      <c r="B472">
        <v>4700</v>
      </c>
      <c r="C472" s="2">
        <f t="shared" si="7"/>
        <v>5.7532595744680854</v>
      </c>
    </row>
    <row r="473" spans="2:3" x14ac:dyDescent="0.45">
      <c r="B473">
        <v>4710</v>
      </c>
      <c r="C473" s="2">
        <f t="shared" si="7"/>
        <v>5.741044585987261</v>
      </c>
    </row>
    <row r="474" spans="2:3" x14ac:dyDescent="0.45">
      <c r="B474">
        <v>4720</v>
      </c>
      <c r="C474" s="2">
        <f t="shared" si="7"/>
        <v>5.7288813559322032</v>
      </c>
    </row>
    <row r="475" spans="2:3" x14ac:dyDescent="0.45">
      <c r="B475">
        <v>4730</v>
      </c>
      <c r="C475" s="2">
        <f t="shared" si="7"/>
        <v>5.71676955602537</v>
      </c>
    </row>
    <row r="476" spans="2:3" x14ac:dyDescent="0.45">
      <c r="B476">
        <v>4740</v>
      </c>
      <c r="C476" s="2">
        <f t="shared" si="7"/>
        <v>5.704708860759494</v>
      </c>
    </row>
    <row r="477" spans="2:3" x14ac:dyDescent="0.45">
      <c r="B477">
        <v>4750</v>
      </c>
      <c r="C477" s="2">
        <f t="shared" si="7"/>
        <v>5.6926989473684211</v>
      </c>
    </row>
    <row r="478" spans="2:3" x14ac:dyDescent="0.45">
      <c r="B478">
        <v>4760</v>
      </c>
      <c r="C478" s="2">
        <f t="shared" si="7"/>
        <v>5.6807394957983188</v>
      </c>
    </row>
    <row r="479" spans="2:3" x14ac:dyDescent="0.45">
      <c r="B479">
        <v>4770</v>
      </c>
      <c r="C479" s="2">
        <f t="shared" si="7"/>
        <v>5.6688301886792454</v>
      </c>
    </row>
    <row r="480" spans="2:3" x14ac:dyDescent="0.45">
      <c r="B480">
        <v>4780</v>
      </c>
      <c r="C480" s="2">
        <f t="shared" si="7"/>
        <v>5.6569707112970713</v>
      </c>
    </row>
    <row r="481" spans="2:3" x14ac:dyDescent="0.45">
      <c r="B481">
        <v>4790</v>
      </c>
      <c r="C481" s="2">
        <f t="shared" si="7"/>
        <v>5.6451607515657622</v>
      </c>
    </row>
    <row r="482" spans="2:3" x14ac:dyDescent="0.45">
      <c r="B482">
        <v>4800</v>
      </c>
      <c r="C482" s="2">
        <f t="shared" si="7"/>
        <v>5.6334</v>
      </c>
    </row>
    <row r="483" spans="2:3" x14ac:dyDescent="0.45">
      <c r="B483">
        <v>4810</v>
      </c>
      <c r="C483" s="2">
        <f t="shared" si="7"/>
        <v>5.6216881496881497</v>
      </c>
    </row>
    <row r="484" spans="2:3" x14ac:dyDescent="0.45">
      <c r="B484">
        <v>4820</v>
      </c>
      <c r="C484" s="2">
        <f t="shared" si="7"/>
        <v>5.6100248962655597</v>
      </c>
    </row>
    <row r="485" spans="2:3" x14ac:dyDescent="0.45">
      <c r="B485">
        <v>4830</v>
      </c>
      <c r="C485" s="2">
        <f t="shared" si="7"/>
        <v>5.5984099378881984</v>
      </c>
    </row>
    <row r="486" spans="2:3" x14ac:dyDescent="0.45">
      <c r="B486">
        <v>4840</v>
      </c>
      <c r="C486" s="2">
        <f t="shared" si="7"/>
        <v>5.5868429752066113</v>
      </c>
    </row>
    <row r="487" spans="2:3" x14ac:dyDescent="0.45">
      <c r="B487">
        <v>4850</v>
      </c>
      <c r="C487" s="2">
        <f t="shared" si="7"/>
        <v>5.5753237113402063</v>
      </c>
    </row>
    <row r="488" spans="2:3" x14ac:dyDescent="0.45">
      <c r="B488">
        <v>4860</v>
      </c>
      <c r="C488" s="2">
        <f t="shared" si="7"/>
        <v>5.5638518518518518</v>
      </c>
    </row>
    <row r="489" spans="2:3" x14ac:dyDescent="0.45">
      <c r="B489">
        <v>4870</v>
      </c>
      <c r="C489" s="2">
        <f t="shared" si="7"/>
        <v>5.5524271047227929</v>
      </c>
    </row>
    <row r="490" spans="2:3" x14ac:dyDescent="0.45">
      <c r="B490">
        <v>4880</v>
      </c>
      <c r="C490" s="2">
        <f t="shared" si="7"/>
        <v>5.5410491803278692</v>
      </c>
    </row>
    <row r="491" spans="2:3" x14ac:dyDescent="0.45">
      <c r="B491">
        <v>4890</v>
      </c>
      <c r="C491" s="2">
        <f t="shared" si="7"/>
        <v>5.5297177914110431</v>
      </c>
    </row>
    <row r="492" spans="2:3" x14ac:dyDescent="0.45">
      <c r="B492">
        <v>4900</v>
      </c>
      <c r="C492" s="2">
        <f t="shared" si="7"/>
        <v>5.5184326530612244</v>
      </c>
    </row>
    <row r="493" spans="2:3" x14ac:dyDescent="0.45">
      <c r="B493">
        <v>4910</v>
      </c>
      <c r="C493" s="2">
        <f t="shared" si="7"/>
        <v>5.5071934826883906</v>
      </c>
    </row>
    <row r="494" spans="2:3" x14ac:dyDescent="0.45">
      <c r="B494">
        <v>4920</v>
      </c>
      <c r="C494" s="2">
        <f t="shared" si="7"/>
        <v>5.4959999999999996</v>
      </c>
    </row>
    <row r="495" spans="2:3" x14ac:dyDescent="0.45">
      <c r="B495">
        <v>4930</v>
      </c>
      <c r="C495" s="2">
        <f t="shared" si="7"/>
        <v>5.4848519269776874</v>
      </c>
    </row>
    <row r="496" spans="2:3" x14ac:dyDescent="0.45">
      <c r="B496">
        <v>4940</v>
      </c>
      <c r="C496" s="2">
        <f t="shared" si="7"/>
        <v>5.4737489878542513</v>
      </c>
    </row>
    <row r="497" spans="2:3" x14ac:dyDescent="0.45">
      <c r="B497">
        <v>4950</v>
      </c>
      <c r="C497" s="2">
        <f t="shared" si="7"/>
        <v>5.4626909090909086</v>
      </c>
    </row>
    <row r="498" spans="2:3" x14ac:dyDescent="0.45">
      <c r="B498">
        <v>4960</v>
      </c>
      <c r="C498" s="2">
        <f t="shared" si="7"/>
        <v>5.451677419354839</v>
      </c>
    </row>
    <row r="499" spans="2:3" x14ac:dyDescent="0.45">
      <c r="B499">
        <v>4970</v>
      </c>
      <c r="C499" s="2">
        <f t="shared" si="7"/>
        <v>5.4407082494969821</v>
      </c>
    </row>
    <row r="500" spans="2:3" x14ac:dyDescent="0.45">
      <c r="B500">
        <v>4980</v>
      </c>
      <c r="C500" s="2">
        <f t="shared" si="7"/>
        <v>5.4297831325301207</v>
      </c>
    </row>
    <row r="501" spans="2:3" x14ac:dyDescent="0.45">
      <c r="B501">
        <v>4990</v>
      </c>
      <c r="C501" s="2">
        <f t="shared" si="7"/>
        <v>5.4189018036072145</v>
      </c>
    </row>
    <row r="502" spans="2:3" x14ac:dyDescent="0.45">
      <c r="B502">
        <v>5000</v>
      </c>
      <c r="C502" s="2">
        <f t="shared" si="7"/>
        <v>5.4080639999999995</v>
      </c>
    </row>
    <row r="503" spans="2:3" x14ac:dyDescent="0.45">
      <c r="B503">
        <v>5010</v>
      </c>
      <c r="C503" s="2">
        <f t="shared" si="7"/>
        <v>5.397269461077844</v>
      </c>
    </row>
    <row r="504" spans="2:3" x14ac:dyDescent="0.45">
      <c r="B504">
        <v>5020</v>
      </c>
      <c r="C504" s="2">
        <f t="shared" si="7"/>
        <v>5.3865179282868523</v>
      </c>
    </row>
    <row r="505" spans="2:3" x14ac:dyDescent="0.45">
      <c r="B505">
        <v>5030</v>
      </c>
      <c r="C505" s="2">
        <f t="shared" si="7"/>
        <v>5.3758091451292245</v>
      </c>
    </row>
    <row r="506" spans="2:3" x14ac:dyDescent="0.45">
      <c r="B506">
        <v>5040</v>
      </c>
      <c r="C506" s="2">
        <f t="shared" si="7"/>
        <v>5.3651428571428568</v>
      </c>
    </row>
    <row r="507" spans="2:3" x14ac:dyDescent="0.45">
      <c r="B507">
        <v>5050</v>
      </c>
      <c r="C507" s="2">
        <f t="shared" si="7"/>
        <v>5.3545188118811877</v>
      </c>
    </row>
    <row r="508" spans="2:3" x14ac:dyDescent="0.45">
      <c r="B508">
        <v>5060</v>
      </c>
      <c r="C508" s="2">
        <f t="shared" si="7"/>
        <v>5.3439367588932809</v>
      </c>
    </row>
    <row r="509" spans="2:3" x14ac:dyDescent="0.45">
      <c r="B509">
        <v>5070</v>
      </c>
      <c r="C509" s="2">
        <f t="shared" si="7"/>
        <v>5.333396449704142</v>
      </c>
    </row>
    <row r="510" spans="2:3" x14ac:dyDescent="0.45">
      <c r="B510">
        <v>5080</v>
      </c>
      <c r="C510" s="2">
        <f t="shared" si="7"/>
        <v>5.3228976377952755</v>
      </c>
    </row>
    <row r="511" spans="2:3" x14ac:dyDescent="0.45">
      <c r="B511">
        <v>5090</v>
      </c>
      <c r="C511" s="2">
        <f t="shared" si="7"/>
        <v>5.3124400785854613</v>
      </c>
    </row>
    <row r="512" spans="2:3" x14ac:dyDescent="0.45">
      <c r="B512">
        <v>5100</v>
      </c>
      <c r="C512" s="2">
        <f t="shared" si="7"/>
        <v>5.3020235294117644</v>
      </c>
    </row>
    <row r="513" spans="2:3" x14ac:dyDescent="0.45">
      <c r="B513">
        <v>5110</v>
      </c>
      <c r="C513" s="2">
        <f t="shared" si="7"/>
        <v>5.291647749510763</v>
      </c>
    </row>
    <row r="514" spans="2:3" x14ac:dyDescent="0.45">
      <c r="B514">
        <v>5120</v>
      </c>
      <c r="C514" s="2">
        <f t="shared" si="7"/>
        <v>5.2813125000000003</v>
      </c>
    </row>
    <row r="515" spans="2:3" x14ac:dyDescent="0.45">
      <c r="B515">
        <v>5130</v>
      </c>
      <c r="C515" s="2">
        <f t="shared" ref="C515:C578" si="8">$A$2/B515</f>
        <v>5.2710175438596494</v>
      </c>
    </row>
    <row r="516" spans="2:3" x14ac:dyDescent="0.45">
      <c r="B516">
        <v>5140</v>
      </c>
      <c r="C516" s="2">
        <f t="shared" si="8"/>
        <v>5.2607626459143972</v>
      </c>
    </row>
    <row r="517" spans="2:3" x14ac:dyDescent="0.45">
      <c r="B517">
        <v>5150</v>
      </c>
      <c r="C517" s="2">
        <f t="shared" si="8"/>
        <v>5.2505475728155337</v>
      </c>
    </row>
    <row r="518" spans="2:3" x14ac:dyDescent="0.45">
      <c r="B518">
        <v>5160</v>
      </c>
      <c r="C518" s="2">
        <f t="shared" si="8"/>
        <v>5.2403720930232556</v>
      </c>
    </row>
    <row r="519" spans="2:3" x14ac:dyDescent="0.45">
      <c r="B519">
        <v>5170</v>
      </c>
      <c r="C519" s="2">
        <f t="shared" si="8"/>
        <v>5.2302359767891682</v>
      </c>
    </row>
    <row r="520" spans="2:3" x14ac:dyDescent="0.45">
      <c r="B520">
        <v>5180</v>
      </c>
      <c r="C520" s="2">
        <f t="shared" si="8"/>
        <v>5.2201389961389957</v>
      </c>
    </row>
    <row r="521" spans="2:3" x14ac:dyDescent="0.45">
      <c r="B521">
        <v>5190</v>
      </c>
      <c r="C521" s="2">
        <f t="shared" si="8"/>
        <v>5.2100809248554913</v>
      </c>
    </row>
    <row r="522" spans="2:3" x14ac:dyDescent="0.45">
      <c r="B522">
        <v>5200</v>
      </c>
      <c r="C522" s="2">
        <f t="shared" si="8"/>
        <v>5.2000615384615383</v>
      </c>
    </row>
    <row r="523" spans="2:3" x14ac:dyDescent="0.45">
      <c r="B523">
        <v>5210</v>
      </c>
      <c r="C523" s="2">
        <f t="shared" si="8"/>
        <v>5.1900806142034552</v>
      </c>
    </row>
    <row r="524" spans="2:3" x14ac:dyDescent="0.45">
      <c r="B524">
        <v>5220</v>
      </c>
      <c r="C524" s="2">
        <f t="shared" si="8"/>
        <v>5.1801379310344826</v>
      </c>
    </row>
    <row r="525" spans="2:3" x14ac:dyDescent="0.45">
      <c r="B525">
        <v>5230</v>
      </c>
      <c r="C525" s="2">
        <f t="shared" si="8"/>
        <v>5.1702332695984703</v>
      </c>
    </row>
    <row r="526" spans="2:3" x14ac:dyDescent="0.45">
      <c r="B526">
        <v>5240</v>
      </c>
      <c r="C526" s="2">
        <f t="shared" si="8"/>
        <v>5.1603664122137403</v>
      </c>
    </row>
    <row r="527" spans="2:3" x14ac:dyDescent="0.45">
      <c r="B527">
        <v>5250</v>
      </c>
      <c r="C527" s="2">
        <f t="shared" si="8"/>
        <v>5.1505371428571429</v>
      </c>
    </row>
    <row r="528" spans="2:3" x14ac:dyDescent="0.45">
      <c r="B528">
        <v>5260</v>
      </c>
      <c r="C528" s="2">
        <f t="shared" si="8"/>
        <v>5.1407452471482893</v>
      </c>
    </row>
    <row r="529" spans="2:3" x14ac:dyDescent="0.45">
      <c r="B529">
        <v>5270</v>
      </c>
      <c r="C529" s="2">
        <f t="shared" si="8"/>
        <v>5.1309905123339661</v>
      </c>
    </row>
    <row r="530" spans="2:3" x14ac:dyDescent="0.45">
      <c r="B530">
        <v>5280</v>
      </c>
      <c r="C530" s="2">
        <f t="shared" si="8"/>
        <v>5.1212727272727276</v>
      </c>
    </row>
    <row r="531" spans="2:3" x14ac:dyDescent="0.45">
      <c r="B531">
        <v>5290</v>
      </c>
      <c r="C531" s="2">
        <f t="shared" si="8"/>
        <v>5.1115916824196601</v>
      </c>
    </row>
    <row r="532" spans="2:3" x14ac:dyDescent="0.45">
      <c r="B532">
        <v>5300</v>
      </c>
      <c r="C532" s="2">
        <f t="shared" si="8"/>
        <v>5.1019471698113206</v>
      </c>
    </row>
    <row r="533" spans="2:3" x14ac:dyDescent="0.45">
      <c r="B533">
        <v>5310</v>
      </c>
      <c r="C533" s="2">
        <f t="shared" si="8"/>
        <v>5.0923389830508476</v>
      </c>
    </row>
    <row r="534" spans="2:3" x14ac:dyDescent="0.45">
      <c r="B534">
        <v>5320</v>
      </c>
      <c r="C534" s="2">
        <f t="shared" si="8"/>
        <v>5.0827669172932328</v>
      </c>
    </row>
    <row r="535" spans="2:3" x14ac:dyDescent="0.45">
      <c r="B535">
        <v>5330</v>
      </c>
      <c r="C535" s="2">
        <f t="shared" si="8"/>
        <v>5.0732307692307694</v>
      </c>
    </row>
    <row r="536" spans="2:3" x14ac:dyDescent="0.45">
      <c r="B536">
        <v>5340</v>
      </c>
      <c r="C536" s="2">
        <f t="shared" si="8"/>
        <v>5.0637303370786517</v>
      </c>
    </row>
    <row r="537" spans="2:3" x14ac:dyDescent="0.45">
      <c r="B537">
        <v>5350</v>
      </c>
      <c r="C537" s="2">
        <f t="shared" si="8"/>
        <v>5.054265420560748</v>
      </c>
    </row>
    <row r="538" spans="2:3" x14ac:dyDescent="0.45">
      <c r="B538">
        <v>5360</v>
      </c>
      <c r="C538" s="2">
        <f t="shared" si="8"/>
        <v>5.0448358208955222</v>
      </c>
    </row>
    <row r="539" spans="2:3" x14ac:dyDescent="0.45">
      <c r="B539">
        <v>5370</v>
      </c>
      <c r="C539" s="2">
        <f t="shared" si="8"/>
        <v>5.035441340782123</v>
      </c>
    </row>
    <row r="540" spans="2:3" x14ac:dyDescent="0.45">
      <c r="B540">
        <v>5380</v>
      </c>
      <c r="C540" s="2">
        <f t="shared" si="8"/>
        <v>5.0260817843866175</v>
      </c>
    </row>
    <row r="541" spans="2:3" x14ac:dyDescent="0.45">
      <c r="B541">
        <v>5390</v>
      </c>
      <c r="C541" s="2">
        <f t="shared" si="8"/>
        <v>5.0167569573283854</v>
      </c>
    </row>
    <row r="542" spans="2:3" x14ac:dyDescent="0.45">
      <c r="B542">
        <v>5400</v>
      </c>
      <c r="C542" s="2">
        <f t="shared" si="8"/>
        <v>5.0074666666666667</v>
      </c>
    </row>
    <row r="543" spans="2:3" x14ac:dyDescent="0.45">
      <c r="B543">
        <v>5410</v>
      </c>
      <c r="C543" s="2">
        <f t="shared" si="8"/>
        <v>4.9982107208872462</v>
      </c>
    </row>
    <row r="544" spans="2:3" x14ac:dyDescent="0.45">
      <c r="B544">
        <v>5420</v>
      </c>
      <c r="C544" s="2">
        <f t="shared" si="8"/>
        <v>4.9889889298892989</v>
      </c>
    </row>
    <row r="545" spans="2:3" x14ac:dyDescent="0.45">
      <c r="B545">
        <v>5430</v>
      </c>
      <c r="C545" s="2">
        <f t="shared" si="8"/>
        <v>4.9798011049723758</v>
      </c>
    </row>
    <row r="546" spans="2:3" x14ac:dyDescent="0.45">
      <c r="B546">
        <v>5440</v>
      </c>
      <c r="C546" s="2">
        <f t="shared" si="8"/>
        <v>4.9706470588235296</v>
      </c>
    </row>
    <row r="547" spans="2:3" x14ac:dyDescent="0.45">
      <c r="B547">
        <v>5450</v>
      </c>
      <c r="C547" s="2">
        <f t="shared" si="8"/>
        <v>4.961526605504587</v>
      </c>
    </row>
    <row r="548" spans="2:3" x14ac:dyDescent="0.45">
      <c r="B548">
        <v>5460</v>
      </c>
      <c r="C548" s="2">
        <f t="shared" si="8"/>
        <v>4.9524395604395606</v>
      </c>
    </row>
    <row r="549" spans="2:3" x14ac:dyDescent="0.45">
      <c r="B549">
        <v>5470</v>
      </c>
      <c r="C549" s="2">
        <f t="shared" si="8"/>
        <v>4.9433857404021939</v>
      </c>
    </row>
    <row r="550" spans="2:3" x14ac:dyDescent="0.45">
      <c r="B550">
        <v>5480</v>
      </c>
      <c r="C550" s="2">
        <f t="shared" si="8"/>
        <v>4.9343649635036497</v>
      </c>
    </row>
    <row r="551" spans="2:3" x14ac:dyDescent="0.45">
      <c r="B551">
        <v>5490</v>
      </c>
      <c r="C551" s="2">
        <f t="shared" si="8"/>
        <v>4.9253770491803275</v>
      </c>
    </row>
    <row r="552" spans="2:3" x14ac:dyDescent="0.45">
      <c r="B552">
        <v>5500</v>
      </c>
      <c r="C552" s="2">
        <f t="shared" si="8"/>
        <v>4.916421818181818</v>
      </c>
    </row>
    <row r="553" spans="2:3" x14ac:dyDescent="0.45">
      <c r="B553">
        <v>5510</v>
      </c>
      <c r="C553" s="2">
        <f t="shared" si="8"/>
        <v>4.9074990925589832</v>
      </c>
    </row>
    <row r="554" spans="2:3" x14ac:dyDescent="0.45">
      <c r="B554">
        <v>5520</v>
      </c>
      <c r="C554" s="2">
        <f t="shared" si="8"/>
        <v>4.8986086956521735</v>
      </c>
    </row>
    <row r="555" spans="2:3" x14ac:dyDescent="0.45">
      <c r="B555">
        <v>5530</v>
      </c>
      <c r="C555" s="2">
        <f t="shared" si="8"/>
        <v>4.889750452079566</v>
      </c>
    </row>
    <row r="556" spans="2:3" x14ac:dyDescent="0.45">
      <c r="B556">
        <v>5540</v>
      </c>
      <c r="C556" s="2">
        <f t="shared" si="8"/>
        <v>4.8809241877256317</v>
      </c>
    </row>
    <row r="557" spans="2:3" x14ac:dyDescent="0.45">
      <c r="B557">
        <v>5550</v>
      </c>
      <c r="C557" s="2">
        <f t="shared" si="8"/>
        <v>4.8721297297297292</v>
      </c>
    </row>
    <row r="558" spans="2:3" x14ac:dyDescent="0.45">
      <c r="B558">
        <v>5560</v>
      </c>
      <c r="C558" s="2">
        <f t="shared" si="8"/>
        <v>4.8633669064748197</v>
      </c>
    </row>
    <row r="559" spans="2:3" x14ac:dyDescent="0.45">
      <c r="B559">
        <v>5570</v>
      </c>
      <c r="C559" s="2">
        <f t="shared" si="8"/>
        <v>4.8546355475763017</v>
      </c>
    </row>
    <row r="560" spans="2:3" x14ac:dyDescent="0.45">
      <c r="B560">
        <v>5580</v>
      </c>
      <c r="C560" s="2">
        <f t="shared" si="8"/>
        <v>4.8459354838709681</v>
      </c>
    </row>
    <row r="561" spans="2:3" x14ac:dyDescent="0.45">
      <c r="B561">
        <v>5590</v>
      </c>
      <c r="C561" s="2">
        <f t="shared" si="8"/>
        <v>4.8372665474060819</v>
      </c>
    </row>
    <row r="562" spans="2:3" x14ac:dyDescent="0.45">
      <c r="B562">
        <v>5600</v>
      </c>
      <c r="C562" s="2">
        <f t="shared" si="8"/>
        <v>4.8286285714285713</v>
      </c>
    </row>
    <row r="563" spans="2:3" x14ac:dyDescent="0.45">
      <c r="B563">
        <v>5610</v>
      </c>
      <c r="C563" s="2">
        <f t="shared" si="8"/>
        <v>4.8200213903743316</v>
      </c>
    </row>
    <row r="564" spans="2:3" x14ac:dyDescent="0.45">
      <c r="B564">
        <v>5620</v>
      </c>
      <c r="C564" s="2">
        <f t="shared" si="8"/>
        <v>4.8114448398576508</v>
      </c>
    </row>
    <row r="565" spans="2:3" x14ac:dyDescent="0.45">
      <c r="B565">
        <v>5630</v>
      </c>
      <c r="C565" s="2">
        <f t="shared" si="8"/>
        <v>4.8028987566607464</v>
      </c>
    </row>
    <row r="566" spans="2:3" x14ac:dyDescent="0.45">
      <c r="B566">
        <v>5640</v>
      </c>
      <c r="C566" s="2">
        <f t="shared" si="8"/>
        <v>4.7943829787234042</v>
      </c>
    </row>
    <row r="567" spans="2:3" x14ac:dyDescent="0.45">
      <c r="B567">
        <v>5650</v>
      </c>
      <c r="C567" s="2">
        <f t="shared" si="8"/>
        <v>4.7858973451327431</v>
      </c>
    </row>
    <row r="568" spans="2:3" x14ac:dyDescent="0.45">
      <c r="B568">
        <v>5660</v>
      </c>
      <c r="C568" s="2">
        <f t="shared" si="8"/>
        <v>4.7774416961130743</v>
      </c>
    </row>
    <row r="569" spans="2:3" x14ac:dyDescent="0.45">
      <c r="B569">
        <v>5670</v>
      </c>
      <c r="C569" s="2">
        <f t="shared" si="8"/>
        <v>4.7690158730158734</v>
      </c>
    </row>
    <row r="570" spans="2:3" x14ac:dyDescent="0.45">
      <c r="B570">
        <v>5680</v>
      </c>
      <c r="C570" s="2">
        <f t="shared" si="8"/>
        <v>4.7606197183098589</v>
      </c>
    </row>
    <row r="571" spans="2:3" x14ac:dyDescent="0.45">
      <c r="B571">
        <v>5690</v>
      </c>
      <c r="C571" s="2">
        <f t="shared" si="8"/>
        <v>4.7522530755711774</v>
      </c>
    </row>
    <row r="572" spans="2:3" x14ac:dyDescent="0.45">
      <c r="B572">
        <v>5700</v>
      </c>
      <c r="C572" s="2">
        <f t="shared" si="8"/>
        <v>4.7439157894736841</v>
      </c>
    </row>
    <row r="573" spans="2:3" x14ac:dyDescent="0.45">
      <c r="B573">
        <v>5710</v>
      </c>
      <c r="C573" s="2">
        <f t="shared" si="8"/>
        <v>4.7356077057793344</v>
      </c>
    </row>
    <row r="574" spans="2:3" x14ac:dyDescent="0.45">
      <c r="B574">
        <v>5720</v>
      </c>
      <c r="C574" s="2">
        <f t="shared" si="8"/>
        <v>4.7273286713286709</v>
      </c>
    </row>
    <row r="575" spans="2:3" x14ac:dyDescent="0.45">
      <c r="B575">
        <v>5730</v>
      </c>
      <c r="C575" s="2">
        <f t="shared" si="8"/>
        <v>4.7190785340314134</v>
      </c>
    </row>
    <row r="576" spans="2:3" x14ac:dyDescent="0.45">
      <c r="B576">
        <v>5740</v>
      </c>
      <c r="C576" s="2">
        <f t="shared" si="8"/>
        <v>4.7108571428571429</v>
      </c>
    </row>
    <row r="577" spans="2:3" x14ac:dyDescent="0.45">
      <c r="B577">
        <v>5750</v>
      </c>
      <c r="C577" s="2">
        <f t="shared" si="8"/>
        <v>4.7026643478260866</v>
      </c>
    </row>
    <row r="578" spans="2:3" x14ac:dyDescent="0.45">
      <c r="B578">
        <v>5760</v>
      </c>
      <c r="C578" s="2">
        <f t="shared" si="8"/>
        <v>4.6944999999999997</v>
      </c>
    </row>
    <row r="579" spans="2:3" x14ac:dyDescent="0.45">
      <c r="B579">
        <v>5770</v>
      </c>
      <c r="C579" s="2">
        <f t="shared" ref="C579:C642" si="9">$A$2/B579</f>
        <v>4.6863639514731368</v>
      </c>
    </row>
    <row r="580" spans="2:3" x14ac:dyDescent="0.45">
      <c r="B580">
        <v>5780</v>
      </c>
      <c r="C580" s="2">
        <f t="shared" si="9"/>
        <v>4.6782560553633221</v>
      </c>
    </row>
    <row r="581" spans="2:3" x14ac:dyDescent="0.45">
      <c r="B581">
        <v>5790</v>
      </c>
      <c r="C581" s="2">
        <f t="shared" si="9"/>
        <v>4.6701761658031087</v>
      </c>
    </row>
    <row r="582" spans="2:3" x14ac:dyDescent="0.45">
      <c r="B582">
        <v>5800</v>
      </c>
      <c r="C582" s="2">
        <f t="shared" si="9"/>
        <v>4.6621241379310341</v>
      </c>
    </row>
    <row r="583" spans="2:3" x14ac:dyDescent="0.45">
      <c r="B583">
        <v>5810</v>
      </c>
      <c r="C583" s="2">
        <f t="shared" si="9"/>
        <v>4.6540998278829599</v>
      </c>
    </row>
    <row r="584" spans="2:3" x14ac:dyDescent="0.45">
      <c r="B584">
        <v>5820</v>
      </c>
      <c r="C584" s="2">
        <f t="shared" si="9"/>
        <v>4.6461030927835054</v>
      </c>
    </row>
    <row r="585" spans="2:3" x14ac:dyDescent="0.45">
      <c r="B585">
        <v>5830</v>
      </c>
      <c r="C585" s="2">
        <f t="shared" si="9"/>
        <v>4.6381337907375642</v>
      </c>
    </row>
    <row r="586" spans="2:3" x14ac:dyDescent="0.45">
      <c r="B586">
        <v>5840</v>
      </c>
      <c r="C586" s="2">
        <f t="shared" si="9"/>
        <v>4.6301917808219182</v>
      </c>
    </row>
    <row r="587" spans="2:3" x14ac:dyDescent="0.45">
      <c r="B587">
        <v>5850</v>
      </c>
      <c r="C587" s="2">
        <f t="shared" si="9"/>
        <v>4.6222769230769227</v>
      </c>
    </row>
    <row r="588" spans="2:3" x14ac:dyDescent="0.45">
      <c r="B588">
        <v>5860</v>
      </c>
      <c r="C588" s="2">
        <f t="shared" si="9"/>
        <v>4.6143890784982933</v>
      </c>
    </row>
    <row r="589" spans="2:3" x14ac:dyDescent="0.45">
      <c r="B589">
        <v>5870</v>
      </c>
      <c r="C589" s="2">
        <f t="shared" si="9"/>
        <v>4.6065281090289609</v>
      </c>
    </row>
    <row r="590" spans="2:3" x14ac:dyDescent="0.45">
      <c r="B590">
        <v>5880</v>
      </c>
      <c r="C590" s="2">
        <f t="shared" si="9"/>
        <v>4.5986938775510202</v>
      </c>
    </row>
    <row r="591" spans="2:3" x14ac:dyDescent="0.45">
      <c r="B591">
        <v>5890</v>
      </c>
      <c r="C591" s="2">
        <f t="shared" si="9"/>
        <v>4.5908862478777586</v>
      </c>
    </row>
    <row r="592" spans="2:3" x14ac:dyDescent="0.45">
      <c r="B592">
        <v>5900</v>
      </c>
      <c r="C592" s="2">
        <f t="shared" si="9"/>
        <v>4.5831050847457631</v>
      </c>
    </row>
    <row r="593" spans="2:3" x14ac:dyDescent="0.45">
      <c r="B593">
        <v>5910</v>
      </c>
      <c r="C593" s="2">
        <f t="shared" si="9"/>
        <v>4.5753502538071062</v>
      </c>
    </row>
    <row r="594" spans="2:3" x14ac:dyDescent="0.45">
      <c r="B594">
        <v>5920</v>
      </c>
      <c r="C594" s="2">
        <f t="shared" si="9"/>
        <v>4.5676216216216217</v>
      </c>
    </row>
    <row r="595" spans="2:3" x14ac:dyDescent="0.45">
      <c r="B595">
        <v>5930</v>
      </c>
      <c r="C595" s="2">
        <f t="shared" si="9"/>
        <v>4.5599190556492415</v>
      </c>
    </row>
    <row r="596" spans="2:3" x14ac:dyDescent="0.45">
      <c r="B596">
        <v>5940</v>
      </c>
      <c r="C596" s="2">
        <f t="shared" si="9"/>
        <v>4.552242424242424</v>
      </c>
    </row>
    <row r="597" spans="2:3" x14ac:dyDescent="0.45">
      <c r="B597">
        <v>5950</v>
      </c>
      <c r="C597" s="2">
        <f t="shared" si="9"/>
        <v>4.5445915966386554</v>
      </c>
    </row>
    <row r="598" spans="2:3" x14ac:dyDescent="0.45">
      <c r="B598">
        <v>5960</v>
      </c>
      <c r="C598" s="2">
        <f t="shared" si="9"/>
        <v>4.5369664429530197</v>
      </c>
    </row>
    <row r="599" spans="2:3" x14ac:dyDescent="0.45">
      <c r="B599">
        <v>5970</v>
      </c>
      <c r="C599" s="2">
        <f t="shared" si="9"/>
        <v>4.5293668341708546</v>
      </c>
    </row>
    <row r="600" spans="2:3" x14ac:dyDescent="0.45">
      <c r="B600">
        <v>5980</v>
      </c>
      <c r="C600" s="2">
        <f t="shared" si="9"/>
        <v>4.5217926421404684</v>
      </c>
    </row>
    <row r="601" spans="2:3" x14ac:dyDescent="0.45">
      <c r="B601">
        <v>5990</v>
      </c>
      <c r="C601" s="2">
        <f t="shared" si="9"/>
        <v>4.5142437395659432</v>
      </c>
    </row>
    <row r="602" spans="2:3" x14ac:dyDescent="0.45">
      <c r="B602">
        <v>6000</v>
      </c>
      <c r="C602" s="2">
        <f t="shared" si="9"/>
        <v>4.5067199999999996</v>
      </c>
    </row>
    <row r="603" spans="2:3" x14ac:dyDescent="0.45">
      <c r="B603">
        <v>6010</v>
      </c>
      <c r="C603" s="2">
        <f t="shared" si="9"/>
        <v>4.4992212978369386</v>
      </c>
    </row>
    <row r="604" spans="2:3" x14ac:dyDescent="0.45">
      <c r="B604">
        <v>6020</v>
      </c>
      <c r="C604" s="2">
        <f t="shared" si="9"/>
        <v>4.4917475083056475</v>
      </c>
    </row>
    <row r="605" spans="2:3" x14ac:dyDescent="0.45">
      <c r="B605">
        <v>6030</v>
      </c>
      <c r="C605" s="2">
        <f t="shared" si="9"/>
        <v>4.4842985074626869</v>
      </c>
    </row>
    <row r="606" spans="2:3" x14ac:dyDescent="0.45">
      <c r="B606">
        <v>6040</v>
      </c>
      <c r="C606" s="2">
        <f t="shared" si="9"/>
        <v>4.4768741721854308</v>
      </c>
    </row>
    <row r="607" spans="2:3" x14ac:dyDescent="0.45">
      <c r="B607">
        <v>6050</v>
      </c>
      <c r="C607" s="2">
        <f t="shared" si="9"/>
        <v>4.4694743801652894</v>
      </c>
    </row>
    <row r="608" spans="2:3" x14ac:dyDescent="0.45">
      <c r="B608">
        <v>6060</v>
      </c>
      <c r="C608" s="2">
        <f t="shared" si="9"/>
        <v>4.4620990099009896</v>
      </c>
    </row>
    <row r="609" spans="2:3" x14ac:dyDescent="0.45">
      <c r="B609">
        <v>6070</v>
      </c>
      <c r="C609" s="2">
        <f t="shared" si="9"/>
        <v>4.4547479406919273</v>
      </c>
    </row>
    <row r="610" spans="2:3" x14ac:dyDescent="0.45">
      <c r="B610">
        <v>6080</v>
      </c>
      <c r="C610" s="2">
        <f t="shared" si="9"/>
        <v>4.4474210526315785</v>
      </c>
    </row>
    <row r="611" spans="2:3" x14ac:dyDescent="0.45">
      <c r="B611">
        <v>6090</v>
      </c>
      <c r="C611" s="2">
        <f t="shared" si="9"/>
        <v>4.4401182266009851</v>
      </c>
    </row>
    <row r="612" spans="2:3" x14ac:dyDescent="0.45">
      <c r="B612">
        <v>6100</v>
      </c>
      <c r="C612" s="2">
        <f t="shared" si="9"/>
        <v>4.4328393442622946</v>
      </c>
    </row>
    <row r="613" spans="2:3" x14ac:dyDescent="0.45">
      <c r="B613">
        <v>6110</v>
      </c>
      <c r="C613" s="2">
        <f t="shared" si="9"/>
        <v>4.4255842880523728</v>
      </c>
    </row>
    <row r="614" spans="2:3" x14ac:dyDescent="0.45">
      <c r="B614">
        <v>6120</v>
      </c>
      <c r="C614" s="2">
        <f t="shared" si="9"/>
        <v>4.4183529411764706</v>
      </c>
    </row>
    <row r="615" spans="2:3" x14ac:dyDescent="0.45">
      <c r="B615">
        <v>6130</v>
      </c>
      <c r="C615" s="2">
        <f t="shared" si="9"/>
        <v>4.4111451876019574</v>
      </c>
    </row>
    <row r="616" spans="2:3" x14ac:dyDescent="0.45">
      <c r="B616">
        <v>6140</v>
      </c>
      <c r="C616" s="2">
        <f t="shared" si="9"/>
        <v>4.403960912052117</v>
      </c>
    </row>
    <row r="617" spans="2:3" x14ac:dyDescent="0.45">
      <c r="B617">
        <v>6150</v>
      </c>
      <c r="C617" s="2">
        <f t="shared" si="9"/>
        <v>4.3967999999999998</v>
      </c>
    </row>
    <row r="618" spans="2:3" x14ac:dyDescent="0.45">
      <c r="B618">
        <v>6160</v>
      </c>
      <c r="C618" s="2">
        <f t="shared" si="9"/>
        <v>4.3896623376623376</v>
      </c>
    </row>
    <row r="619" spans="2:3" x14ac:dyDescent="0.45">
      <c r="B619">
        <v>6170</v>
      </c>
      <c r="C619" s="2">
        <f t="shared" si="9"/>
        <v>4.3825478119935166</v>
      </c>
    </row>
    <row r="620" spans="2:3" x14ac:dyDescent="0.45">
      <c r="B620">
        <v>6180</v>
      </c>
      <c r="C620" s="2">
        <f t="shared" si="9"/>
        <v>4.3754563106796116</v>
      </c>
    </row>
    <row r="621" spans="2:3" x14ac:dyDescent="0.45">
      <c r="B621">
        <v>6190</v>
      </c>
      <c r="C621" s="2">
        <f t="shared" si="9"/>
        <v>4.3683877221324714</v>
      </c>
    </row>
    <row r="622" spans="2:3" x14ac:dyDescent="0.45">
      <c r="B622">
        <v>6200</v>
      </c>
      <c r="C622" s="2">
        <f t="shared" si="9"/>
        <v>4.3613419354838712</v>
      </c>
    </row>
    <row r="623" spans="2:3" x14ac:dyDescent="0.45">
      <c r="B623">
        <v>6210</v>
      </c>
      <c r="C623" s="2">
        <f t="shared" si="9"/>
        <v>4.35431884057971</v>
      </c>
    </row>
    <row r="624" spans="2:3" x14ac:dyDescent="0.45">
      <c r="B624">
        <v>6220</v>
      </c>
      <c r="C624" s="2">
        <f t="shared" si="9"/>
        <v>4.3473183279742766</v>
      </c>
    </row>
    <row r="625" spans="2:3" x14ac:dyDescent="0.45">
      <c r="B625">
        <v>6230</v>
      </c>
      <c r="C625" s="2">
        <f t="shared" si="9"/>
        <v>4.3403402889245584</v>
      </c>
    </row>
    <row r="626" spans="2:3" x14ac:dyDescent="0.45">
      <c r="B626">
        <v>6240</v>
      </c>
      <c r="C626" s="2">
        <f t="shared" si="9"/>
        <v>4.3333846153846149</v>
      </c>
    </row>
    <row r="627" spans="2:3" x14ac:dyDescent="0.45">
      <c r="B627">
        <v>6250</v>
      </c>
      <c r="C627" s="2">
        <f t="shared" si="9"/>
        <v>4.3264512000000002</v>
      </c>
    </row>
    <row r="628" spans="2:3" x14ac:dyDescent="0.45">
      <c r="B628">
        <v>6260</v>
      </c>
      <c r="C628" s="2">
        <f t="shared" si="9"/>
        <v>4.3195399361022364</v>
      </c>
    </row>
    <row r="629" spans="2:3" x14ac:dyDescent="0.45">
      <c r="B629">
        <v>6270</v>
      </c>
      <c r="C629" s="2">
        <f t="shared" si="9"/>
        <v>4.3126507177033488</v>
      </c>
    </row>
    <row r="630" spans="2:3" x14ac:dyDescent="0.45">
      <c r="B630">
        <v>6280</v>
      </c>
      <c r="C630" s="2">
        <f t="shared" si="9"/>
        <v>4.3057834394904457</v>
      </c>
    </row>
    <row r="631" spans="2:3" x14ac:dyDescent="0.45">
      <c r="B631">
        <v>6290</v>
      </c>
      <c r="C631" s="2">
        <f t="shared" si="9"/>
        <v>4.2989379968203494</v>
      </c>
    </row>
    <row r="632" spans="2:3" x14ac:dyDescent="0.45">
      <c r="B632">
        <v>6300</v>
      </c>
      <c r="C632" s="2">
        <f t="shared" si="9"/>
        <v>4.2921142857142858</v>
      </c>
    </row>
    <row r="633" spans="2:3" x14ac:dyDescent="0.45">
      <c r="B633">
        <v>6310</v>
      </c>
      <c r="C633" s="2">
        <f t="shared" si="9"/>
        <v>4.2853122028526149</v>
      </c>
    </row>
    <row r="634" spans="2:3" x14ac:dyDescent="0.45">
      <c r="B634">
        <v>6320</v>
      </c>
      <c r="C634" s="2">
        <f t="shared" si="9"/>
        <v>4.2785316455696201</v>
      </c>
    </row>
    <row r="635" spans="2:3" x14ac:dyDescent="0.45">
      <c r="B635">
        <v>6330</v>
      </c>
      <c r="C635" s="2">
        <f t="shared" si="9"/>
        <v>4.2717725118483409</v>
      </c>
    </row>
    <row r="636" spans="2:3" x14ac:dyDescent="0.45">
      <c r="B636">
        <v>6340</v>
      </c>
      <c r="C636" s="2">
        <f t="shared" si="9"/>
        <v>4.2650347003154572</v>
      </c>
    </row>
    <row r="637" spans="2:3" x14ac:dyDescent="0.45">
      <c r="B637">
        <v>6350</v>
      </c>
      <c r="C637" s="2">
        <f t="shared" si="9"/>
        <v>4.2583181102362202</v>
      </c>
    </row>
    <row r="638" spans="2:3" x14ac:dyDescent="0.45">
      <c r="B638">
        <v>6360</v>
      </c>
      <c r="C638" s="2">
        <f t="shared" si="9"/>
        <v>4.2516226415094343</v>
      </c>
    </row>
    <row r="639" spans="2:3" x14ac:dyDescent="0.45">
      <c r="B639">
        <v>6370</v>
      </c>
      <c r="C639" s="2">
        <f t="shared" si="9"/>
        <v>4.2449481946624807</v>
      </c>
    </row>
    <row r="640" spans="2:3" x14ac:dyDescent="0.45">
      <c r="B640">
        <v>6380</v>
      </c>
      <c r="C640" s="2">
        <f t="shared" si="9"/>
        <v>4.2382946708463951</v>
      </c>
    </row>
    <row r="641" spans="2:3" x14ac:dyDescent="0.45">
      <c r="B641">
        <v>6390</v>
      </c>
      <c r="C641" s="2">
        <f t="shared" si="9"/>
        <v>4.2316619718309862</v>
      </c>
    </row>
    <row r="642" spans="2:3" x14ac:dyDescent="0.45">
      <c r="B642">
        <v>6400</v>
      </c>
      <c r="C642" s="2">
        <f t="shared" si="9"/>
        <v>4.2250499999999995</v>
      </c>
    </row>
    <row r="643" spans="2:3" x14ac:dyDescent="0.45">
      <c r="B643">
        <v>6410</v>
      </c>
      <c r="C643" s="2">
        <f t="shared" ref="C643:C706" si="10">$A$2/B643</f>
        <v>4.2184586583463339</v>
      </c>
    </row>
    <row r="644" spans="2:3" x14ac:dyDescent="0.45">
      <c r="B644">
        <v>6420</v>
      </c>
      <c r="C644" s="2">
        <f t="shared" si="10"/>
        <v>4.2118878504672894</v>
      </c>
    </row>
    <row r="645" spans="2:3" x14ac:dyDescent="0.45">
      <c r="B645">
        <v>6430</v>
      </c>
      <c r="C645" s="2">
        <f t="shared" si="10"/>
        <v>4.2053374805598756</v>
      </c>
    </row>
    <row r="646" spans="2:3" x14ac:dyDescent="0.45">
      <c r="B646">
        <v>6440</v>
      </c>
      <c r="C646" s="2">
        <f t="shared" si="10"/>
        <v>4.1988074534161486</v>
      </c>
    </row>
    <row r="647" spans="2:3" x14ac:dyDescent="0.45">
      <c r="B647">
        <v>6450</v>
      </c>
      <c r="C647" s="2">
        <f t="shared" si="10"/>
        <v>4.1922976744186045</v>
      </c>
    </row>
    <row r="648" spans="2:3" x14ac:dyDescent="0.45">
      <c r="B648">
        <v>6460</v>
      </c>
      <c r="C648" s="2">
        <f t="shared" si="10"/>
        <v>4.1858080495356038</v>
      </c>
    </row>
    <row r="649" spans="2:3" x14ac:dyDescent="0.45">
      <c r="B649">
        <v>6470</v>
      </c>
      <c r="C649" s="2">
        <f t="shared" si="10"/>
        <v>4.1793384853168467</v>
      </c>
    </row>
    <row r="650" spans="2:3" x14ac:dyDescent="0.45">
      <c r="B650">
        <v>6480</v>
      </c>
      <c r="C650" s="2">
        <f t="shared" si="10"/>
        <v>4.1728888888888891</v>
      </c>
    </row>
    <row r="651" spans="2:3" x14ac:dyDescent="0.45">
      <c r="B651">
        <v>6490</v>
      </c>
      <c r="C651" s="2">
        <f t="shared" si="10"/>
        <v>4.166459167950693</v>
      </c>
    </row>
    <row r="652" spans="2:3" x14ac:dyDescent="0.45">
      <c r="B652">
        <v>6500</v>
      </c>
      <c r="C652" s="2">
        <f t="shared" si="10"/>
        <v>4.1600492307692312</v>
      </c>
    </row>
    <row r="653" spans="2:3" x14ac:dyDescent="0.45">
      <c r="B653">
        <v>6510</v>
      </c>
      <c r="C653" s="2">
        <f t="shared" si="10"/>
        <v>4.153658986175115</v>
      </c>
    </row>
    <row r="654" spans="2:3" x14ac:dyDescent="0.45">
      <c r="B654">
        <v>6520</v>
      </c>
      <c r="C654" s="2">
        <f t="shared" si="10"/>
        <v>4.1472883435582819</v>
      </c>
    </row>
    <row r="655" spans="2:3" x14ac:dyDescent="0.45">
      <c r="B655">
        <v>6530</v>
      </c>
      <c r="C655" s="2">
        <f t="shared" si="10"/>
        <v>4.1409372128637063</v>
      </c>
    </row>
    <row r="656" spans="2:3" x14ac:dyDescent="0.45">
      <c r="B656">
        <v>6540</v>
      </c>
      <c r="C656" s="2">
        <f t="shared" si="10"/>
        <v>4.1346055045871557</v>
      </c>
    </row>
    <row r="657" spans="2:3" x14ac:dyDescent="0.45">
      <c r="B657">
        <v>6550</v>
      </c>
      <c r="C657" s="2">
        <f t="shared" si="10"/>
        <v>4.1282931297709924</v>
      </c>
    </row>
    <row r="658" spans="2:3" x14ac:dyDescent="0.45">
      <c r="B658">
        <v>6560</v>
      </c>
      <c r="C658" s="2">
        <f t="shared" si="10"/>
        <v>4.1219999999999999</v>
      </c>
    </row>
    <row r="659" spans="2:3" x14ac:dyDescent="0.45">
      <c r="B659">
        <v>6570</v>
      </c>
      <c r="C659" s="2">
        <f t="shared" si="10"/>
        <v>4.11572602739726</v>
      </c>
    </row>
    <row r="660" spans="2:3" x14ac:dyDescent="0.45">
      <c r="B660">
        <v>6580</v>
      </c>
      <c r="C660" s="2">
        <f t="shared" si="10"/>
        <v>4.109471124620061</v>
      </c>
    </row>
    <row r="661" spans="2:3" x14ac:dyDescent="0.45">
      <c r="B661">
        <v>6590</v>
      </c>
      <c r="C661" s="2">
        <f t="shared" si="10"/>
        <v>4.1032352048558423</v>
      </c>
    </row>
    <row r="662" spans="2:3" x14ac:dyDescent="0.45">
      <c r="B662">
        <v>6600</v>
      </c>
      <c r="C662" s="2">
        <f t="shared" si="10"/>
        <v>4.0970181818181821</v>
      </c>
    </row>
    <row r="663" spans="2:3" x14ac:dyDescent="0.45">
      <c r="B663">
        <v>6610</v>
      </c>
      <c r="C663" s="2">
        <f t="shared" si="10"/>
        <v>4.0908199697428138</v>
      </c>
    </row>
    <row r="664" spans="2:3" x14ac:dyDescent="0.45">
      <c r="B664">
        <v>6620</v>
      </c>
      <c r="C664" s="2">
        <f t="shared" si="10"/>
        <v>4.0846404833836853</v>
      </c>
    </row>
    <row r="665" spans="2:3" x14ac:dyDescent="0.45">
      <c r="B665">
        <v>6630</v>
      </c>
      <c r="C665" s="2">
        <f t="shared" si="10"/>
        <v>4.0784796380090498</v>
      </c>
    </row>
    <row r="666" spans="2:3" x14ac:dyDescent="0.45">
      <c r="B666">
        <v>6640</v>
      </c>
      <c r="C666" s="2">
        <f t="shared" si="10"/>
        <v>4.0723373493975901</v>
      </c>
    </row>
    <row r="667" spans="2:3" x14ac:dyDescent="0.45">
      <c r="B667">
        <v>6650</v>
      </c>
      <c r="C667" s="2">
        <f t="shared" si="10"/>
        <v>4.0662135338345866</v>
      </c>
    </row>
    <row r="668" spans="2:3" x14ac:dyDescent="0.45">
      <c r="B668">
        <v>6660</v>
      </c>
      <c r="C668" s="2">
        <f t="shared" si="10"/>
        <v>4.0601081081081078</v>
      </c>
    </row>
    <row r="669" spans="2:3" x14ac:dyDescent="0.45">
      <c r="B669">
        <v>6670</v>
      </c>
      <c r="C669" s="2">
        <f t="shared" si="10"/>
        <v>4.054020989505247</v>
      </c>
    </row>
    <row r="670" spans="2:3" x14ac:dyDescent="0.45">
      <c r="B670">
        <v>6680</v>
      </c>
      <c r="C670" s="2">
        <f t="shared" si="10"/>
        <v>4.047952095808383</v>
      </c>
    </row>
    <row r="671" spans="2:3" x14ac:dyDescent="0.45">
      <c r="B671">
        <v>6690</v>
      </c>
      <c r="C671" s="2">
        <f t="shared" si="10"/>
        <v>4.04190134529148</v>
      </c>
    </row>
    <row r="672" spans="2:3" x14ac:dyDescent="0.45">
      <c r="B672">
        <v>6700</v>
      </c>
      <c r="C672" s="2">
        <f t="shared" si="10"/>
        <v>4.0358686567164179</v>
      </c>
    </row>
    <row r="673" spans="2:3" x14ac:dyDescent="0.45">
      <c r="B673">
        <v>6710</v>
      </c>
      <c r="C673" s="2">
        <f t="shared" si="10"/>
        <v>4.0298539493293593</v>
      </c>
    </row>
    <row r="674" spans="2:3" x14ac:dyDescent="0.45">
      <c r="B674">
        <v>6720</v>
      </c>
      <c r="C674" s="2">
        <f t="shared" si="10"/>
        <v>4.0238571428571426</v>
      </c>
    </row>
    <row r="675" spans="2:3" x14ac:dyDescent="0.45">
      <c r="B675">
        <v>6730</v>
      </c>
      <c r="C675" s="2">
        <f t="shared" si="10"/>
        <v>4.0178781575037146</v>
      </c>
    </row>
    <row r="676" spans="2:3" x14ac:dyDescent="0.45">
      <c r="B676">
        <v>6740</v>
      </c>
      <c r="C676" s="2">
        <f t="shared" si="10"/>
        <v>4.0119169139465871</v>
      </c>
    </row>
    <row r="677" spans="2:3" x14ac:dyDescent="0.45">
      <c r="B677">
        <v>6750</v>
      </c>
      <c r="C677" s="2">
        <f t="shared" si="10"/>
        <v>4.0059733333333334</v>
      </c>
    </row>
    <row r="678" spans="2:3" x14ac:dyDescent="0.45">
      <c r="B678">
        <v>6760</v>
      </c>
      <c r="C678" s="2">
        <f t="shared" si="10"/>
        <v>4.0000473372781062</v>
      </c>
    </row>
    <row r="679" spans="2:3" x14ac:dyDescent="0.45">
      <c r="B679">
        <v>6770</v>
      </c>
      <c r="C679" s="2">
        <f t="shared" si="10"/>
        <v>3.9941388478581978</v>
      </c>
    </row>
    <row r="680" spans="2:3" x14ac:dyDescent="0.45">
      <c r="B680">
        <v>6780</v>
      </c>
      <c r="C680" s="2">
        <f t="shared" si="10"/>
        <v>3.9882477876106193</v>
      </c>
    </row>
    <row r="681" spans="2:3" x14ac:dyDescent="0.45">
      <c r="B681">
        <v>6790</v>
      </c>
      <c r="C681" s="2">
        <f t="shared" si="10"/>
        <v>3.9823740795287188</v>
      </c>
    </row>
    <row r="682" spans="2:3" x14ac:dyDescent="0.45">
      <c r="B682">
        <v>6800</v>
      </c>
      <c r="C682" s="2">
        <f t="shared" si="10"/>
        <v>3.9765176470588233</v>
      </c>
    </row>
    <row r="683" spans="2:3" x14ac:dyDescent="0.45">
      <c r="B683">
        <v>6810</v>
      </c>
      <c r="C683" s="2">
        <f t="shared" si="10"/>
        <v>3.9706784140969162</v>
      </c>
    </row>
    <row r="684" spans="2:3" x14ac:dyDescent="0.45">
      <c r="B684">
        <v>6820</v>
      </c>
      <c r="C684" s="2">
        <f t="shared" si="10"/>
        <v>3.9648563049853371</v>
      </c>
    </row>
    <row r="685" spans="2:3" x14ac:dyDescent="0.45">
      <c r="B685">
        <v>6830</v>
      </c>
      <c r="C685" s="2">
        <f t="shared" si="10"/>
        <v>3.9590512445095167</v>
      </c>
    </row>
    <row r="686" spans="2:3" x14ac:dyDescent="0.45">
      <c r="B686">
        <v>6840</v>
      </c>
      <c r="C686" s="2">
        <f t="shared" si="10"/>
        <v>3.9532631578947366</v>
      </c>
    </row>
    <row r="687" spans="2:3" x14ac:dyDescent="0.45">
      <c r="B687">
        <v>6850</v>
      </c>
      <c r="C687" s="2">
        <f t="shared" si="10"/>
        <v>3.9474919708029197</v>
      </c>
    </row>
    <row r="688" spans="2:3" x14ac:dyDescent="0.45">
      <c r="B688">
        <v>6860</v>
      </c>
      <c r="C688" s="2">
        <f t="shared" si="10"/>
        <v>3.9417376093294458</v>
      </c>
    </row>
    <row r="689" spans="2:3" x14ac:dyDescent="0.45">
      <c r="B689">
        <v>6870</v>
      </c>
      <c r="C689" s="2">
        <f t="shared" si="10"/>
        <v>3.9359999999999999</v>
      </c>
    </row>
    <row r="690" spans="2:3" x14ac:dyDescent="0.45">
      <c r="B690">
        <v>6880</v>
      </c>
      <c r="C690" s="2">
        <f t="shared" si="10"/>
        <v>3.9302790697674417</v>
      </c>
    </row>
    <row r="691" spans="2:3" x14ac:dyDescent="0.45">
      <c r="B691">
        <v>6890</v>
      </c>
      <c r="C691" s="2">
        <f t="shared" si="10"/>
        <v>3.9245747460087084</v>
      </c>
    </row>
    <row r="692" spans="2:3" x14ac:dyDescent="0.45">
      <c r="B692">
        <v>6900</v>
      </c>
      <c r="C692" s="2">
        <f t="shared" si="10"/>
        <v>3.9188869565217392</v>
      </c>
    </row>
    <row r="693" spans="2:3" x14ac:dyDescent="0.45">
      <c r="B693">
        <v>6910</v>
      </c>
      <c r="C693" s="2">
        <f t="shared" si="10"/>
        <v>3.9132156295224312</v>
      </c>
    </row>
    <row r="694" spans="2:3" x14ac:dyDescent="0.45">
      <c r="B694">
        <v>6920</v>
      </c>
      <c r="C694" s="2">
        <f t="shared" si="10"/>
        <v>3.9075606936416185</v>
      </c>
    </row>
    <row r="695" spans="2:3" x14ac:dyDescent="0.45">
      <c r="B695">
        <v>6930</v>
      </c>
      <c r="C695" s="2">
        <f t="shared" si="10"/>
        <v>3.901922077922078</v>
      </c>
    </row>
    <row r="696" spans="2:3" x14ac:dyDescent="0.45">
      <c r="B696">
        <v>6940</v>
      </c>
      <c r="C696" s="2">
        <f t="shared" si="10"/>
        <v>3.896299711815562</v>
      </c>
    </row>
    <row r="697" spans="2:3" x14ac:dyDescent="0.45">
      <c r="B697">
        <v>6950</v>
      </c>
      <c r="C697" s="2">
        <f t="shared" si="10"/>
        <v>3.8906935251798562</v>
      </c>
    </row>
    <row r="698" spans="2:3" x14ac:dyDescent="0.45">
      <c r="B698">
        <v>6960</v>
      </c>
      <c r="C698" s="2">
        <f t="shared" si="10"/>
        <v>3.8851034482758622</v>
      </c>
    </row>
    <row r="699" spans="2:3" x14ac:dyDescent="0.45">
      <c r="B699">
        <v>6970</v>
      </c>
      <c r="C699" s="2">
        <f t="shared" si="10"/>
        <v>3.8795294117647057</v>
      </c>
    </row>
    <row r="700" spans="2:3" x14ac:dyDescent="0.45">
      <c r="B700">
        <v>6980</v>
      </c>
      <c r="C700" s="2">
        <f t="shared" si="10"/>
        <v>3.8739713467048711</v>
      </c>
    </row>
    <row r="701" spans="2:3" x14ac:dyDescent="0.45">
      <c r="B701">
        <v>6990</v>
      </c>
      <c r="C701" s="2">
        <f t="shared" si="10"/>
        <v>3.8684291845493561</v>
      </c>
    </row>
    <row r="702" spans="2:3" x14ac:dyDescent="0.45">
      <c r="B702">
        <v>7000</v>
      </c>
      <c r="C702" s="2">
        <f t="shared" si="10"/>
        <v>3.8629028571428572</v>
      </c>
    </row>
    <row r="703" spans="2:3" x14ac:dyDescent="0.45">
      <c r="B703">
        <v>7010</v>
      </c>
      <c r="C703" s="2">
        <f t="shared" si="10"/>
        <v>3.8573922967189729</v>
      </c>
    </row>
    <row r="704" spans="2:3" x14ac:dyDescent="0.45">
      <c r="B704">
        <v>7020</v>
      </c>
      <c r="C704" s="2">
        <f t="shared" si="10"/>
        <v>3.8518974358974361</v>
      </c>
    </row>
    <row r="705" spans="2:3" x14ac:dyDescent="0.45">
      <c r="B705">
        <v>7030</v>
      </c>
      <c r="C705" s="2">
        <f t="shared" si="10"/>
        <v>3.8464182076813653</v>
      </c>
    </row>
    <row r="706" spans="2:3" x14ac:dyDescent="0.45">
      <c r="B706">
        <v>7040</v>
      </c>
      <c r="C706" s="2">
        <f t="shared" si="10"/>
        <v>3.8409545454545455</v>
      </c>
    </row>
    <row r="707" spans="2:3" x14ac:dyDescent="0.45">
      <c r="B707">
        <v>7050</v>
      </c>
      <c r="C707" s="2">
        <f t="shared" ref="C707:C770" si="11">$A$2/B707</f>
        <v>3.8355063829787235</v>
      </c>
    </row>
    <row r="708" spans="2:3" x14ac:dyDescent="0.45">
      <c r="B708">
        <v>7060</v>
      </c>
      <c r="C708" s="2">
        <f t="shared" si="11"/>
        <v>3.8300736543909348</v>
      </c>
    </row>
    <row r="709" spans="2:3" x14ac:dyDescent="0.45">
      <c r="B709">
        <v>7070</v>
      </c>
      <c r="C709" s="2">
        <f t="shared" si="11"/>
        <v>3.8246562942008486</v>
      </c>
    </row>
    <row r="710" spans="2:3" x14ac:dyDescent="0.45">
      <c r="B710">
        <v>7080</v>
      </c>
      <c r="C710" s="2">
        <f t="shared" si="11"/>
        <v>3.8192542372881357</v>
      </c>
    </row>
    <row r="711" spans="2:3" x14ac:dyDescent="0.45">
      <c r="B711">
        <v>7090</v>
      </c>
      <c r="C711" s="2">
        <f t="shared" si="11"/>
        <v>3.8138674188998589</v>
      </c>
    </row>
    <row r="712" spans="2:3" x14ac:dyDescent="0.45">
      <c r="B712">
        <v>7100</v>
      </c>
      <c r="C712" s="2">
        <f t="shared" si="11"/>
        <v>3.8084957746478874</v>
      </c>
    </row>
    <row r="713" spans="2:3" x14ac:dyDescent="0.45">
      <c r="B713">
        <v>7110</v>
      </c>
      <c r="C713" s="2">
        <f t="shared" si="11"/>
        <v>3.8031392405063289</v>
      </c>
    </row>
    <row r="714" spans="2:3" x14ac:dyDescent="0.45">
      <c r="B714">
        <v>7120</v>
      </c>
      <c r="C714" s="2">
        <f t="shared" si="11"/>
        <v>3.7977977528089886</v>
      </c>
    </row>
    <row r="715" spans="2:3" x14ac:dyDescent="0.45">
      <c r="B715">
        <v>7130</v>
      </c>
      <c r="C715" s="2">
        <f t="shared" si="11"/>
        <v>3.7924712482468443</v>
      </c>
    </row>
    <row r="716" spans="2:3" x14ac:dyDescent="0.45">
      <c r="B716">
        <v>7140</v>
      </c>
      <c r="C716" s="2">
        <f t="shared" si="11"/>
        <v>3.787159663865546</v>
      </c>
    </row>
    <row r="717" spans="2:3" x14ac:dyDescent="0.45">
      <c r="B717">
        <v>7150</v>
      </c>
      <c r="C717" s="2">
        <f t="shared" si="11"/>
        <v>3.7818629370629369</v>
      </c>
    </row>
    <row r="718" spans="2:3" x14ac:dyDescent="0.45">
      <c r="B718">
        <v>7160</v>
      </c>
      <c r="C718" s="2">
        <f t="shared" si="11"/>
        <v>3.7765810055865923</v>
      </c>
    </row>
    <row r="719" spans="2:3" x14ac:dyDescent="0.45">
      <c r="B719">
        <v>7170</v>
      </c>
      <c r="C719" s="2">
        <f t="shared" si="11"/>
        <v>3.7713138075313806</v>
      </c>
    </row>
    <row r="720" spans="2:3" x14ac:dyDescent="0.45">
      <c r="B720">
        <v>7180</v>
      </c>
      <c r="C720" s="2">
        <f t="shared" si="11"/>
        <v>3.7660612813370471</v>
      </c>
    </row>
    <row r="721" spans="2:3" x14ac:dyDescent="0.45">
      <c r="B721">
        <v>7190</v>
      </c>
      <c r="C721" s="2">
        <f t="shared" si="11"/>
        <v>3.7608233657858134</v>
      </c>
    </row>
    <row r="722" spans="2:3" x14ac:dyDescent="0.45">
      <c r="B722">
        <v>7200</v>
      </c>
      <c r="C722" s="2">
        <f t="shared" si="11"/>
        <v>3.7555999999999998</v>
      </c>
    </row>
    <row r="723" spans="2:3" x14ac:dyDescent="0.45">
      <c r="B723">
        <v>7210</v>
      </c>
      <c r="C723" s="2">
        <f t="shared" si="11"/>
        <v>3.750391123439667</v>
      </c>
    </row>
    <row r="724" spans="2:3" x14ac:dyDescent="0.45">
      <c r="B724">
        <v>7220</v>
      </c>
      <c r="C724" s="2">
        <f t="shared" si="11"/>
        <v>3.7451966759002771</v>
      </c>
    </row>
    <row r="725" spans="2:3" x14ac:dyDescent="0.45">
      <c r="B725">
        <v>7230</v>
      </c>
      <c r="C725" s="2">
        <f t="shared" si="11"/>
        <v>3.7400165975103734</v>
      </c>
    </row>
    <row r="726" spans="2:3" x14ac:dyDescent="0.45">
      <c r="B726">
        <v>7240</v>
      </c>
      <c r="C726" s="2">
        <f t="shared" si="11"/>
        <v>3.7348508287292819</v>
      </c>
    </row>
    <row r="727" spans="2:3" x14ac:dyDescent="0.45">
      <c r="B727">
        <v>7250</v>
      </c>
      <c r="C727" s="2">
        <f t="shared" si="11"/>
        <v>3.7296993103448277</v>
      </c>
    </row>
    <row r="728" spans="2:3" x14ac:dyDescent="0.45">
      <c r="B728">
        <v>7260</v>
      </c>
      <c r="C728" s="2">
        <f t="shared" si="11"/>
        <v>3.7245619834710744</v>
      </c>
    </row>
    <row r="729" spans="2:3" x14ac:dyDescent="0.45">
      <c r="B729">
        <v>7270</v>
      </c>
      <c r="C729" s="2">
        <f t="shared" si="11"/>
        <v>3.7194387895460799</v>
      </c>
    </row>
    <row r="730" spans="2:3" x14ac:dyDescent="0.45">
      <c r="B730">
        <v>7280</v>
      </c>
      <c r="C730" s="2">
        <f t="shared" si="11"/>
        <v>3.7143296703296702</v>
      </c>
    </row>
    <row r="731" spans="2:3" x14ac:dyDescent="0.45">
      <c r="B731">
        <v>7290</v>
      </c>
      <c r="C731" s="2">
        <f t="shared" si="11"/>
        <v>3.7092345679012344</v>
      </c>
    </row>
    <row r="732" spans="2:3" x14ac:dyDescent="0.45">
      <c r="B732">
        <v>7300</v>
      </c>
      <c r="C732" s="2">
        <f t="shared" si="11"/>
        <v>3.7041534246575343</v>
      </c>
    </row>
    <row r="733" spans="2:3" x14ac:dyDescent="0.45">
      <c r="B733">
        <v>7310</v>
      </c>
      <c r="C733" s="2">
        <f t="shared" si="11"/>
        <v>3.6990861833105333</v>
      </c>
    </row>
    <row r="734" spans="2:3" x14ac:dyDescent="0.45">
      <c r="B734">
        <v>7320</v>
      </c>
      <c r="C734" s="2">
        <f t="shared" si="11"/>
        <v>3.6940327868852458</v>
      </c>
    </row>
    <row r="735" spans="2:3" x14ac:dyDescent="0.45">
      <c r="B735">
        <v>7330</v>
      </c>
      <c r="C735" s="2">
        <f t="shared" si="11"/>
        <v>3.6889931787175989</v>
      </c>
    </row>
    <row r="736" spans="2:3" x14ac:dyDescent="0.45">
      <c r="B736">
        <v>7340</v>
      </c>
      <c r="C736" s="2">
        <f t="shared" si="11"/>
        <v>3.6839673024523161</v>
      </c>
    </row>
    <row r="737" spans="2:3" x14ac:dyDescent="0.45">
      <c r="B737">
        <v>7350</v>
      </c>
      <c r="C737" s="2">
        <f t="shared" si="11"/>
        <v>3.6789551020408164</v>
      </c>
    </row>
    <row r="738" spans="2:3" x14ac:dyDescent="0.45">
      <c r="B738">
        <v>7360</v>
      </c>
      <c r="C738" s="2">
        <f t="shared" si="11"/>
        <v>3.6739565217391306</v>
      </c>
    </row>
    <row r="739" spans="2:3" x14ac:dyDescent="0.45">
      <c r="B739">
        <v>7370</v>
      </c>
      <c r="C739" s="2">
        <f t="shared" si="11"/>
        <v>3.6689715061058346</v>
      </c>
    </row>
    <row r="740" spans="2:3" x14ac:dyDescent="0.45">
      <c r="B740">
        <v>7380</v>
      </c>
      <c r="C740" s="2">
        <f t="shared" si="11"/>
        <v>3.6640000000000001</v>
      </c>
    </row>
    <row r="741" spans="2:3" x14ac:dyDescent="0.45">
      <c r="B741">
        <v>7390</v>
      </c>
      <c r="C741" s="2">
        <f t="shared" si="11"/>
        <v>3.6590419485791612</v>
      </c>
    </row>
    <row r="742" spans="2:3" x14ac:dyDescent="0.45">
      <c r="B742">
        <v>7400</v>
      </c>
      <c r="C742" s="2">
        <f t="shared" si="11"/>
        <v>3.6540972972972972</v>
      </c>
    </row>
    <row r="743" spans="2:3" x14ac:dyDescent="0.45">
      <c r="B743">
        <v>7410</v>
      </c>
      <c r="C743" s="2">
        <f t="shared" si="11"/>
        <v>3.6491659919028341</v>
      </c>
    </row>
    <row r="744" spans="2:3" x14ac:dyDescent="0.45">
      <c r="B744">
        <v>7420</v>
      </c>
      <c r="C744" s="2">
        <f t="shared" si="11"/>
        <v>3.6442479784366575</v>
      </c>
    </row>
    <row r="745" spans="2:3" x14ac:dyDescent="0.45">
      <c r="B745">
        <v>7430</v>
      </c>
      <c r="C745" s="2">
        <f t="shared" si="11"/>
        <v>3.639343203230148</v>
      </c>
    </row>
    <row r="746" spans="2:3" x14ac:dyDescent="0.45">
      <c r="B746">
        <v>7440</v>
      </c>
      <c r="C746" s="2">
        <f t="shared" si="11"/>
        <v>3.6344516129032258</v>
      </c>
    </row>
    <row r="747" spans="2:3" x14ac:dyDescent="0.45">
      <c r="B747">
        <v>7450</v>
      </c>
      <c r="C747" s="2">
        <f t="shared" si="11"/>
        <v>3.6295731543624159</v>
      </c>
    </row>
    <row r="748" spans="2:3" x14ac:dyDescent="0.45">
      <c r="B748">
        <v>7460</v>
      </c>
      <c r="C748" s="2">
        <f t="shared" si="11"/>
        <v>3.6247077747989276</v>
      </c>
    </row>
    <row r="749" spans="2:3" x14ac:dyDescent="0.45">
      <c r="B749">
        <v>7470</v>
      </c>
      <c r="C749" s="2">
        <f t="shared" si="11"/>
        <v>3.6198554216867471</v>
      </c>
    </row>
    <row r="750" spans="2:3" x14ac:dyDescent="0.45">
      <c r="B750">
        <v>7480</v>
      </c>
      <c r="C750" s="2">
        <f t="shared" si="11"/>
        <v>3.6150160427807485</v>
      </c>
    </row>
    <row r="751" spans="2:3" x14ac:dyDescent="0.45">
      <c r="B751">
        <v>7490</v>
      </c>
      <c r="C751" s="2">
        <f t="shared" si="11"/>
        <v>3.6101895861148199</v>
      </c>
    </row>
    <row r="752" spans="2:3" x14ac:dyDescent="0.45">
      <c r="B752">
        <v>7500</v>
      </c>
      <c r="C752" s="2">
        <f t="shared" si="11"/>
        <v>3.6053760000000001</v>
      </c>
    </row>
    <row r="753" spans="2:3" x14ac:dyDescent="0.45">
      <c r="B753">
        <v>7510</v>
      </c>
      <c r="C753" s="2">
        <f t="shared" si="11"/>
        <v>3.6005752330226364</v>
      </c>
    </row>
    <row r="754" spans="2:3" x14ac:dyDescent="0.45">
      <c r="B754">
        <v>7520</v>
      </c>
      <c r="C754" s="2">
        <f t="shared" si="11"/>
        <v>3.595787234042553</v>
      </c>
    </row>
    <row r="755" spans="2:3" x14ac:dyDescent="0.45">
      <c r="B755">
        <v>7530</v>
      </c>
      <c r="C755" s="2">
        <f t="shared" si="11"/>
        <v>3.5910119521912351</v>
      </c>
    </row>
    <row r="756" spans="2:3" x14ac:dyDescent="0.45">
      <c r="B756">
        <v>7540</v>
      </c>
      <c r="C756" s="2">
        <f t="shared" si="11"/>
        <v>3.5862493368700266</v>
      </c>
    </row>
    <row r="757" spans="2:3" x14ac:dyDescent="0.45">
      <c r="B757">
        <v>7550</v>
      </c>
      <c r="C757" s="2">
        <f t="shared" si="11"/>
        <v>3.5814993377483444</v>
      </c>
    </row>
    <row r="758" spans="2:3" x14ac:dyDescent="0.45">
      <c r="B758">
        <v>7560</v>
      </c>
      <c r="C758" s="2">
        <f t="shared" si="11"/>
        <v>3.5767619047619048</v>
      </c>
    </row>
    <row r="759" spans="2:3" x14ac:dyDescent="0.45">
      <c r="B759">
        <v>7570</v>
      </c>
      <c r="C759" s="2">
        <f t="shared" si="11"/>
        <v>3.5720369881109644</v>
      </c>
    </row>
    <row r="760" spans="2:3" x14ac:dyDescent="0.45">
      <c r="B760">
        <v>7580</v>
      </c>
      <c r="C760" s="2">
        <f t="shared" si="11"/>
        <v>3.5673245382585752</v>
      </c>
    </row>
    <row r="761" spans="2:3" x14ac:dyDescent="0.45">
      <c r="B761">
        <v>7590</v>
      </c>
      <c r="C761" s="2">
        <f t="shared" si="11"/>
        <v>3.5626245059288539</v>
      </c>
    </row>
    <row r="762" spans="2:3" x14ac:dyDescent="0.45">
      <c r="B762">
        <v>7600</v>
      </c>
      <c r="C762" s="2">
        <f t="shared" si="11"/>
        <v>3.5579368421052631</v>
      </c>
    </row>
    <row r="763" spans="2:3" x14ac:dyDescent="0.45">
      <c r="B763">
        <v>7610</v>
      </c>
      <c r="C763" s="2">
        <f t="shared" si="11"/>
        <v>3.5532614980289092</v>
      </c>
    </row>
    <row r="764" spans="2:3" x14ac:dyDescent="0.45">
      <c r="B764">
        <v>7620</v>
      </c>
      <c r="C764" s="2">
        <f t="shared" si="11"/>
        <v>3.5485984251968503</v>
      </c>
    </row>
    <row r="765" spans="2:3" x14ac:dyDescent="0.45">
      <c r="B765">
        <v>7630</v>
      </c>
      <c r="C765" s="2">
        <f t="shared" si="11"/>
        <v>3.5439475753604195</v>
      </c>
    </row>
    <row r="766" spans="2:3" x14ac:dyDescent="0.45">
      <c r="B766">
        <v>7640</v>
      </c>
      <c r="C766" s="2">
        <f t="shared" si="11"/>
        <v>3.5393089005235603</v>
      </c>
    </row>
    <row r="767" spans="2:3" x14ac:dyDescent="0.45">
      <c r="B767">
        <v>7650</v>
      </c>
      <c r="C767" s="2">
        <f t="shared" si="11"/>
        <v>3.5346823529411764</v>
      </c>
    </row>
    <row r="768" spans="2:3" x14ac:dyDescent="0.45">
      <c r="B768">
        <v>7660</v>
      </c>
      <c r="C768" s="2">
        <f t="shared" si="11"/>
        <v>3.5300678851174934</v>
      </c>
    </row>
    <row r="769" spans="2:3" x14ac:dyDescent="0.45">
      <c r="B769">
        <v>7670</v>
      </c>
      <c r="C769" s="2">
        <f t="shared" si="11"/>
        <v>3.5254654498044329</v>
      </c>
    </row>
    <row r="770" spans="2:3" x14ac:dyDescent="0.45">
      <c r="B770">
        <v>7680</v>
      </c>
      <c r="C770" s="2">
        <f t="shared" si="11"/>
        <v>3.5208749999999998</v>
      </c>
    </row>
    <row r="771" spans="2:3" x14ac:dyDescent="0.45">
      <c r="B771">
        <v>7690</v>
      </c>
      <c r="C771" s="2">
        <f t="shared" ref="C771:C834" si="12">$A$2/B771</f>
        <v>3.5162964889466841</v>
      </c>
    </row>
    <row r="772" spans="2:3" x14ac:dyDescent="0.45">
      <c r="B772">
        <v>7700</v>
      </c>
      <c r="C772" s="2">
        <f t="shared" si="12"/>
        <v>3.5117298701298703</v>
      </c>
    </row>
    <row r="773" spans="2:3" x14ac:dyDescent="0.45">
      <c r="B773">
        <v>7710</v>
      </c>
      <c r="C773" s="2">
        <f t="shared" si="12"/>
        <v>3.5071750972762645</v>
      </c>
    </row>
    <row r="774" spans="2:3" x14ac:dyDescent="0.45">
      <c r="B774">
        <v>7720</v>
      </c>
      <c r="C774" s="2">
        <f t="shared" si="12"/>
        <v>3.5026321243523317</v>
      </c>
    </row>
    <row r="775" spans="2:3" x14ac:dyDescent="0.45">
      <c r="B775">
        <v>7730</v>
      </c>
      <c r="C775" s="2">
        <f t="shared" si="12"/>
        <v>3.4981009055627426</v>
      </c>
    </row>
    <row r="776" spans="2:3" x14ac:dyDescent="0.45">
      <c r="B776">
        <v>7740</v>
      </c>
      <c r="C776" s="2">
        <f t="shared" si="12"/>
        <v>3.493581395348837</v>
      </c>
    </row>
    <row r="777" spans="2:3" x14ac:dyDescent="0.45">
      <c r="B777">
        <v>7750</v>
      </c>
      <c r="C777" s="2">
        <f t="shared" si="12"/>
        <v>3.4890735483870969</v>
      </c>
    </row>
    <row r="778" spans="2:3" x14ac:dyDescent="0.45">
      <c r="B778">
        <v>7760</v>
      </c>
      <c r="C778" s="2">
        <f t="shared" si="12"/>
        <v>3.4845773195876286</v>
      </c>
    </row>
    <row r="779" spans="2:3" x14ac:dyDescent="0.45">
      <c r="B779">
        <v>7770</v>
      </c>
      <c r="C779" s="2">
        <f t="shared" si="12"/>
        <v>3.4800926640926639</v>
      </c>
    </row>
    <row r="780" spans="2:3" x14ac:dyDescent="0.45">
      <c r="B780">
        <v>7780</v>
      </c>
      <c r="C780" s="2">
        <f t="shared" si="12"/>
        <v>3.475619537275064</v>
      </c>
    </row>
    <row r="781" spans="2:3" x14ac:dyDescent="0.45">
      <c r="B781">
        <v>7790</v>
      </c>
      <c r="C781" s="2">
        <f t="shared" si="12"/>
        <v>3.4711578947368422</v>
      </c>
    </row>
    <row r="782" spans="2:3" x14ac:dyDescent="0.45">
      <c r="B782">
        <v>7800</v>
      </c>
      <c r="C782" s="2">
        <f t="shared" si="12"/>
        <v>3.4667076923076925</v>
      </c>
    </row>
    <row r="783" spans="2:3" x14ac:dyDescent="0.45">
      <c r="B783">
        <v>7810</v>
      </c>
      <c r="C783" s="2">
        <f t="shared" si="12"/>
        <v>3.462268886043534</v>
      </c>
    </row>
    <row r="784" spans="2:3" x14ac:dyDescent="0.45">
      <c r="B784">
        <v>7820</v>
      </c>
      <c r="C784" s="2">
        <f t="shared" si="12"/>
        <v>3.4578414322250639</v>
      </c>
    </row>
    <row r="785" spans="2:3" x14ac:dyDescent="0.45">
      <c r="B785">
        <v>7830</v>
      </c>
      <c r="C785" s="2">
        <f t="shared" si="12"/>
        <v>3.4534252873563216</v>
      </c>
    </row>
    <row r="786" spans="2:3" x14ac:dyDescent="0.45">
      <c r="B786">
        <v>7840</v>
      </c>
      <c r="C786" s="2">
        <f t="shared" si="12"/>
        <v>3.4490204081632654</v>
      </c>
    </row>
    <row r="787" spans="2:3" x14ac:dyDescent="0.45">
      <c r="B787">
        <v>7850</v>
      </c>
      <c r="C787" s="2">
        <f t="shared" si="12"/>
        <v>3.4446267515923568</v>
      </c>
    </row>
    <row r="788" spans="2:3" x14ac:dyDescent="0.45">
      <c r="B788">
        <v>7860</v>
      </c>
      <c r="C788" s="2">
        <f t="shared" si="12"/>
        <v>3.4402442748091602</v>
      </c>
    </row>
    <row r="789" spans="2:3" x14ac:dyDescent="0.45">
      <c r="B789">
        <v>7870</v>
      </c>
      <c r="C789" s="2">
        <f t="shared" si="12"/>
        <v>3.4358729351969504</v>
      </c>
    </row>
    <row r="790" spans="2:3" x14ac:dyDescent="0.45">
      <c r="B790">
        <v>7880</v>
      </c>
      <c r="C790" s="2">
        <f t="shared" si="12"/>
        <v>3.4315126903553299</v>
      </c>
    </row>
    <row r="791" spans="2:3" x14ac:dyDescent="0.45">
      <c r="B791">
        <v>7890</v>
      </c>
      <c r="C791" s="2">
        <f t="shared" si="12"/>
        <v>3.4271634980988592</v>
      </c>
    </row>
    <row r="792" spans="2:3" x14ac:dyDescent="0.45">
      <c r="B792">
        <v>7900</v>
      </c>
      <c r="C792" s="2">
        <f t="shared" si="12"/>
        <v>3.4228253164556963</v>
      </c>
    </row>
    <row r="793" spans="2:3" x14ac:dyDescent="0.45">
      <c r="B793">
        <v>7910</v>
      </c>
      <c r="C793" s="2">
        <f t="shared" si="12"/>
        <v>3.4184981036662454</v>
      </c>
    </row>
    <row r="794" spans="2:3" x14ac:dyDescent="0.45">
      <c r="B794">
        <v>7920</v>
      </c>
      <c r="C794" s="2">
        <f t="shared" si="12"/>
        <v>3.414181818181818</v>
      </c>
    </row>
    <row r="795" spans="2:3" x14ac:dyDescent="0.45">
      <c r="B795">
        <v>7930</v>
      </c>
      <c r="C795" s="2">
        <f t="shared" si="12"/>
        <v>3.4098764186633037</v>
      </c>
    </row>
    <row r="796" spans="2:3" x14ac:dyDescent="0.45">
      <c r="B796">
        <v>7940</v>
      </c>
      <c r="C796" s="2">
        <f t="shared" si="12"/>
        <v>3.4055818639798487</v>
      </c>
    </row>
    <row r="797" spans="2:3" x14ac:dyDescent="0.45">
      <c r="B797">
        <v>7950</v>
      </c>
      <c r="C797" s="2">
        <f t="shared" si="12"/>
        <v>3.401298113207547</v>
      </c>
    </row>
    <row r="798" spans="2:3" x14ac:dyDescent="0.45">
      <c r="B798">
        <v>7960</v>
      </c>
      <c r="C798" s="2">
        <f t="shared" si="12"/>
        <v>3.3970251256281405</v>
      </c>
    </row>
    <row r="799" spans="2:3" x14ac:dyDescent="0.45">
      <c r="B799">
        <v>7970</v>
      </c>
      <c r="C799" s="2">
        <f t="shared" si="12"/>
        <v>3.3927628607277289</v>
      </c>
    </row>
    <row r="800" spans="2:3" x14ac:dyDescent="0.45">
      <c r="B800">
        <v>7980</v>
      </c>
      <c r="C800" s="2">
        <f t="shared" si="12"/>
        <v>3.3885112781954887</v>
      </c>
    </row>
    <row r="801" spans="2:3" x14ac:dyDescent="0.45">
      <c r="B801">
        <v>7990</v>
      </c>
      <c r="C801" s="2">
        <f t="shared" si="12"/>
        <v>3.3842703379224028</v>
      </c>
    </row>
    <row r="802" spans="2:3" x14ac:dyDescent="0.45">
      <c r="B802">
        <v>8000</v>
      </c>
      <c r="C802" s="2">
        <f t="shared" si="12"/>
        <v>3.3800400000000002</v>
      </c>
    </row>
    <row r="803" spans="2:3" x14ac:dyDescent="0.45">
      <c r="B803">
        <v>8010</v>
      </c>
      <c r="C803" s="2">
        <f t="shared" si="12"/>
        <v>3.3758202247191011</v>
      </c>
    </row>
    <row r="804" spans="2:3" x14ac:dyDescent="0.45">
      <c r="B804">
        <v>8020</v>
      </c>
      <c r="C804" s="2">
        <f t="shared" si="12"/>
        <v>3.3716109725685786</v>
      </c>
    </row>
    <row r="805" spans="2:3" x14ac:dyDescent="0.45">
      <c r="B805">
        <v>8030</v>
      </c>
      <c r="C805" s="2">
        <f t="shared" si="12"/>
        <v>3.3674122042341219</v>
      </c>
    </row>
    <row r="806" spans="2:3" x14ac:dyDescent="0.45">
      <c r="B806">
        <v>8040</v>
      </c>
      <c r="C806" s="2">
        <f t="shared" si="12"/>
        <v>3.3632238805970149</v>
      </c>
    </row>
    <row r="807" spans="2:3" x14ac:dyDescent="0.45">
      <c r="B807">
        <v>8050</v>
      </c>
      <c r="C807" s="2">
        <f t="shared" si="12"/>
        <v>3.3590459627329192</v>
      </c>
    </row>
    <row r="808" spans="2:3" x14ac:dyDescent="0.45">
      <c r="B808">
        <v>8060</v>
      </c>
      <c r="C808" s="2">
        <f t="shared" si="12"/>
        <v>3.3548784119106698</v>
      </c>
    </row>
    <row r="809" spans="2:3" x14ac:dyDescent="0.45">
      <c r="B809">
        <v>8070</v>
      </c>
      <c r="C809" s="2">
        <f t="shared" si="12"/>
        <v>3.350721189591078</v>
      </c>
    </row>
    <row r="810" spans="2:3" x14ac:dyDescent="0.45">
      <c r="B810">
        <v>8080</v>
      </c>
      <c r="C810" s="2">
        <f t="shared" si="12"/>
        <v>3.3465742574257424</v>
      </c>
    </row>
    <row r="811" spans="2:3" x14ac:dyDescent="0.45">
      <c r="B811">
        <v>8090</v>
      </c>
      <c r="C811" s="2">
        <f t="shared" si="12"/>
        <v>3.3424375772558714</v>
      </c>
    </row>
    <row r="812" spans="2:3" x14ac:dyDescent="0.45">
      <c r="B812">
        <v>8100</v>
      </c>
      <c r="C812" s="2">
        <f t="shared" si="12"/>
        <v>3.338311111111111</v>
      </c>
    </row>
    <row r="813" spans="2:3" x14ac:dyDescent="0.45">
      <c r="B813">
        <v>8110</v>
      </c>
      <c r="C813" s="2">
        <f t="shared" si="12"/>
        <v>3.3341948212083845</v>
      </c>
    </row>
    <row r="814" spans="2:3" x14ac:dyDescent="0.45">
      <c r="B814">
        <v>8120</v>
      </c>
      <c r="C814" s="2">
        <f t="shared" si="12"/>
        <v>3.3300886699507388</v>
      </c>
    </row>
    <row r="815" spans="2:3" x14ac:dyDescent="0.45">
      <c r="B815">
        <v>8130</v>
      </c>
      <c r="C815" s="2">
        <f t="shared" si="12"/>
        <v>3.3259926199261991</v>
      </c>
    </row>
    <row r="816" spans="2:3" x14ac:dyDescent="0.45">
      <c r="B816">
        <v>8140</v>
      </c>
      <c r="C816" s="2">
        <f t="shared" si="12"/>
        <v>3.3219066339066337</v>
      </c>
    </row>
    <row r="817" spans="2:3" x14ac:dyDescent="0.45">
      <c r="B817">
        <v>8150</v>
      </c>
      <c r="C817" s="2">
        <f t="shared" si="12"/>
        <v>3.3178306748466255</v>
      </c>
    </row>
    <row r="818" spans="2:3" x14ac:dyDescent="0.45">
      <c r="B818">
        <v>8160</v>
      </c>
      <c r="C818" s="2">
        <f t="shared" si="12"/>
        <v>3.3137647058823529</v>
      </c>
    </row>
    <row r="819" spans="2:3" x14ac:dyDescent="0.45">
      <c r="B819">
        <v>8170</v>
      </c>
      <c r="C819" s="2">
        <f t="shared" si="12"/>
        <v>3.3097086903304773</v>
      </c>
    </row>
    <row r="820" spans="2:3" x14ac:dyDescent="0.45">
      <c r="B820">
        <v>8180</v>
      </c>
      <c r="C820" s="2">
        <f t="shared" si="12"/>
        <v>3.3056625916870415</v>
      </c>
    </row>
    <row r="821" spans="2:3" x14ac:dyDescent="0.45">
      <c r="B821">
        <v>8190</v>
      </c>
      <c r="C821" s="2">
        <f t="shared" si="12"/>
        <v>3.3016263736263736</v>
      </c>
    </row>
    <row r="822" spans="2:3" x14ac:dyDescent="0.45">
      <c r="B822">
        <v>8200</v>
      </c>
      <c r="C822" s="2">
        <f t="shared" si="12"/>
        <v>3.2976000000000001</v>
      </c>
    </row>
    <row r="823" spans="2:3" x14ac:dyDescent="0.45">
      <c r="B823">
        <v>8210</v>
      </c>
      <c r="C823" s="2">
        <f t="shared" si="12"/>
        <v>3.2935834348355661</v>
      </c>
    </row>
    <row r="824" spans="2:3" x14ac:dyDescent="0.45">
      <c r="B824">
        <v>8220</v>
      </c>
      <c r="C824" s="2">
        <f t="shared" si="12"/>
        <v>3.2895766423357662</v>
      </c>
    </row>
    <row r="825" spans="2:3" x14ac:dyDescent="0.45">
      <c r="B825">
        <v>8230</v>
      </c>
      <c r="C825" s="2">
        <f t="shared" si="12"/>
        <v>3.2855795868772781</v>
      </c>
    </row>
    <row r="826" spans="2:3" x14ac:dyDescent="0.45">
      <c r="B826">
        <v>8240</v>
      </c>
      <c r="C826" s="2">
        <f t="shared" si="12"/>
        <v>3.2815922330097087</v>
      </c>
    </row>
    <row r="827" spans="2:3" x14ac:dyDescent="0.45">
      <c r="B827">
        <v>8250</v>
      </c>
      <c r="C827" s="2">
        <f t="shared" si="12"/>
        <v>3.2776145454545453</v>
      </c>
    </row>
    <row r="828" spans="2:3" x14ac:dyDescent="0.45">
      <c r="B828">
        <v>8260</v>
      </c>
      <c r="C828" s="2">
        <f t="shared" si="12"/>
        <v>3.2736464891041162</v>
      </c>
    </row>
    <row r="829" spans="2:3" x14ac:dyDescent="0.45">
      <c r="B829">
        <v>8270</v>
      </c>
      <c r="C829" s="2">
        <f t="shared" si="12"/>
        <v>3.2696880290205561</v>
      </c>
    </row>
    <row r="830" spans="2:3" x14ac:dyDescent="0.45">
      <c r="B830">
        <v>8280</v>
      </c>
      <c r="C830" s="2">
        <f t="shared" si="12"/>
        <v>3.2657391304347825</v>
      </c>
    </row>
    <row r="831" spans="2:3" x14ac:dyDescent="0.45">
      <c r="B831">
        <v>8290</v>
      </c>
      <c r="C831" s="2">
        <f t="shared" si="12"/>
        <v>3.2617997587454766</v>
      </c>
    </row>
    <row r="832" spans="2:3" x14ac:dyDescent="0.45">
      <c r="B832">
        <v>8300</v>
      </c>
      <c r="C832" s="2">
        <f t="shared" si="12"/>
        <v>3.2578698795180721</v>
      </c>
    </row>
    <row r="833" spans="2:3" x14ac:dyDescent="0.45">
      <c r="B833">
        <v>8310</v>
      </c>
      <c r="C833" s="2">
        <f t="shared" si="12"/>
        <v>3.2539494584837545</v>
      </c>
    </row>
    <row r="834" spans="2:3" x14ac:dyDescent="0.45">
      <c r="B834">
        <v>8320</v>
      </c>
      <c r="C834" s="2">
        <f t="shared" si="12"/>
        <v>3.2500384615384617</v>
      </c>
    </row>
    <row r="835" spans="2:3" x14ac:dyDescent="0.45">
      <c r="B835">
        <v>8330</v>
      </c>
      <c r="C835" s="2">
        <f t="shared" ref="C835:C898" si="13">$A$2/B835</f>
        <v>3.2461368547418967</v>
      </c>
    </row>
    <row r="836" spans="2:3" x14ac:dyDescent="0.45">
      <c r="B836">
        <v>8340</v>
      </c>
      <c r="C836" s="2">
        <f t="shared" si="13"/>
        <v>3.2422446043165469</v>
      </c>
    </row>
    <row r="837" spans="2:3" x14ac:dyDescent="0.45">
      <c r="B837">
        <v>8350</v>
      </c>
      <c r="C837" s="2">
        <f t="shared" si="13"/>
        <v>3.2383616766467065</v>
      </c>
    </row>
    <row r="838" spans="2:3" x14ac:dyDescent="0.45">
      <c r="B838">
        <v>8360</v>
      </c>
      <c r="C838" s="2">
        <f t="shared" si="13"/>
        <v>3.2344880382775121</v>
      </c>
    </row>
    <row r="839" spans="2:3" x14ac:dyDescent="0.45">
      <c r="B839">
        <v>8370</v>
      </c>
      <c r="C839" s="2">
        <f t="shared" si="13"/>
        <v>3.2306236559139783</v>
      </c>
    </row>
    <row r="840" spans="2:3" x14ac:dyDescent="0.45">
      <c r="B840">
        <v>8380</v>
      </c>
      <c r="C840" s="2">
        <f t="shared" si="13"/>
        <v>3.2267684964200476</v>
      </c>
    </row>
    <row r="841" spans="2:3" x14ac:dyDescent="0.45">
      <c r="B841">
        <v>8390</v>
      </c>
      <c r="C841" s="2">
        <f t="shared" si="13"/>
        <v>3.2229225268176398</v>
      </c>
    </row>
    <row r="842" spans="2:3" x14ac:dyDescent="0.45">
      <c r="B842">
        <v>8400</v>
      </c>
      <c r="C842" s="2">
        <f t="shared" si="13"/>
        <v>3.2190857142857143</v>
      </c>
    </row>
    <row r="843" spans="2:3" x14ac:dyDescent="0.45">
      <c r="B843">
        <v>8410</v>
      </c>
      <c r="C843" s="2">
        <f t="shared" si="13"/>
        <v>3.2152580261593342</v>
      </c>
    </row>
    <row r="844" spans="2:3" x14ac:dyDescent="0.45">
      <c r="B844">
        <v>8420</v>
      </c>
      <c r="C844" s="2">
        <f t="shared" si="13"/>
        <v>3.211439429928741</v>
      </c>
    </row>
    <row r="845" spans="2:3" x14ac:dyDescent="0.45">
      <c r="B845">
        <v>8430</v>
      </c>
      <c r="C845" s="2">
        <f t="shared" si="13"/>
        <v>3.2076298932384342</v>
      </c>
    </row>
    <row r="846" spans="2:3" x14ac:dyDescent="0.45">
      <c r="B846">
        <v>8440</v>
      </c>
      <c r="C846" s="2">
        <f t="shared" si="13"/>
        <v>3.2038293838862559</v>
      </c>
    </row>
    <row r="847" spans="2:3" x14ac:dyDescent="0.45">
      <c r="B847">
        <v>8450</v>
      </c>
      <c r="C847" s="2">
        <f t="shared" si="13"/>
        <v>3.2000378698224852</v>
      </c>
    </row>
    <row r="848" spans="2:3" x14ac:dyDescent="0.45">
      <c r="B848">
        <v>8460</v>
      </c>
      <c r="C848" s="2">
        <f t="shared" si="13"/>
        <v>3.196255319148936</v>
      </c>
    </row>
    <row r="849" spans="2:3" x14ac:dyDescent="0.45">
      <c r="B849">
        <v>8470</v>
      </c>
      <c r="C849" s="2">
        <f t="shared" si="13"/>
        <v>3.1924817001180639</v>
      </c>
    </row>
    <row r="850" spans="2:3" x14ac:dyDescent="0.45">
      <c r="B850">
        <v>8480</v>
      </c>
      <c r="C850" s="2">
        <f t="shared" si="13"/>
        <v>3.1887169811320755</v>
      </c>
    </row>
    <row r="851" spans="2:3" x14ac:dyDescent="0.45">
      <c r="B851">
        <v>8490</v>
      </c>
      <c r="C851" s="2">
        <f t="shared" si="13"/>
        <v>3.1849611307420496</v>
      </c>
    </row>
    <row r="852" spans="2:3" x14ac:dyDescent="0.45">
      <c r="B852">
        <v>8500</v>
      </c>
      <c r="C852" s="2">
        <f t="shared" si="13"/>
        <v>3.181214117647059</v>
      </c>
    </row>
    <row r="853" spans="2:3" x14ac:dyDescent="0.45">
      <c r="B853">
        <v>8510</v>
      </c>
      <c r="C853" s="2">
        <f t="shared" si="13"/>
        <v>3.1774759106933019</v>
      </c>
    </row>
    <row r="854" spans="2:3" x14ac:dyDescent="0.45">
      <c r="B854">
        <v>8520</v>
      </c>
      <c r="C854" s="2">
        <f t="shared" si="13"/>
        <v>3.1737464788732392</v>
      </c>
    </row>
    <row r="855" spans="2:3" x14ac:dyDescent="0.45">
      <c r="B855">
        <v>8530</v>
      </c>
      <c r="C855" s="2">
        <f t="shared" si="13"/>
        <v>3.1700257913247363</v>
      </c>
    </row>
    <row r="856" spans="2:3" x14ac:dyDescent="0.45">
      <c r="B856">
        <v>8540</v>
      </c>
      <c r="C856" s="2">
        <f t="shared" si="13"/>
        <v>3.1663138173302108</v>
      </c>
    </row>
    <row r="857" spans="2:3" x14ac:dyDescent="0.45">
      <c r="B857">
        <v>8550</v>
      </c>
      <c r="C857" s="2">
        <f t="shared" si="13"/>
        <v>3.1626105263157895</v>
      </c>
    </row>
    <row r="858" spans="2:3" x14ac:dyDescent="0.45">
      <c r="B858">
        <v>8560</v>
      </c>
      <c r="C858" s="2">
        <f t="shared" si="13"/>
        <v>3.1589158878504673</v>
      </c>
    </row>
    <row r="859" spans="2:3" x14ac:dyDescent="0.45">
      <c r="B859">
        <v>8570</v>
      </c>
      <c r="C859" s="2">
        <f t="shared" si="13"/>
        <v>3.155229871645274</v>
      </c>
    </row>
    <row r="860" spans="2:3" x14ac:dyDescent="0.45">
      <c r="B860">
        <v>8580</v>
      </c>
      <c r="C860" s="2">
        <f t="shared" si="13"/>
        <v>3.1515524475524477</v>
      </c>
    </row>
    <row r="861" spans="2:3" x14ac:dyDescent="0.45">
      <c r="B861">
        <v>8590</v>
      </c>
      <c r="C861" s="2">
        <f t="shared" si="13"/>
        <v>3.1478835855646099</v>
      </c>
    </row>
    <row r="862" spans="2:3" x14ac:dyDescent="0.45">
      <c r="B862">
        <v>8600</v>
      </c>
      <c r="C862" s="2">
        <f t="shared" si="13"/>
        <v>3.1442232558139533</v>
      </c>
    </row>
    <row r="863" spans="2:3" x14ac:dyDescent="0.45">
      <c r="B863">
        <v>8610</v>
      </c>
      <c r="C863" s="2">
        <f t="shared" si="13"/>
        <v>3.1405714285714286</v>
      </c>
    </row>
    <row r="864" spans="2:3" x14ac:dyDescent="0.45">
      <c r="B864">
        <v>8620</v>
      </c>
      <c r="C864" s="2">
        <f t="shared" si="13"/>
        <v>3.1369280742459398</v>
      </c>
    </row>
    <row r="865" spans="2:3" x14ac:dyDescent="0.45">
      <c r="B865">
        <v>8630</v>
      </c>
      <c r="C865" s="2">
        <f t="shared" si="13"/>
        <v>3.1332931633835459</v>
      </c>
    </row>
    <row r="866" spans="2:3" x14ac:dyDescent="0.45">
      <c r="B866">
        <v>8640</v>
      </c>
      <c r="C866" s="2">
        <f t="shared" si="13"/>
        <v>3.1296666666666666</v>
      </c>
    </row>
    <row r="867" spans="2:3" x14ac:dyDescent="0.45">
      <c r="B867">
        <v>8650</v>
      </c>
      <c r="C867" s="2">
        <f t="shared" si="13"/>
        <v>3.1260485549132948</v>
      </c>
    </row>
    <row r="868" spans="2:3" x14ac:dyDescent="0.45">
      <c r="B868">
        <v>8660</v>
      </c>
      <c r="C868" s="2">
        <f t="shared" si="13"/>
        <v>3.1224387990762126</v>
      </c>
    </row>
    <row r="869" spans="2:3" x14ac:dyDescent="0.45">
      <c r="B869">
        <v>8670</v>
      </c>
      <c r="C869" s="2">
        <f t="shared" si="13"/>
        <v>3.1188373702422143</v>
      </c>
    </row>
    <row r="870" spans="2:3" x14ac:dyDescent="0.45">
      <c r="B870">
        <v>8680</v>
      </c>
      <c r="C870" s="2">
        <f t="shared" si="13"/>
        <v>3.1152442396313362</v>
      </c>
    </row>
    <row r="871" spans="2:3" x14ac:dyDescent="0.45">
      <c r="B871">
        <v>8690</v>
      </c>
      <c r="C871" s="2">
        <f t="shared" si="13"/>
        <v>3.1116593785960873</v>
      </c>
    </row>
    <row r="872" spans="2:3" x14ac:dyDescent="0.45">
      <c r="B872">
        <v>8700</v>
      </c>
      <c r="C872" s="2">
        <f t="shared" si="13"/>
        <v>3.1080827586206898</v>
      </c>
    </row>
    <row r="873" spans="2:3" x14ac:dyDescent="0.45">
      <c r="B873">
        <v>8710</v>
      </c>
      <c r="C873" s="2">
        <f t="shared" si="13"/>
        <v>3.1045143513203213</v>
      </c>
    </row>
    <row r="874" spans="2:3" x14ac:dyDescent="0.45">
      <c r="B874">
        <v>8720</v>
      </c>
      <c r="C874" s="2">
        <f t="shared" si="13"/>
        <v>3.100954128440367</v>
      </c>
    </row>
    <row r="875" spans="2:3" x14ac:dyDescent="0.45">
      <c r="B875">
        <v>8730</v>
      </c>
      <c r="C875" s="2">
        <f t="shared" si="13"/>
        <v>3.0974020618556701</v>
      </c>
    </row>
    <row r="876" spans="2:3" x14ac:dyDescent="0.45">
      <c r="B876">
        <v>8740</v>
      </c>
      <c r="C876" s="2">
        <f t="shared" si="13"/>
        <v>3.0938581235697939</v>
      </c>
    </row>
    <row r="877" spans="2:3" x14ac:dyDescent="0.45">
      <c r="B877">
        <v>8750</v>
      </c>
      <c r="C877" s="2">
        <f t="shared" si="13"/>
        <v>3.0903222857142856</v>
      </c>
    </row>
    <row r="878" spans="2:3" x14ac:dyDescent="0.45">
      <c r="B878">
        <v>8760</v>
      </c>
      <c r="C878" s="2">
        <f t="shared" si="13"/>
        <v>3.086794520547945</v>
      </c>
    </row>
    <row r="879" spans="2:3" x14ac:dyDescent="0.45">
      <c r="B879">
        <v>8770</v>
      </c>
      <c r="C879" s="2">
        <f t="shared" si="13"/>
        <v>3.0832748004561004</v>
      </c>
    </row>
    <row r="880" spans="2:3" x14ac:dyDescent="0.45">
      <c r="B880">
        <v>8780</v>
      </c>
      <c r="C880" s="2">
        <f t="shared" si="13"/>
        <v>3.0797630979498862</v>
      </c>
    </row>
    <row r="881" spans="2:3" x14ac:dyDescent="0.45">
      <c r="B881">
        <v>8790</v>
      </c>
      <c r="C881" s="2">
        <f t="shared" si="13"/>
        <v>3.0762593856655291</v>
      </c>
    </row>
    <row r="882" spans="2:3" x14ac:dyDescent="0.45">
      <c r="B882">
        <v>8800</v>
      </c>
      <c r="C882" s="2">
        <f t="shared" si="13"/>
        <v>3.0727636363636361</v>
      </c>
    </row>
    <row r="883" spans="2:3" x14ac:dyDescent="0.45">
      <c r="B883">
        <v>8810</v>
      </c>
      <c r="C883" s="2">
        <f t="shared" si="13"/>
        <v>3.0692758229284904</v>
      </c>
    </row>
    <row r="884" spans="2:3" x14ac:dyDescent="0.45">
      <c r="B884">
        <v>8820</v>
      </c>
      <c r="C884" s="2">
        <f t="shared" si="13"/>
        <v>3.0657959183673471</v>
      </c>
    </row>
    <row r="885" spans="2:3" x14ac:dyDescent="0.45">
      <c r="B885">
        <v>8830</v>
      </c>
      <c r="C885" s="2">
        <f t="shared" si="13"/>
        <v>3.0623238958097394</v>
      </c>
    </row>
    <row r="886" spans="2:3" x14ac:dyDescent="0.45">
      <c r="B886">
        <v>8840</v>
      </c>
      <c r="C886" s="2">
        <f t="shared" si="13"/>
        <v>3.0588597285067873</v>
      </c>
    </row>
    <row r="887" spans="2:3" x14ac:dyDescent="0.45">
      <c r="B887">
        <v>8850</v>
      </c>
      <c r="C887" s="2">
        <f t="shared" si="13"/>
        <v>3.0554033898305084</v>
      </c>
    </row>
    <row r="888" spans="2:3" x14ac:dyDescent="0.45">
      <c r="B888">
        <v>8860</v>
      </c>
      <c r="C888" s="2">
        <f t="shared" si="13"/>
        <v>3.0519548532731378</v>
      </c>
    </row>
    <row r="889" spans="2:3" x14ac:dyDescent="0.45">
      <c r="B889">
        <v>8870</v>
      </c>
      <c r="C889" s="2">
        <f t="shared" si="13"/>
        <v>3.0485140924464487</v>
      </c>
    </row>
    <row r="890" spans="2:3" x14ac:dyDescent="0.45">
      <c r="B890">
        <v>8880</v>
      </c>
      <c r="C890" s="2">
        <f t="shared" si="13"/>
        <v>3.0450810810810811</v>
      </c>
    </row>
    <row r="891" spans="2:3" x14ac:dyDescent="0.45">
      <c r="B891">
        <v>8890</v>
      </c>
      <c r="C891" s="2">
        <f t="shared" si="13"/>
        <v>3.0416557930258716</v>
      </c>
    </row>
    <row r="892" spans="2:3" x14ac:dyDescent="0.45">
      <c r="B892">
        <v>8900</v>
      </c>
      <c r="C892" s="2">
        <f t="shared" si="13"/>
        <v>3.0382382022471908</v>
      </c>
    </row>
    <row r="893" spans="2:3" x14ac:dyDescent="0.45">
      <c r="B893">
        <v>8910</v>
      </c>
      <c r="C893" s="2">
        <f t="shared" si="13"/>
        <v>3.0348282828282827</v>
      </c>
    </row>
    <row r="894" spans="2:3" x14ac:dyDescent="0.45">
      <c r="B894">
        <v>8920</v>
      </c>
      <c r="C894" s="2">
        <f t="shared" si="13"/>
        <v>3.03142600896861</v>
      </c>
    </row>
    <row r="895" spans="2:3" x14ac:dyDescent="0.45">
      <c r="B895">
        <v>8930</v>
      </c>
      <c r="C895" s="2">
        <f t="shared" si="13"/>
        <v>3.0280313549832027</v>
      </c>
    </row>
    <row r="896" spans="2:3" x14ac:dyDescent="0.45">
      <c r="B896">
        <v>8940</v>
      </c>
      <c r="C896" s="2">
        <f t="shared" si="13"/>
        <v>3.0246442953020134</v>
      </c>
    </row>
    <row r="897" spans="2:3" x14ac:dyDescent="0.45">
      <c r="B897">
        <v>8950</v>
      </c>
      <c r="C897" s="2">
        <f t="shared" si="13"/>
        <v>3.0212648044692738</v>
      </c>
    </row>
    <row r="898" spans="2:3" x14ac:dyDescent="0.45">
      <c r="B898">
        <v>8960</v>
      </c>
      <c r="C898" s="2">
        <f t="shared" si="13"/>
        <v>3.0178928571428569</v>
      </c>
    </row>
    <row r="899" spans="2:3" x14ac:dyDescent="0.45">
      <c r="B899">
        <v>8970</v>
      </c>
      <c r="C899" s="2">
        <f t="shared" ref="C899:C962" si="14">$A$2/B899</f>
        <v>3.0145284280936453</v>
      </c>
    </row>
    <row r="900" spans="2:3" x14ac:dyDescent="0.45">
      <c r="B900">
        <v>8980</v>
      </c>
      <c r="C900" s="2">
        <f t="shared" si="14"/>
        <v>3.0111714922048995</v>
      </c>
    </row>
    <row r="901" spans="2:3" x14ac:dyDescent="0.45">
      <c r="B901">
        <v>8990</v>
      </c>
      <c r="C901" s="2">
        <f t="shared" si="14"/>
        <v>3.0078220244716349</v>
      </c>
    </row>
    <row r="902" spans="2:3" x14ac:dyDescent="0.45">
      <c r="B902">
        <v>9000</v>
      </c>
      <c r="C902" s="2">
        <f t="shared" si="14"/>
        <v>3.00448</v>
      </c>
    </row>
    <row r="903" spans="2:3" x14ac:dyDescent="0.45">
      <c r="B903">
        <v>9010</v>
      </c>
      <c r="C903" s="2">
        <f t="shared" si="14"/>
        <v>3.001145394006659</v>
      </c>
    </row>
    <row r="904" spans="2:3" x14ac:dyDescent="0.45">
      <c r="B904">
        <v>9020</v>
      </c>
      <c r="C904" s="2">
        <f t="shared" si="14"/>
        <v>2.9978181818181819</v>
      </c>
    </row>
    <row r="905" spans="2:3" x14ac:dyDescent="0.45">
      <c r="B905">
        <v>9030</v>
      </c>
      <c r="C905" s="2">
        <f t="shared" si="14"/>
        <v>2.9944983388704318</v>
      </c>
    </row>
    <row r="906" spans="2:3" x14ac:dyDescent="0.45">
      <c r="B906">
        <v>9040</v>
      </c>
      <c r="C906" s="2">
        <f t="shared" si="14"/>
        <v>2.9911858407079648</v>
      </c>
    </row>
    <row r="907" spans="2:3" x14ac:dyDescent="0.45">
      <c r="B907">
        <v>9050</v>
      </c>
      <c r="C907" s="2">
        <f t="shared" si="14"/>
        <v>2.9878806629834256</v>
      </c>
    </row>
    <row r="908" spans="2:3" x14ac:dyDescent="0.45">
      <c r="B908">
        <v>9060</v>
      </c>
      <c r="C908" s="2">
        <f t="shared" si="14"/>
        <v>2.9845827814569534</v>
      </c>
    </row>
    <row r="909" spans="2:3" x14ac:dyDescent="0.45">
      <c r="B909">
        <v>9070</v>
      </c>
      <c r="C909" s="2">
        <f t="shared" si="14"/>
        <v>2.98129217199559</v>
      </c>
    </row>
    <row r="910" spans="2:3" x14ac:dyDescent="0.45">
      <c r="B910">
        <v>9080</v>
      </c>
      <c r="C910" s="2">
        <f t="shared" si="14"/>
        <v>2.9780088105726872</v>
      </c>
    </row>
    <row r="911" spans="2:3" x14ac:dyDescent="0.45">
      <c r="B911">
        <v>9090</v>
      </c>
      <c r="C911" s="2">
        <f t="shared" si="14"/>
        <v>2.9747326732673267</v>
      </c>
    </row>
    <row r="912" spans="2:3" x14ac:dyDescent="0.45">
      <c r="B912">
        <v>9100</v>
      </c>
      <c r="C912" s="2">
        <f t="shared" si="14"/>
        <v>2.9714637362637362</v>
      </c>
    </row>
    <row r="913" spans="2:3" x14ac:dyDescent="0.45">
      <c r="B913">
        <v>9110</v>
      </c>
      <c r="C913" s="2">
        <f t="shared" si="14"/>
        <v>2.9682019758507137</v>
      </c>
    </row>
    <row r="914" spans="2:3" x14ac:dyDescent="0.45">
      <c r="B914">
        <v>9120</v>
      </c>
      <c r="C914" s="2">
        <f t="shared" si="14"/>
        <v>2.9649473684210528</v>
      </c>
    </row>
    <row r="915" spans="2:3" x14ac:dyDescent="0.45">
      <c r="B915">
        <v>9130</v>
      </c>
      <c r="C915" s="2">
        <f t="shared" si="14"/>
        <v>2.9616998904709746</v>
      </c>
    </row>
    <row r="916" spans="2:3" x14ac:dyDescent="0.45">
      <c r="B916">
        <v>9140</v>
      </c>
      <c r="C916" s="2">
        <f t="shared" si="14"/>
        <v>2.9584595185995624</v>
      </c>
    </row>
    <row r="917" spans="2:3" x14ac:dyDescent="0.45">
      <c r="B917">
        <v>9150</v>
      </c>
      <c r="C917" s="2">
        <f t="shared" si="14"/>
        <v>2.9552262295081966</v>
      </c>
    </row>
    <row r="918" spans="2:3" x14ac:dyDescent="0.45">
      <c r="B918">
        <v>9160</v>
      </c>
      <c r="C918" s="2">
        <f t="shared" si="14"/>
        <v>2.952</v>
      </c>
    </row>
    <row r="919" spans="2:3" x14ac:dyDescent="0.45">
      <c r="B919">
        <v>9170</v>
      </c>
      <c r="C919" s="2">
        <f t="shared" si="14"/>
        <v>2.94878080697928</v>
      </c>
    </row>
    <row r="920" spans="2:3" x14ac:dyDescent="0.45">
      <c r="B920">
        <v>9180</v>
      </c>
      <c r="C920" s="2">
        <f t="shared" si="14"/>
        <v>2.9455686274509802</v>
      </c>
    </row>
    <row r="921" spans="2:3" x14ac:dyDescent="0.45">
      <c r="B921">
        <v>9190</v>
      </c>
      <c r="C921" s="2">
        <f t="shared" si="14"/>
        <v>2.9423634385201307</v>
      </c>
    </row>
    <row r="922" spans="2:3" x14ac:dyDescent="0.45">
      <c r="B922">
        <v>9200</v>
      </c>
      <c r="C922" s="2">
        <f t="shared" si="14"/>
        <v>2.9391652173913041</v>
      </c>
    </row>
    <row r="923" spans="2:3" x14ac:dyDescent="0.45">
      <c r="B923">
        <v>9210</v>
      </c>
      <c r="C923" s="2">
        <f t="shared" si="14"/>
        <v>2.9359739413680783</v>
      </c>
    </row>
    <row r="924" spans="2:3" x14ac:dyDescent="0.45">
      <c r="B924">
        <v>9220</v>
      </c>
      <c r="C924" s="2">
        <f t="shared" si="14"/>
        <v>2.9327895878524943</v>
      </c>
    </row>
    <row r="925" spans="2:3" x14ac:dyDescent="0.45">
      <c r="B925">
        <v>9230</v>
      </c>
      <c r="C925" s="2">
        <f t="shared" si="14"/>
        <v>2.9296121343445285</v>
      </c>
    </row>
    <row r="926" spans="2:3" x14ac:dyDescent="0.45">
      <c r="B926">
        <v>9240</v>
      </c>
      <c r="C926" s="2">
        <f t="shared" si="14"/>
        <v>2.9264415584415584</v>
      </c>
    </row>
    <row r="927" spans="2:3" x14ac:dyDescent="0.45">
      <c r="B927">
        <v>9250</v>
      </c>
      <c r="C927" s="2">
        <f t="shared" si="14"/>
        <v>2.9232778378378379</v>
      </c>
    </row>
    <row r="928" spans="2:3" x14ac:dyDescent="0.45">
      <c r="B928">
        <v>9260</v>
      </c>
      <c r="C928" s="2">
        <f t="shared" si="14"/>
        <v>2.920120950323974</v>
      </c>
    </row>
    <row r="929" spans="2:3" x14ac:dyDescent="0.45">
      <c r="B929">
        <v>9270</v>
      </c>
      <c r="C929" s="2">
        <f t="shared" si="14"/>
        <v>2.9169708737864077</v>
      </c>
    </row>
    <row r="930" spans="2:3" x14ac:dyDescent="0.45">
      <c r="B930">
        <v>9280</v>
      </c>
      <c r="C930" s="2">
        <f t="shared" si="14"/>
        <v>2.9138275862068963</v>
      </c>
    </row>
    <row r="931" spans="2:3" x14ac:dyDescent="0.45">
      <c r="B931">
        <v>9290</v>
      </c>
      <c r="C931" s="2">
        <f t="shared" si="14"/>
        <v>2.910691065662002</v>
      </c>
    </row>
    <row r="932" spans="2:3" x14ac:dyDescent="0.45">
      <c r="B932">
        <v>9300</v>
      </c>
      <c r="C932" s="2">
        <f t="shared" si="14"/>
        <v>2.9075612903225805</v>
      </c>
    </row>
    <row r="933" spans="2:3" x14ac:dyDescent="0.45">
      <c r="B933">
        <v>9310</v>
      </c>
      <c r="C933" s="2">
        <f t="shared" si="14"/>
        <v>2.9044382384532761</v>
      </c>
    </row>
    <row r="934" spans="2:3" x14ac:dyDescent="0.45">
      <c r="B934">
        <v>9320</v>
      </c>
      <c r="C934" s="2">
        <f t="shared" si="14"/>
        <v>2.9013218884120171</v>
      </c>
    </row>
    <row r="935" spans="2:3" x14ac:dyDescent="0.45">
      <c r="B935">
        <v>9330</v>
      </c>
      <c r="C935" s="2">
        <f t="shared" si="14"/>
        <v>2.8982122186495176</v>
      </c>
    </row>
    <row r="936" spans="2:3" x14ac:dyDescent="0.45">
      <c r="B936">
        <v>9340</v>
      </c>
      <c r="C936" s="2">
        <f t="shared" si="14"/>
        <v>2.8951092077087792</v>
      </c>
    </row>
    <row r="937" spans="2:3" x14ac:dyDescent="0.45">
      <c r="B937">
        <v>9350</v>
      </c>
      <c r="C937" s="2">
        <f t="shared" si="14"/>
        <v>2.892012834224599</v>
      </c>
    </row>
    <row r="938" spans="2:3" x14ac:dyDescent="0.45">
      <c r="B938">
        <v>9360</v>
      </c>
      <c r="C938" s="2">
        <f t="shared" si="14"/>
        <v>2.8889230769230769</v>
      </c>
    </row>
    <row r="939" spans="2:3" x14ac:dyDescent="0.45">
      <c r="B939">
        <v>9370</v>
      </c>
      <c r="C939" s="2">
        <f t="shared" si="14"/>
        <v>2.8858399146211311</v>
      </c>
    </row>
    <row r="940" spans="2:3" x14ac:dyDescent="0.45">
      <c r="B940">
        <v>9380</v>
      </c>
      <c r="C940" s="2">
        <f t="shared" si="14"/>
        <v>2.8827633262260126</v>
      </c>
    </row>
    <row r="941" spans="2:3" x14ac:dyDescent="0.45">
      <c r="B941">
        <v>9390</v>
      </c>
      <c r="C941" s="2">
        <f t="shared" si="14"/>
        <v>2.8796932907348243</v>
      </c>
    </row>
    <row r="942" spans="2:3" x14ac:dyDescent="0.45">
      <c r="B942">
        <v>9400</v>
      </c>
      <c r="C942" s="2">
        <f t="shared" si="14"/>
        <v>2.8766297872340427</v>
      </c>
    </row>
    <row r="943" spans="2:3" x14ac:dyDescent="0.45">
      <c r="B943">
        <v>9410</v>
      </c>
      <c r="C943" s="2">
        <f t="shared" si="14"/>
        <v>2.8735727948990437</v>
      </c>
    </row>
    <row r="944" spans="2:3" x14ac:dyDescent="0.45">
      <c r="B944">
        <v>9420</v>
      </c>
      <c r="C944" s="2">
        <f t="shared" si="14"/>
        <v>2.8705222929936305</v>
      </c>
    </row>
    <row r="945" spans="2:3" x14ac:dyDescent="0.45">
      <c r="B945">
        <v>9430</v>
      </c>
      <c r="C945" s="2">
        <f t="shared" si="14"/>
        <v>2.8674782608695653</v>
      </c>
    </row>
    <row r="946" spans="2:3" x14ac:dyDescent="0.45">
      <c r="B946">
        <v>9440</v>
      </c>
      <c r="C946" s="2">
        <f t="shared" si="14"/>
        <v>2.8644406779661016</v>
      </c>
    </row>
    <row r="947" spans="2:3" x14ac:dyDescent="0.45">
      <c r="B947">
        <v>9450</v>
      </c>
      <c r="C947" s="2">
        <f t="shared" si="14"/>
        <v>2.8614095238095238</v>
      </c>
    </row>
    <row r="948" spans="2:3" x14ac:dyDescent="0.45">
      <c r="B948">
        <v>9460</v>
      </c>
      <c r="C948" s="2">
        <f t="shared" si="14"/>
        <v>2.858384778012685</v>
      </c>
    </row>
    <row r="949" spans="2:3" x14ac:dyDescent="0.45">
      <c r="B949">
        <v>9470</v>
      </c>
      <c r="C949" s="2">
        <f t="shared" si="14"/>
        <v>2.8553664202745512</v>
      </c>
    </row>
    <row r="950" spans="2:3" x14ac:dyDescent="0.45">
      <c r="B950">
        <v>9480</v>
      </c>
      <c r="C950" s="2">
        <f t="shared" si="14"/>
        <v>2.852354430379747</v>
      </c>
    </row>
    <row r="951" spans="2:3" x14ac:dyDescent="0.45">
      <c r="B951">
        <v>9490</v>
      </c>
      <c r="C951" s="2">
        <f t="shared" si="14"/>
        <v>2.8493487881981032</v>
      </c>
    </row>
    <row r="952" spans="2:3" x14ac:dyDescent="0.45">
      <c r="B952">
        <v>9500</v>
      </c>
      <c r="C952" s="2">
        <f t="shared" si="14"/>
        <v>2.8463494736842105</v>
      </c>
    </row>
    <row r="953" spans="2:3" x14ac:dyDescent="0.45">
      <c r="B953">
        <v>9510</v>
      </c>
      <c r="C953" s="2">
        <f t="shared" si="14"/>
        <v>2.8433564668769717</v>
      </c>
    </row>
    <row r="954" spans="2:3" x14ac:dyDescent="0.45">
      <c r="B954">
        <v>9520</v>
      </c>
      <c r="C954" s="2">
        <f t="shared" si="14"/>
        <v>2.8403697478991594</v>
      </c>
    </row>
    <row r="955" spans="2:3" x14ac:dyDescent="0.45">
      <c r="B955">
        <v>9530</v>
      </c>
      <c r="C955" s="2">
        <f t="shared" si="14"/>
        <v>2.8373892969569781</v>
      </c>
    </row>
    <row r="956" spans="2:3" x14ac:dyDescent="0.45">
      <c r="B956">
        <v>9540</v>
      </c>
      <c r="C956" s="2">
        <f t="shared" si="14"/>
        <v>2.8344150943396227</v>
      </c>
    </row>
    <row r="957" spans="2:3" x14ac:dyDescent="0.45">
      <c r="B957">
        <v>9550</v>
      </c>
      <c r="C957" s="2">
        <f t="shared" si="14"/>
        <v>2.8314471204188481</v>
      </c>
    </row>
    <row r="958" spans="2:3" x14ac:dyDescent="0.45">
      <c r="B958">
        <v>9560</v>
      </c>
      <c r="C958" s="2">
        <f t="shared" si="14"/>
        <v>2.8284853556485356</v>
      </c>
    </row>
    <row r="959" spans="2:3" x14ac:dyDescent="0.45">
      <c r="B959">
        <v>9570</v>
      </c>
      <c r="C959" s="2">
        <f t="shared" si="14"/>
        <v>2.8255297805642634</v>
      </c>
    </row>
    <row r="960" spans="2:3" x14ac:dyDescent="0.45">
      <c r="B960">
        <v>9580</v>
      </c>
      <c r="C960" s="2">
        <f t="shared" si="14"/>
        <v>2.8225803757828811</v>
      </c>
    </row>
    <row r="961" spans="2:3" x14ac:dyDescent="0.45">
      <c r="B961">
        <v>9590</v>
      </c>
      <c r="C961" s="2">
        <f t="shared" si="14"/>
        <v>2.8196371220020855</v>
      </c>
    </row>
    <row r="962" spans="2:3" x14ac:dyDescent="0.45">
      <c r="B962">
        <v>9600</v>
      </c>
      <c r="C962" s="2">
        <f t="shared" si="14"/>
        <v>2.8167</v>
      </c>
    </row>
    <row r="963" spans="2:3" x14ac:dyDescent="0.45">
      <c r="B963">
        <v>9610</v>
      </c>
      <c r="C963" s="2">
        <f t="shared" ref="C963:C1000" si="15">$A$2/B963</f>
        <v>2.8137689906347556</v>
      </c>
    </row>
    <row r="964" spans="2:3" x14ac:dyDescent="0.45">
      <c r="B964">
        <v>9620</v>
      </c>
      <c r="C964" s="2">
        <f t="shared" si="15"/>
        <v>2.8108440748440748</v>
      </c>
    </row>
    <row r="965" spans="2:3" x14ac:dyDescent="0.45">
      <c r="B965">
        <v>9630</v>
      </c>
      <c r="C965" s="2">
        <f t="shared" si="15"/>
        <v>2.8079252336448599</v>
      </c>
    </row>
    <row r="966" spans="2:3" x14ac:dyDescent="0.45">
      <c r="B966">
        <v>9640</v>
      </c>
      <c r="C966" s="2">
        <f t="shared" si="15"/>
        <v>2.8050124481327798</v>
      </c>
    </row>
    <row r="967" spans="2:3" x14ac:dyDescent="0.45">
      <c r="B967">
        <v>9650</v>
      </c>
      <c r="C967" s="2">
        <f t="shared" si="15"/>
        <v>2.8021056994818654</v>
      </c>
    </row>
    <row r="968" spans="2:3" x14ac:dyDescent="0.45">
      <c r="B968">
        <v>9660</v>
      </c>
      <c r="C968" s="2">
        <f t="shared" si="15"/>
        <v>2.7992049689440992</v>
      </c>
    </row>
    <row r="969" spans="2:3" x14ac:dyDescent="0.45">
      <c r="B969">
        <v>9670</v>
      </c>
      <c r="C969" s="2">
        <f t="shared" si="15"/>
        <v>2.7963102378490174</v>
      </c>
    </row>
    <row r="970" spans="2:3" x14ac:dyDescent="0.45">
      <c r="B970">
        <v>9680</v>
      </c>
      <c r="C970" s="2">
        <f t="shared" si="15"/>
        <v>2.7934214876033057</v>
      </c>
    </row>
    <row r="971" spans="2:3" x14ac:dyDescent="0.45">
      <c r="B971">
        <v>9690</v>
      </c>
      <c r="C971" s="2">
        <f t="shared" si="15"/>
        <v>2.7905386996904022</v>
      </c>
    </row>
    <row r="972" spans="2:3" x14ac:dyDescent="0.45">
      <c r="B972">
        <v>9700</v>
      </c>
      <c r="C972" s="2">
        <f t="shared" si="15"/>
        <v>2.7876618556701032</v>
      </c>
    </row>
    <row r="973" spans="2:3" x14ac:dyDescent="0.45">
      <c r="B973">
        <v>9710</v>
      </c>
      <c r="C973" s="2">
        <f t="shared" si="15"/>
        <v>2.7847909371781667</v>
      </c>
    </row>
    <row r="974" spans="2:3" x14ac:dyDescent="0.45">
      <c r="B974">
        <v>9720</v>
      </c>
      <c r="C974" s="2">
        <f t="shared" si="15"/>
        <v>2.7819259259259259</v>
      </c>
    </row>
    <row r="975" spans="2:3" x14ac:dyDescent="0.45">
      <c r="B975">
        <v>9730</v>
      </c>
      <c r="C975" s="2">
        <f t="shared" si="15"/>
        <v>2.7790668036998971</v>
      </c>
    </row>
    <row r="976" spans="2:3" x14ac:dyDescent="0.45">
      <c r="B976">
        <v>9740</v>
      </c>
      <c r="C976" s="2">
        <f t="shared" si="15"/>
        <v>2.7762135523613964</v>
      </c>
    </row>
    <row r="977" spans="2:3" x14ac:dyDescent="0.45">
      <c r="B977">
        <v>9750</v>
      </c>
      <c r="C977" s="2">
        <f t="shared" si="15"/>
        <v>2.7733661538461538</v>
      </c>
    </row>
    <row r="978" spans="2:3" x14ac:dyDescent="0.45">
      <c r="B978">
        <v>9760</v>
      </c>
      <c r="C978" s="2">
        <f t="shared" si="15"/>
        <v>2.7705245901639346</v>
      </c>
    </row>
    <row r="979" spans="2:3" x14ac:dyDescent="0.45">
      <c r="B979">
        <v>9770</v>
      </c>
      <c r="C979" s="2">
        <f t="shared" si="15"/>
        <v>2.7676888433981577</v>
      </c>
    </row>
    <row r="980" spans="2:3" x14ac:dyDescent="0.45">
      <c r="B980">
        <v>9780</v>
      </c>
      <c r="C980" s="2">
        <f t="shared" si="15"/>
        <v>2.7648588957055216</v>
      </c>
    </row>
    <row r="981" spans="2:3" x14ac:dyDescent="0.45">
      <c r="B981">
        <v>9790</v>
      </c>
      <c r="C981" s="2">
        <f t="shared" si="15"/>
        <v>2.7620347293156282</v>
      </c>
    </row>
    <row r="982" spans="2:3" x14ac:dyDescent="0.45">
      <c r="B982">
        <v>9800</v>
      </c>
      <c r="C982" s="2">
        <f t="shared" si="15"/>
        <v>2.7592163265306122</v>
      </c>
    </row>
    <row r="983" spans="2:3" x14ac:dyDescent="0.45">
      <c r="B983">
        <v>9810</v>
      </c>
      <c r="C983" s="2">
        <f t="shared" si="15"/>
        <v>2.7564036697247705</v>
      </c>
    </row>
    <row r="984" spans="2:3" x14ac:dyDescent="0.45">
      <c r="B984">
        <v>9820</v>
      </c>
      <c r="C984" s="2">
        <f t="shared" si="15"/>
        <v>2.7535967413441953</v>
      </c>
    </row>
    <row r="985" spans="2:3" x14ac:dyDescent="0.45">
      <c r="B985">
        <v>9830</v>
      </c>
      <c r="C985" s="2">
        <f t="shared" si="15"/>
        <v>2.750795523906409</v>
      </c>
    </row>
    <row r="986" spans="2:3" x14ac:dyDescent="0.45">
      <c r="B986">
        <v>9840</v>
      </c>
      <c r="C986" s="2">
        <f t="shared" si="15"/>
        <v>2.7479999999999998</v>
      </c>
    </row>
    <row r="987" spans="2:3" x14ac:dyDescent="0.45">
      <c r="B987">
        <v>9850</v>
      </c>
      <c r="C987" s="2">
        <f t="shared" si="15"/>
        <v>2.745210152284264</v>
      </c>
    </row>
    <row r="988" spans="2:3" x14ac:dyDescent="0.45">
      <c r="B988">
        <v>9860</v>
      </c>
      <c r="C988" s="2">
        <f t="shared" si="15"/>
        <v>2.7424259634888437</v>
      </c>
    </row>
    <row r="989" spans="2:3" x14ac:dyDescent="0.45">
      <c r="B989">
        <v>9870</v>
      </c>
      <c r="C989" s="2">
        <f t="shared" si="15"/>
        <v>2.7396474164133737</v>
      </c>
    </row>
    <row r="990" spans="2:3" x14ac:dyDescent="0.45">
      <c r="B990">
        <v>9880</v>
      </c>
      <c r="C990" s="2">
        <f t="shared" si="15"/>
        <v>2.7368744939271257</v>
      </c>
    </row>
    <row r="991" spans="2:3" x14ac:dyDescent="0.45">
      <c r="B991">
        <v>9890</v>
      </c>
      <c r="C991" s="2">
        <f t="shared" si="15"/>
        <v>2.7341071789686553</v>
      </c>
    </row>
    <row r="992" spans="2:3" x14ac:dyDescent="0.45">
      <c r="B992">
        <v>9900</v>
      </c>
      <c r="C992" s="2">
        <f t="shared" si="15"/>
        <v>2.7313454545454543</v>
      </c>
    </row>
    <row r="993" spans="2:3" x14ac:dyDescent="0.45">
      <c r="B993">
        <v>9910</v>
      </c>
      <c r="C993" s="2">
        <f t="shared" si="15"/>
        <v>2.7285893037336022</v>
      </c>
    </row>
    <row r="994" spans="2:3" x14ac:dyDescent="0.45">
      <c r="B994">
        <v>9920</v>
      </c>
      <c r="C994" s="2">
        <f t="shared" si="15"/>
        <v>2.7258387096774195</v>
      </c>
    </row>
    <row r="995" spans="2:3" x14ac:dyDescent="0.45">
      <c r="B995">
        <v>9930</v>
      </c>
      <c r="C995" s="2">
        <f t="shared" si="15"/>
        <v>2.7230936555891239</v>
      </c>
    </row>
    <row r="996" spans="2:3" x14ac:dyDescent="0.45">
      <c r="B996">
        <v>9940</v>
      </c>
      <c r="C996" s="2">
        <f t="shared" si="15"/>
        <v>2.720354124748491</v>
      </c>
    </row>
    <row r="997" spans="2:3" x14ac:dyDescent="0.45">
      <c r="B997">
        <v>9950</v>
      </c>
      <c r="C997" s="2">
        <f t="shared" si="15"/>
        <v>2.7176201005025127</v>
      </c>
    </row>
    <row r="998" spans="2:3" x14ac:dyDescent="0.45">
      <c r="B998">
        <v>9960</v>
      </c>
      <c r="C998" s="2">
        <f t="shared" si="15"/>
        <v>2.7148915662650603</v>
      </c>
    </row>
    <row r="999" spans="2:3" x14ac:dyDescent="0.45">
      <c r="B999">
        <v>9970</v>
      </c>
      <c r="C999" s="2">
        <f t="shared" si="15"/>
        <v>2.7121685055165496</v>
      </c>
    </row>
    <row r="1000" spans="2:3" x14ac:dyDescent="0.45">
      <c r="B1000">
        <v>9980</v>
      </c>
      <c r="C1000" s="2">
        <f t="shared" si="15"/>
        <v>2.7094509018036073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"/>
  <sheetViews>
    <sheetView zoomScaleNormal="100" workbookViewId="0"/>
  </sheetViews>
  <sheetFormatPr baseColWidth="10" defaultColWidth="9.1328125" defaultRowHeight="14.25" x14ac:dyDescent="0.45"/>
  <sheetData>
    <row r="1" spans="2:2" ht="25.5" x14ac:dyDescent="0.75">
      <c r="B1" s="59" t="s">
        <v>299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04"/>
  <sheetViews>
    <sheetView workbookViewId="0">
      <selection activeCell="A2" sqref="A2"/>
    </sheetView>
  </sheetViews>
  <sheetFormatPr baseColWidth="10" defaultColWidth="9.1328125" defaultRowHeight="14.25" x14ac:dyDescent="0.45"/>
  <cols>
    <col min="3" max="3" width="8.86328125" style="5"/>
    <col min="4" max="4" width="8.86328125" style="3"/>
    <col min="5" max="5" width="8.86328125" style="5"/>
  </cols>
  <sheetData>
    <row r="1" spans="1:5" x14ac:dyDescent="0.45">
      <c r="A1" t="s">
        <v>230</v>
      </c>
      <c r="B1" t="s">
        <v>51</v>
      </c>
      <c r="C1" s="5" t="s">
        <v>236</v>
      </c>
      <c r="D1" s="3" t="s">
        <v>156</v>
      </c>
      <c r="E1" s="5" t="s">
        <v>188</v>
      </c>
    </row>
    <row r="2" spans="1:5" x14ac:dyDescent="0.45">
      <c r="A2" s="2">
        <v>68.685660925285632</v>
      </c>
      <c r="B2">
        <v>10</v>
      </c>
      <c r="C2" s="6">
        <f>$A$2/B2</f>
        <v>6.868566092528563</v>
      </c>
      <c r="D2" s="20">
        <f>1/B2</f>
        <v>0.1</v>
      </c>
      <c r="E2" s="5">
        <f>1/C2</f>
        <v>0.14559079530264293</v>
      </c>
    </row>
    <row r="3" spans="1:5" x14ac:dyDescent="0.45">
      <c r="B3">
        <v>20</v>
      </c>
      <c r="C3" s="6">
        <f t="shared" ref="C3:C66" si="0">$A$2/B3</f>
        <v>3.4342830462642815</v>
      </c>
      <c r="D3" s="20">
        <f t="shared" ref="D3:D66" si="1">1/B3</f>
        <v>0.05</v>
      </c>
      <c r="E3" s="5">
        <f t="shared" ref="E3:E66" si="2">1/C3</f>
        <v>0.29118159060528587</v>
      </c>
    </row>
    <row r="4" spans="1:5" x14ac:dyDescent="0.45">
      <c r="B4">
        <v>30</v>
      </c>
      <c r="C4" s="6">
        <f t="shared" si="0"/>
        <v>2.2895220308428543</v>
      </c>
      <c r="D4" s="20">
        <f t="shared" si="1"/>
        <v>3.3333333333333333E-2</v>
      </c>
      <c r="E4" s="5">
        <f t="shared" si="2"/>
        <v>0.43677238590792877</v>
      </c>
    </row>
    <row r="5" spans="1:5" x14ac:dyDescent="0.45">
      <c r="B5">
        <v>40</v>
      </c>
      <c r="C5" s="6">
        <f t="shared" si="0"/>
        <v>1.7171415231321407</v>
      </c>
      <c r="D5" s="20">
        <f t="shared" si="1"/>
        <v>2.5000000000000001E-2</v>
      </c>
      <c r="E5" s="5">
        <f t="shared" si="2"/>
        <v>0.58236318121057173</v>
      </c>
    </row>
    <row r="6" spans="1:5" x14ac:dyDescent="0.45">
      <c r="B6">
        <v>50</v>
      </c>
      <c r="C6" s="6">
        <f t="shared" si="0"/>
        <v>1.3737132185057126</v>
      </c>
      <c r="D6" s="20">
        <f t="shared" si="1"/>
        <v>0.02</v>
      </c>
      <c r="E6" s="5">
        <f t="shared" si="2"/>
        <v>0.7279539765132147</v>
      </c>
    </row>
    <row r="7" spans="1:5" x14ac:dyDescent="0.45">
      <c r="B7">
        <v>60</v>
      </c>
      <c r="C7" s="6">
        <f t="shared" si="0"/>
        <v>1.1447610154214272</v>
      </c>
      <c r="D7" s="20">
        <f t="shared" si="1"/>
        <v>1.6666666666666666E-2</v>
      </c>
      <c r="E7" s="5">
        <f t="shared" si="2"/>
        <v>0.87354477181585755</v>
      </c>
    </row>
    <row r="8" spans="1:5" x14ac:dyDescent="0.45">
      <c r="B8">
        <v>70</v>
      </c>
      <c r="C8" s="6">
        <f t="shared" si="0"/>
        <v>0.98122372750408049</v>
      </c>
      <c r="D8" s="20">
        <f t="shared" si="1"/>
        <v>1.4285714285714285E-2</v>
      </c>
      <c r="E8" s="5">
        <f t="shared" si="2"/>
        <v>1.0191355671185005</v>
      </c>
    </row>
    <row r="9" spans="1:5" x14ac:dyDescent="0.45">
      <c r="B9">
        <v>80</v>
      </c>
      <c r="C9" s="6">
        <f t="shared" si="0"/>
        <v>0.85857076156607037</v>
      </c>
      <c r="D9" s="20">
        <f t="shared" si="1"/>
        <v>1.2500000000000001E-2</v>
      </c>
      <c r="E9" s="5">
        <f t="shared" si="2"/>
        <v>1.1647263624211435</v>
      </c>
    </row>
    <row r="10" spans="1:5" x14ac:dyDescent="0.45">
      <c r="B10">
        <v>90</v>
      </c>
      <c r="C10" s="6">
        <f t="shared" si="0"/>
        <v>0.76317401028095144</v>
      </c>
      <c r="D10" s="20">
        <f t="shared" si="1"/>
        <v>1.1111111111111112E-2</v>
      </c>
      <c r="E10" s="5">
        <f t="shared" si="2"/>
        <v>1.3103171577237864</v>
      </c>
    </row>
    <row r="11" spans="1:5" x14ac:dyDescent="0.45">
      <c r="B11">
        <v>100</v>
      </c>
      <c r="C11" s="6">
        <f t="shared" si="0"/>
        <v>0.6868566092528563</v>
      </c>
      <c r="D11" s="20">
        <f t="shared" si="1"/>
        <v>0.01</v>
      </c>
      <c r="E11" s="5">
        <f t="shared" si="2"/>
        <v>1.4559079530264294</v>
      </c>
    </row>
    <row r="12" spans="1:5" x14ac:dyDescent="0.45">
      <c r="B12">
        <v>110</v>
      </c>
      <c r="C12" s="6">
        <f t="shared" si="0"/>
        <v>0.62441509932077843</v>
      </c>
      <c r="D12" s="20">
        <f t="shared" si="1"/>
        <v>9.0909090909090905E-3</v>
      </c>
      <c r="E12" s="5">
        <f t="shared" si="2"/>
        <v>1.6014987483290724</v>
      </c>
    </row>
    <row r="13" spans="1:5" x14ac:dyDescent="0.45">
      <c r="B13">
        <v>120</v>
      </c>
      <c r="C13" s="6">
        <f t="shared" si="0"/>
        <v>0.57238050771071358</v>
      </c>
      <c r="D13" s="20">
        <f t="shared" si="1"/>
        <v>8.3333333333333332E-3</v>
      </c>
      <c r="E13" s="5">
        <f t="shared" si="2"/>
        <v>1.7470895436317151</v>
      </c>
    </row>
    <row r="14" spans="1:5" x14ac:dyDescent="0.45">
      <c r="B14">
        <v>130</v>
      </c>
      <c r="C14" s="6">
        <f t="shared" si="0"/>
        <v>0.5283512378868126</v>
      </c>
      <c r="D14" s="20">
        <f t="shared" si="1"/>
        <v>7.6923076923076927E-3</v>
      </c>
      <c r="E14" s="5">
        <f t="shared" si="2"/>
        <v>1.8926803389343578</v>
      </c>
    </row>
    <row r="15" spans="1:5" x14ac:dyDescent="0.45">
      <c r="B15">
        <v>140</v>
      </c>
      <c r="C15" s="6">
        <f t="shared" si="0"/>
        <v>0.49061186375204024</v>
      </c>
      <c r="D15" s="20">
        <f t="shared" si="1"/>
        <v>7.1428571428571426E-3</v>
      </c>
      <c r="E15" s="5">
        <f t="shared" si="2"/>
        <v>2.038271134237001</v>
      </c>
    </row>
    <row r="16" spans="1:5" x14ac:dyDescent="0.45">
      <c r="B16">
        <v>150</v>
      </c>
      <c r="C16" s="6">
        <f t="shared" si="0"/>
        <v>0.45790440616857087</v>
      </c>
      <c r="D16" s="20">
        <f t="shared" si="1"/>
        <v>6.6666666666666671E-3</v>
      </c>
      <c r="E16" s="5">
        <f t="shared" si="2"/>
        <v>2.1838619295396438</v>
      </c>
    </row>
    <row r="17" spans="2:5" x14ac:dyDescent="0.45">
      <c r="B17">
        <v>160</v>
      </c>
      <c r="C17" s="6">
        <f t="shared" si="0"/>
        <v>0.42928538078303519</v>
      </c>
      <c r="D17" s="20">
        <f t="shared" si="1"/>
        <v>6.2500000000000003E-3</v>
      </c>
      <c r="E17" s="5">
        <f t="shared" si="2"/>
        <v>2.3294527248422869</v>
      </c>
    </row>
    <row r="18" spans="2:5" x14ac:dyDescent="0.45">
      <c r="B18">
        <v>170</v>
      </c>
      <c r="C18" s="6">
        <f t="shared" si="0"/>
        <v>0.40403329956050371</v>
      </c>
      <c r="D18" s="20">
        <f t="shared" si="1"/>
        <v>5.8823529411764705E-3</v>
      </c>
      <c r="E18" s="5">
        <f t="shared" si="2"/>
        <v>2.4750435201449297</v>
      </c>
    </row>
    <row r="19" spans="2:5" x14ac:dyDescent="0.45">
      <c r="B19">
        <v>180</v>
      </c>
      <c r="C19" s="6">
        <f t="shared" si="0"/>
        <v>0.38158700514047572</v>
      </c>
      <c r="D19" s="20">
        <f t="shared" si="1"/>
        <v>5.5555555555555558E-3</v>
      </c>
      <c r="E19" s="5">
        <f t="shared" si="2"/>
        <v>2.6206343154475729</v>
      </c>
    </row>
    <row r="20" spans="2:5" x14ac:dyDescent="0.45">
      <c r="B20">
        <v>190</v>
      </c>
      <c r="C20" s="6">
        <f t="shared" si="0"/>
        <v>0.36150347855413489</v>
      </c>
      <c r="D20" s="20">
        <f t="shared" si="1"/>
        <v>5.263157894736842E-3</v>
      </c>
      <c r="E20" s="5">
        <f t="shared" si="2"/>
        <v>2.7662251107502156</v>
      </c>
    </row>
    <row r="21" spans="2:5" x14ac:dyDescent="0.45">
      <c r="B21">
        <v>200</v>
      </c>
      <c r="C21" s="6">
        <f t="shared" si="0"/>
        <v>0.34342830462642815</v>
      </c>
      <c r="D21" s="20">
        <f t="shared" si="1"/>
        <v>5.0000000000000001E-3</v>
      </c>
      <c r="E21" s="5">
        <f t="shared" si="2"/>
        <v>2.9118159060528588</v>
      </c>
    </row>
    <row r="22" spans="2:5" x14ac:dyDescent="0.45">
      <c r="B22">
        <v>210</v>
      </c>
      <c r="C22" s="6">
        <f t="shared" si="0"/>
        <v>0.32707457583469346</v>
      </c>
      <c r="D22" s="20">
        <f t="shared" si="1"/>
        <v>4.7619047619047623E-3</v>
      </c>
      <c r="E22" s="5">
        <f t="shared" si="2"/>
        <v>3.0574067013555015</v>
      </c>
    </row>
    <row r="23" spans="2:5" x14ac:dyDescent="0.45">
      <c r="B23">
        <v>220</v>
      </c>
      <c r="C23" s="6">
        <f t="shared" si="0"/>
        <v>0.31220754966038922</v>
      </c>
      <c r="D23" s="20">
        <f t="shared" si="1"/>
        <v>4.5454545454545452E-3</v>
      </c>
      <c r="E23" s="5">
        <f t="shared" si="2"/>
        <v>3.2029974966581447</v>
      </c>
    </row>
    <row r="24" spans="2:5" x14ac:dyDescent="0.45">
      <c r="B24">
        <v>230</v>
      </c>
      <c r="C24" s="6">
        <f t="shared" si="0"/>
        <v>0.29863330837080709</v>
      </c>
      <c r="D24" s="20">
        <f t="shared" si="1"/>
        <v>4.3478260869565218E-3</v>
      </c>
      <c r="E24" s="5">
        <f t="shared" si="2"/>
        <v>3.3485882919607874</v>
      </c>
    </row>
    <row r="25" spans="2:5" x14ac:dyDescent="0.45">
      <c r="B25">
        <v>240</v>
      </c>
      <c r="C25" s="6">
        <f t="shared" si="0"/>
        <v>0.28619025385535679</v>
      </c>
      <c r="D25" s="20">
        <f t="shared" si="1"/>
        <v>4.1666666666666666E-3</v>
      </c>
      <c r="E25" s="5">
        <f t="shared" si="2"/>
        <v>3.4941790872634302</v>
      </c>
    </row>
    <row r="26" spans="2:5" x14ac:dyDescent="0.45">
      <c r="B26">
        <v>250</v>
      </c>
      <c r="C26" s="6">
        <f t="shared" si="0"/>
        <v>0.27474264370114254</v>
      </c>
      <c r="D26" s="20">
        <f t="shared" si="1"/>
        <v>4.0000000000000001E-3</v>
      </c>
      <c r="E26" s="5">
        <f t="shared" si="2"/>
        <v>3.6397698825660729</v>
      </c>
    </row>
    <row r="27" spans="2:5" x14ac:dyDescent="0.45">
      <c r="B27">
        <v>262.42</v>
      </c>
      <c r="C27" s="6">
        <f t="shared" si="0"/>
        <v>0.2617394288746499</v>
      </c>
      <c r="D27" s="20">
        <f t="shared" si="1"/>
        <v>3.8106851611919819E-3</v>
      </c>
      <c r="E27" s="5">
        <f t="shared" si="2"/>
        <v>3.820593650331956</v>
      </c>
    </row>
    <row r="28" spans="2:5" x14ac:dyDescent="0.45">
      <c r="B28">
        <v>270</v>
      </c>
      <c r="C28" s="6">
        <f t="shared" si="0"/>
        <v>0.25439133676031717</v>
      </c>
      <c r="D28" s="20">
        <f t="shared" si="1"/>
        <v>3.7037037037037038E-3</v>
      </c>
      <c r="E28" s="5">
        <f t="shared" si="2"/>
        <v>3.9309514731713588</v>
      </c>
    </row>
    <row r="29" spans="2:5" x14ac:dyDescent="0.45">
      <c r="B29">
        <v>280</v>
      </c>
      <c r="C29" s="6">
        <f t="shared" si="0"/>
        <v>0.24530593187602012</v>
      </c>
      <c r="D29" s="20">
        <f t="shared" si="1"/>
        <v>3.5714285714285713E-3</v>
      </c>
      <c r="E29" s="5">
        <f t="shared" si="2"/>
        <v>4.076542268474002</v>
      </c>
    </row>
    <row r="30" spans="2:5" x14ac:dyDescent="0.45">
      <c r="B30">
        <v>290</v>
      </c>
      <c r="C30" s="6">
        <f t="shared" si="0"/>
        <v>0.23684710663891598</v>
      </c>
      <c r="D30" s="20">
        <f t="shared" si="1"/>
        <v>3.4482758620689655E-3</v>
      </c>
      <c r="E30" s="5">
        <f t="shared" si="2"/>
        <v>4.2221330637766448</v>
      </c>
    </row>
    <row r="31" spans="2:5" x14ac:dyDescent="0.45">
      <c r="B31">
        <v>300</v>
      </c>
      <c r="C31" s="6">
        <f t="shared" si="0"/>
        <v>0.22895220308428543</v>
      </c>
      <c r="D31" s="20">
        <f t="shared" si="1"/>
        <v>3.3333333333333335E-3</v>
      </c>
      <c r="E31" s="5">
        <f t="shared" si="2"/>
        <v>4.3677238590792875</v>
      </c>
    </row>
    <row r="32" spans="2:5" x14ac:dyDescent="0.45">
      <c r="B32">
        <v>310</v>
      </c>
      <c r="C32" s="6">
        <f t="shared" si="0"/>
        <v>0.22156664814608268</v>
      </c>
      <c r="D32" s="20">
        <f t="shared" si="1"/>
        <v>3.2258064516129032E-3</v>
      </c>
      <c r="E32" s="5">
        <f t="shared" si="2"/>
        <v>4.5133146543819311</v>
      </c>
    </row>
    <row r="33" spans="2:5" x14ac:dyDescent="0.45">
      <c r="B33">
        <v>320</v>
      </c>
      <c r="C33" s="6">
        <f t="shared" si="0"/>
        <v>0.21464269039151759</v>
      </c>
      <c r="D33" s="20">
        <f t="shared" si="1"/>
        <v>3.1250000000000002E-3</v>
      </c>
      <c r="E33" s="5">
        <f t="shared" si="2"/>
        <v>4.6589054496845739</v>
      </c>
    </row>
    <row r="34" spans="2:5" x14ac:dyDescent="0.45">
      <c r="B34">
        <v>330</v>
      </c>
      <c r="C34" s="6">
        <f t="shared" si="0"/>
        <v>0.20813836644025949</v>
      </c>
      <c r="D34" s="20">
        <f t="shared" si="1"/>
        <v>3.0303030303030303E-3</v>
      </c>
      <c r="E34" s="5">
        <f t="shared" si="2"/>
        <v>4.8044962449872166</v>
      </c>
    </row>
    <row r="35" spans="2:5" x14ac:dyDescent="0.45">
      <c r="B35">
        <v>340</v>
      </c>
      <c r="C35" s="6">
        <f t="shared" si="0"/>
        <v>0.20201664978025186</v>
      </c>
      <c r="D35" s="20">
        <f t="shared" si="1"/>
        <v>2.9411764705882353E-3</v>
      </c>
      <c r="E35" s="5">
        <f t="shared" si="2"/>
        <v>4.9500870402898594</v>
      </c>
    </row>
    <row r="36" spans="2:5" x14ac:dyDescent="0.45">
      <c r="B36">
        <v>350</v>
      </c>
      <c r="C36" s="6">
        <f t="shared" si="0"/>
        <v>0.19624474550081608</v>
      </c>
      <c r="D36" s="20">
        <f t="shared" si="1"/>
        <v>2.8571428571428571E-3</v>
      </c>
      <c r="E36" s="5">
        <f t="shared" si="2"/>
        <v>5.095677835592503</v>
      </c>
    </row>
    <row r="37" spans="2:5" x14ac:dyDescent="0.45">
      <c r="B37">
        <v>360</v>
      </c>
      <c r="C37" s="6">
        <f t="shared" si="0"/>
        <v>0.19079350257023786</v>
      </c>
      <c r="D37" s="20">
        <f t="shared" si="1"/>
        <v>2.7777777777777779E-3</v>
      </c>
      <c r="E37" s="5">
        <f t="shared" si="2"/>
        <v>5.2412686308951457</v>
      </c>
    </row>
    <row r="38" spans="2:5" x14ac:dyDescent="0.45">
      <c r="B38">
        <v>370</v>
      </c>
      <c r="C38" s="6">
        <f t="shared" si="0"/>
        <v>0.1856369214196909</v>
      </c>
      <c r="D38" s="20">
        <f t="shared" si="1"/>
        <v>2.7027027027027029E-3</v>
      </c>
      <c r="E38" s="5">
        <f t="shared" si="2"/>
        <v>5.3868594261977876</v>
      </c>
    </row>
    <row r="39" spans="2:5" x14ac:dyDescent="0.45">
      <c r="B39">
        <v>380</v>
      </c>
      <c r="C39" s="6">
        <f t="shared" si="0"/>
        <v>0.18075173927706745</v>
      </c>
      <c r="D39" s="20">
        <f t="shared" si="1"/>
        <v>2.631578947368421E-3</v>
      </c>
      <c r="E39" s="5">
        <f t="shared" si="2"/>
        <v>5.5324502215004312</v>
      </c>
    </row>
    <row r="40" spans="2:5" x14ac:dyDescent="0.45">
      <c r="B40">
        <v>390</v>
      </c>
      <c r="C40" s="6">
        <f t="shared" si="0"/>
        <v>0.17611707929560419</v>
      </c>
      <c r="D40" s="20">
        <f t="shared" si="1"/>
        <v>2.5641025641025641E-3</v>
      </c>
      <c r="E40" s="5">
        <f t="shared" si="2"/>
        <v>5.6780410168030739</v>
      </c>
    </row>
    <row r="41" spans="2:5" x14ac:dyDescent="0.45">
      <c r="B41">
        <v>400</v>
      </c>
      <c r="C41" s="6">
        <f t="shared" si="0"/>
        <v>0.17171415231321407</v>
      </c>
      <c r="D41" s="20">
        <f t="shared" si="1"/>
        <v>2.5000000000000001E-3</v>
      </c>
      <c r="E41" s="5">
        <f t="shared" si="2"/>
        <v>5.8236318121057176</v>
      </c>
    </row>
    <row r="42" spans="2:5" x14ac:dyDescent="0.45">
      <c r="B42">
        <v>410</v>
      </c>
      <c r="C42" s="6">
        <f t="shared" si="0"/>
        <v>0.16752600225679423</v>
      </c>
      <c r="D42" s="20">
        <f t="shared" si="1"/>
        <v>2.4390243902439024E-3</v>
      </c>
      <c r="E42" s="5">
        <f t="shared" si="2"/>
        <v>5.9692226074083594</v>
      </c>
    </row>
    <row r="43" spans="2:5" x14ac:dyDescent="0.45">
      <c r="B43">
        <v>420</v>
      </c>
      <c r="C43" s="6">
        <f t="shared" si="0"/>
        <v>0.16353728791734673</v>
      </c>
      <c r="D43" s="20">
        <f t="shared" si="1"/>
        <v>2.3809523809523812E-3</v>
      </c>
      <c r="E43" s="5">
        <f t="shared" si="2"/>
        <v>6.114813402711003</v>
      </c>
    </row>
    <row r="44" spans="2:5" x14ac:dyDescent="0.45">
      <c r="B44">
        <v>430</v>
      </c>
      <c r="C44" s="6">
        <f t="shared" si="0"/>
        <v>0.15973409517508286</v>
      </c>
      <c r="D44" s="20">
        <f t="shared" si="1"/>
        <v>2.3255813953488372E-3</v>
      </c>
      <c r="E44" s="5">
        <f t="shared" si="2"/>
        <v>6.2604041980136458</v>
      </c>
    </row>
    <row r="45" spans="2:5" x14ac:dyDescent="0.45">
      <c r="B45">
        <v>440</v>
      </c>
      <c r="C45" s="6">
        <f t="shared" si="0"/>
        <v>0.15610377483019461</v>
      </c>
      <c r="D45" s="20">
        <f t="shared" si="1"/>
        <v>2.2727272727272726E-3</v>
      </c>
      <c r="E45" s="5">
        <f t="shared" si="2"/>
        <v>6.4059949933162894</v>
      </c>
    </row>
    <row r="46" spans="2:5" x14ac:dyDescent="0.45">
      <c r="B46">
        <v>450</v>
      </c>
      <c r="C46" s="6">
        <f t="shared" si="0"/>
        <v>0.15263480205619029</v>
      </c>
      <c r="D46" s="20">
        <f t="shared" si="1"/>
        <v>2.2222222222222222E-3</v>
      </c>
      <c r="E46" s="5">
        <f t="shared" si="2"/>
        <v>6.5515857886189321</v>
      </c>
    </row>
    <row r="47" spans="2:5" x14ac:dyDescent="0.45">
      <c r="B47">
        <v>460</v>
      </c>
      <c r="C47" s="6">
        <f t="shared" si="0"/>
        <v>0.14931665418540355</v>
      </c>
      <c r="D47" s="20">
        <f t="shared" si="1"/>
        <v>2.1739130434782609E-3</v>
      </c>
      <c r="E47" s="5">
        <f t="shared" si="2"/>
        <v>6.6971765839215749</v>
      </c>
    </row>
    <row r="48" spans="2:5" x14ac:dyDescent="0.45">
      <c r="B48">
        <v>470</v>
      </c>
      <c r="C48" s="6">
        <f t="shared" si="0"/>
        <v>0.14613970409635241</v>
      </c>
      <c r="D48" s="20">
        <f t="shared" si="1"/>
        <v>2.1276595744680851E-3</v>
      </c>
      <c r="E48" s="5">
        <f t="shared" si="2"/>
        <v>6.8427673792242176</v>
      </c>
    </row>
    <row r="49" spans="2:5" x14ac:dyDescent="0.45">
      <c r="B49">
        <v>480</v>
      </c>
      <c r="C49" s="6">
        <f t="shared" si="0"/>
        <v>0.1430951269276784</v>
      </c>
      <c r="D49" s="20">
        <f t="shared" si="1"/>
        <v>2.0833333333333333E-3</v>
      </c>
      <c r="E49" s="5">
        <f t="shared" si="2"/>
        <v>6.9883581745268604</v>
      </c>
    </row>
    <row r="50" spans="2:5" x14ac:dyDescent="0.45">
      <c r="B50">
        <v>490</v>
      </c>
      <c r="C50" s="6">
        <f t="shared" si="0"/>
        <v>0.14017481821486863</v>
      </c>
      <c r="D50" s="20">
        <f t="shared" si="1"/>
        <v>2.0408163265306124E-3</v>
      </c>
      <c r="E50" s="5">
        <f t="shared" si="2"/>
        <v>7.133948969829504</v>
      </c>
    </row>
    <row r="51" spans="2:5" x14ac:dyDescent="0.45">
      <c r="B51">
        <v>500</v>
      </c>
      <c r="C51" s="6">
        <f t="shared" si="0"/>
        <v>0.13737132185057127</v>
      </c>
      <c r="D51" s="20">
        <f t="shared" si="1"/>
        <v>2E-3</v>
      </c>
      <c r="E51" s="5">
        <f t="shared" si="2"/>
        <v>7.2795397651321458</v>
      </c>
    </row>
    <row r="52" spans="2:5" x14ac:dyDescent="0.45">
      <c r="B52">
        <v>510</v>
      </c>
      <c r="C52" s="6">
        <f t="shared" si="0"/>
        <v>0.13467776652016791</v>
      </c>
      <c r="D52" s="20">
        <f t="shared" si="1"/>
        <v>1.9607843137254902E-3</v>
      </c>
      <c r="E52" s="5">
        <f t="shared" si="2"/>
        <v>7.4251305604347886</v>
      </c>
    </row>
    <row r="53" spans="2:5" x14ac:dyDescent="0.45">
      <c r="B53">
        <v>520</v>
      </c>
      <c r="C53" s="6">
        <f t="shared" si="0"/>
        <v>0.13208780947170315</v>
      </c>
      <c r="D53" s="20">
        <f t="shared" si="1"/>
        <v>1.9230769230769232E-3</v>
      </c>
      <c r="E53" s="5">
        <f t="shared" si="2"/>
        <v>7.5707213557374313</v>
      </c>
    </row>
    <row r="54" spans="2:5" x14ac:dyDescent="0.45">
      <c r="B54">
        <v>530</v>
      </c>
      <c r="C54" s="6">
        <f t="shared" si="0"/>
        <v>0.12959558665148233</v>
      </c>
      <c r="D54" s="20">
        <f t="shared" si="1"/>
        <v>1.8867924528301887E-3</v>
      </c>
      <c r="E54" s="5">
        <f t="shared" si="2"/>
        <v>7.716312151040075</v>
      </c>
    </row>
    <row r="55" spans="2:5" x14ac:dyDescent="0.45">
      <c r="B55">
        <v>540</v>
      </c>
      <c r="C55" s="6">
        <f t="shared" si="0"/>
        <v>0.12719566838015858</v>
      </c>
      <c r="D55" s="20">
        <f t="shared" si="1"/>
        <v>1.8518518518518519E-3</v>
      </c>
      <c r="E55" s="5">
        <f t="shared" si="2"/>
        <v>7.8619029463427177</v>
      </c>
    </row>
    <row r="56" spans="2:5" x14ac:dyDescent="0.45">
      <c r="B56">
        <v>550</v>
      </c>
      <c r="C56" s="6">
        <f t="shared" si="0"/>
        <v>0.12488301986415569</v>
      </c>
      <c r="D56" s="20">
        <f t="shared" si="1"/>
        <v>1.8181818181818182E-3</v>
      </c>
      <c r="E56" s="5">
        <f t="shared" si="2"/>
        <v>8.0074937416453604</v>
      </c>
    </row>
    <row r="57" spans="2:5" x14ac:dyDescent="0.45">
      <c r="B57">
        <v>560</v>
      </c>
      <c r="C57" s="6">
        <f t="shared" si="0"/>
        <v>0.12265296593801006</v>
      </c>
      <c r="D57" s="20">
        <f t="shared" si="1"/>
        <v>1.7857142857142857E-3</v>
      </c>
      <c r="E57" s="5">
        <f t="shared" si="2"/>
        <v>8.1530845369480041</v>
      </c>
    </row>
    <row r="58" spans="2:5" x14ac:dyDescent="0.45">
      <c r="B58">
        <v>570</v>
      </c>
      <c r="C58" s="6">
        <f t="shared" si="0"/>
        <v>0.12050115951804496</v>
      </c>
      <c r="D58" s="20">
        <f t="shared" si="1"/>
        <v>1.7543859649122807E-3</v>
      </c>
      <c r="E58" s="5">
        <f t="shared" si="2"/>
        <v>8.2986753322506477</v>
      </c>
    </row>
    <row r="59" spans="2:5" x14ac:dyDescent="0.45">
      <c r="B59">
        <v>580</v>
      </c>
      <c r="C59" s="6">
        <f t="shared" si="0"/>
        <v>0.11842355331945799</v>
      </c>
      <c r="D59" s="20">
        <f t="shared" si="1"/>
        <v>1.7241379310344827E-3</v>
      </c>
      <c r="E59" s="5">
        <f t="shared" si="2"/>
        <v>8.4442661275532895</v>
      </c>
    </row>
    <row r="60" spans="2:5" x14ac:dyDescent="0.45">
      <c r="B60">
        <v>590</v>
      </c>
      <c r="C60" s="6">
        <f t="shared" si="0"/>
        <v>0.11641637444963666</v>
      </c>
      <c r="D60" s="20">
        <f t="shared" si="1"/>
        <v>1.6949152542372881E-3</v>
      </c>
      <c r="E60" s="5">
        <f t="shared" si="2"/>
        <v>8.5898569228559332</v>
      </c>
    </row>
    <row r="61" spans="2:5" x14ac:dyDescent="0.45">
      <c r="B61">
        <v>600</v>
      </c>
      <c r="C61" s="6">
        <f t="shared" si="0"/>
        <v>0.11447610154214272</v>
      </c>
      <c r="D61" s="20">
        <f t="shared" si="1"/>
        <v>1.6666666666666668E-3</v>
      </c>
      <c r="E61" s="5">
        <f t="shared" si="2"/>
        <v>8.735447718158575</v>
      </c>
    </row>
    <row r="62" spans="2:5" x14ac:dyDescent="0.45">
      <c r="B62">
        <v>610</v>
      </c>
      <c r="C62" s="6">
        <f t="shared" si="0"/>
        <v>0.11259944413981252</v>
      </c>
      <c r="D62" s="20">
        <f t="shared" si="1"/>
        <v>1.639344262295082E-3</v>
      </c>
      <c r="E62" s="5">
        <f t="shared" si="2"/>
        <v>8.8810385134612186</v>
      </c>
    </row>
    <row r="63" spans="2:5" x14ac:dyDescent="0.45">
      <c r="B63">
        <v>620</v>
      </c>
      <c r="C63" s="6">
        <f t="shared" si="0"/>
        <v>0.11078332407304134</v>
      </c>
      <c r="D63" s="20">
        <f t="shared" si="1"/>
        <v>1.6129032258064516E-3</v>
      </c>
      <c r="E63" s="5">
        <f t="shared" si="2"/>
        <v>9.0266293087638623</v>
      </c>
    </row>
    <row r="64" spans="2:5" x14ac:dyDescent="0.45">
      <c r="B64">
        <v>630</v>
      </c>
      <c r="C64" s="6">
        <f t="shared" si="0"/>
        <v>0.1090248586115645</v>
      </c>
      <c r="D64" s="20">
        <f t="shared" si="1"/>
        <v>1.5873015873015873E-3</v>
      </c>
      <c r="E64" s="5">
        <f t="shared" si="2"/>
        <v>9.1722201040665041</v>
      </c>
    </row>
    <row r="65" spans="2:5" x14ac:dyDescent="0.45">
      <c r="B65">
        <v>640</v>
      </c>
      <c r="C65" s="6">
        <f t="shared" si="0"/>
        <v>0.1073213451957588</v>
      </c>
      <c r="D65" s="20">
        <f t="shared" si="1"/>
        <v>1.5625000000000001E-3</v>
      </c>
      <c r="E65" s="5">
        <f t="shared" si="2"/>
        <v>9.3178108993691477</v>
      </c>
    </row>
    <row r="66" spans="2:5" x14ac:dyDescent="0.45">
      <c r="B66">
        <v>650</v>
      </c>
      <c r="C66" s="6">
        <f t="shared" si="0"/>
        <v>0.10567024757736251</v>
      </c>
      <c r="D66" s="20">
        <f t="shared" si="1"/>
        <v>1.5384615384615385E-3</v>
      </c>
      <c r="E66" s="5">
        <f t="shared" si="2"/>
        <v>9.4634016946717896</v>
      </c>
    </row>
    <row r="67" spans="2:5" x14ac:dyDescent="0.45">
      <c r="B67">
        <v>660</v>
      </c>
      <c r="C67" s="6">
        <f t="shared" ref="C67:C104" si="3">$A$2/B67</f>
        <v>0.10406918322012974</v>
      </c>
      <c r="D67" s="20">
        <f t="shared" ref="D67:D104" si="4">1/B67</f>
        <v>1.5151515151515152E-3</v>
      </c>
      <c r="E67" s="5">
        <f t="shared" ref="E67:E104" si="5">1/C67</f>
        <v>9.6089924899744332</v>
      </c>
    </row>
    <row r="68" spans="2:5" x14ac:dyDescent="0.45">
      <c r="B68">
        <v>670</v>
      </c>
      <c r="C68" s="6">
        <f t="shared" si="3"/>
        <v>0.10251591182878453</v>
      </c>
      <c r="D68" s="20">
        <f t="shared" si="4"/>
        <v>1.4925373134328358E-3</v>
      </c>
      <c r="E68" s="5">
        <f t="shared" si="5"/>
        <v>9.7545832852770751</v>
      </c>
    </row>
    <row r="69" spans="2:5" x14ac:dyDescent="0.45">
      <c r="B69">
        <v>680</v>
      </c>
      <c r="C69" s="6">
        <f t="shared" si="3"/>
        <v>0.10100832489012593</v>
      </c>
      <c r="D69" s="20">
        <f t="shared" si="4"/>
        <v>1.4705882352941176E-3</v>
      </c>
      <c r="E69" s="5">
        <f t="shared" si="5"/>
        <v>9.9001740805797187</v>
      </c>
    </row>
    <row r="70" spans="2:5" x14ac:dyDescent="0.45">
      <c r="B70">
        <v>690</v>
      </c>
      <c r="C70" s="6">
        <f t="shared" si="3"/>
        <v>9.9544436123602364E-2</v>
      </c>
      <c r="D70" s="20">
        <f t="shared" si="4"/>
        <v>1.4492753623188406E-3</v>
      </c>
      <c r="E70" s="5">
        <f t="shared" si="5"/>
        <v>10.045764875882362</v>
      </c>
    </row>
    <row r="71" spans="2:5" x14ac:dyDescent="0.45">
      <c r="B71">
        <v>700</v>
      </c>
      <c r="C71" s="6">
        <f t="shared" si="3"/>
        <v>9.8122372750408041E-2</v>
      </c>
      <c r="D71" s="20">
        <f t="shared" si="4"/>
        <v>1.4285714285714286E-3</v>
      </c>
      <c r="E71" s="5">
        <f t="shared" si="5"/>
        <v>10.191355671185006</v>
      </c>
    </row>
    <row r="72" spans="2:5" x14ac:dyDescent="0.45">
      <c r="B72">
        <v>710</v>
      </c>
      <c r="C72" s="6">
        <f t="shared" si="3"/>
        <v>9.6740367500402297E-2</v>
      </c>
      <c r="D72" s="20">
        <f t="shared" si="4"/>
        <v>1.4084507042253522E-3</v>
      </c>
      <c r="E72" s="5">
        <f t="shared" si="5"/>
        <v>10.336946466487648</v>
      </c>
    </row>
    <row r="73" spans="2:5" x14ac:dyDescent="0.45">
      <c r="B73">
        <v>720</v>
      </c>
      <c r="C73" s="6">
        <f t="shared" si="3"/>
        <v>9.539675128511893E-2</v>
      </c>
      <c r="D73" s="20">
        <f t="shared" si="4"/>
        <v>1.3888888888888889E-3</v>
      </c>
      <c r="E73" s="5">
        <f t="shared" si="5"/>
        <v>10.482537261790291</v>
      </c>
    </row>
    <row r="74" spans="2:5" x14ac:dyDescent="0.45">
      <c r="B74">
        <v>730</v>
      </c>
      <c r="C74" s="6">
        <f t="shared" si="3"/>
        <v>9.4089946472994013E-2</v>
      </c>
      <c r="D74" s="20">
        <f t="shared" si="4"/>
        <v>1.3698630136986301E-3</v>
      </c>
      <c r="E74" s="5">
        <f t="shared" si="5"/>
        <v>10.628128057092933</v>
      </c>
    </row>
    <row r="75" spans="2:5" x14ac:dyDescent="0.45">
      <c r="B75">
        <v>740</v>
      </c>
      <c r="C75" s="6">
        <f t="shared" si="3"/>
        <v>9.2818460709845452E-2</v>
      </c>
      <c r="D75" s="20">
        <f t="shared" si="4"/>
        <v>1.3513513513513514E-3</v>
      </c>
      <c r="E75" s="5">
        <f t="shared" si="5"/>
        <v>10.773718852395575</v>
      </c>
    </row>
    <row r="76" spans="2:5" x14ac:dyDescent="0.45">
      <c r="B76">
        <v>750</v>
      </c>
      <c r="C76" s="6">
        <f t="shared" si="3"/>
        <v>9.1580881233714176E-2</v>
      </c>
      <c r="D76" s="20">
        <f t="shared" si="4"/>
        <v>1.3333333333333333E-3</v>
      </c>
      <c r="E76" s="5">
        <f t="shared" si="5"/>
        <v>10.919309647698219</v>
      </c>
    </row>
    <row r="77" spans="2:5" x14ac:dyDescent="0.45">
      <c r="B77">
        <v>760</v>
      </c>
      <c r="C77" s="6">
        <f t="shared" si="3"/>
        <v>9.0375869638533723E-2</v>
      </c>
      <c r="D77" s="20">
        <f t="shared" si="4"/>
        <v>1.3157894736842105E-3</v>
      </c>
      <c r="E77" s="5">
        <f t="shared" si="5"/>
        <v>11.064900443000862</v>
      </c>
    </row>
    <row r="78" spans="2:5" x14ac:dyDescent="0.45">
      <c r="B78">
        <v>770</v>
      </c>
      <c r="C78" s="6">
        <f t="shared" si="3"/>
        <v>8.92021570458255E-2</v>
      </c>
      <c r="D78" s="20">
        <f t="shared" si="4"/>
        <v>1.2987012987012987E-3</v>
      </c>
      <c r="E78" s="5">
        <f t="shared" si="5"/>
        <v>11.210491238303504</v>
      </c>
    </row>
    <row r="79" spans="2:5" x14ac:dyDescent="0.45">
      <c r="B79">
        <v>780</v>
      </c>
      <c r="C79" s="6">
        <f t="shared" si="3"/>
        <v>8.8058539647802095E-2</v>
      </c>
      <c r="D79" s="20">
        <f t="shared" si="4"/>
        <v>1.2820512820512821E-3</v>
      </c>
      <c r="E79" s="5">
        <f t="shared" si="5"/>
        <v>11.356082033606148</v>
      </c>
    </row>
    <row r="80" spans="2:5" x14ac:dyDescent="0.45">
      <c r="B80">
        <v>790</v>
      </c>
      <c r="C80" s="6">
        <f t="shared" si="3"/>
        <v>8.6943874588969156E-2</v>
      </c>
      <c r="D80" s="20">
        <f t="shared" si="4"/>
        <v>1.2658227848101266E-3</v>
      </c>
      <c r="E80" s="5">
        <f t="shared" si="5"/>
        <v>11.501672828908792</v>
      </c>
    </row>
    <row r="81" spans="2:5" x14ac:dyDescent="0.45">
      <c r="B81">
        <v>800</v>
      </c>
      <c r="C81" s="6">
        <f t="shared" si="3"/>
        <v>8.5857076156607037E-2</v>
      </c>
      <c r="D81" s="20">
        <f t="shared" si="4"/>
        <v>1.25E-3</v>
      </c>
      <c r="E81" s="5">
        <f t="shared" si="5"/>
        <v>11.647263624211435</v>
      </c>
    </row>
    <row r="82" spans="2:5" x14ac:dyDescent="0.45">
      <c r="B82">
        <v>810</v>
      </c>
      <c r="C82" s="6">
        <f t="shared" si="3"/>
        <v>8.4797112253439055E-2</v>
      </c>
      <c r="D82" s="20">
        <f t="shared" si="4"/>
        <v>1.2345679012345679E-3</v>
      </c>
      <c r="E82" s="5">
        <f t="shared" si="5"/>
        <v>11.792854419514077</v>
      </c>
    </row>
    <row r="83" spans="2:5" x14ac:dyDescent="0.45">
      <c r="B83">
        <v>820</v>
      </c>
      <c r="C83" s="6">
        <f t="shared" si="3"/>
        <v>8.3763001128397116E-2</v>
      </c>
      <c r="D83" s="20">
        <f t="shared" si="4"/>
        <v>1.2195121951219512E-3</v>
      </c>
      <c r="E83" s="5">
        <f t="shared" si="5"/>
        <v>11.938445214816719</v>
      </c>
    </row>
    <row r="84" spans="2:5" x14ac:dyDescent="0.45">
      <c r="B84">
        <v>830</v>
      </c>
      <c r="C84" s="6">
        <f t="shared" si="3"/>
        <v>8.2753808343717622E-2</v>
      </c>
      <c r="D84" s="20">
        <f t="shared" si="4"/>
        <v>1.2048192771084338E-3</v>
      </c>
      <c r="E84" s="5">
        <f t="shared" si="5"/>
        <v>12.084036010119364</v>
      </c>
    </row>
    <row r="85" spans="2:5" x14ac:dyDescent="0.45">
      <c r="B85">
        <v>840</v>
      </c>
      <c r="C85" s="6">
        <f t="shared" si="3"/>
        <v>8.1768643958673365E-2</v>
      </c>
      <c r="D85" s="20">
        <f t="shared" si="4"/>
        <v>1.1904761904761906E-3</v>
      </c>
      <c r="E85" s="5">
        <f t="shared" si="5"/>
        <v>12.229626805422006</v>
      </c>
    </row>
    <row r="86" spans="2:5" x14ac:dyDescent="0.45">
      <c r="B86">
        <v>850</v>
      </c>
      <c r="C86" s="6">
        <f t="shared" si="3"/>
        <v>8.0806659912100745E-2</v>
      </c>
      <c r="D86" s="20">
        <f t="shared" si="4"/>
        <v>1.176470588235294E-3</v>
      </c>
      <c r="E86" s="5">
        <f t="shared" si="5"/>
        <v>12.375217600724648</v>
      </c>
    </row>
    <row r="87" spans="2:5" x14ac:dyDescent="0.45">
      <c r="B87">
        <v>860</v>
      </c>
      <c r="C87" s="6">
        <f t="shared" si="3"/>
        <v>7.9867047587541429E-2</v>
      </c>
      <c r="D87" s="20">
        <f t="shared" si="4"/>
        <v>1.1627906976744186E-3</v>
      </c>
      <c r="E87" s="5">
        <f t="shared" si="5"/>
        <v>12.520808396027292</v>
      </c>
    </row>
    <row r="88" spans="2:5" x14ac:dyDescent="0.45">
      <c r="B88">
        <v>870</v>
      </c>
      <c r="C88" s="6">
        <f t="shared" si="3"/>
        <v>7.8949035546305321E-2</v>
      </c>
      <c r="D88" s="20">
        <f t="shared" si="4"/>
        <v>1.1494252873563218E-3</v>
      </c>
      <c r="E88" s="5">
        <f t="shared" si="5"/>
        <v>12.666399191329935</v>
      </c>
    </row>
    <row r="89" spans="2:5" x14ac:dyDescent="0.45">
      <c r="B89">
        <v>880</v>
      </c>
      <c r="C89" s="6">
        <f t="shared" si="3"/>
        <v>7.8051887415097304E-2</v>
      </c>
      <c r="D89" s="20">
        <f t="shared" si="4"/>
        <v>1.1363636363636363E-3</v>
      </c>
      <c r="E89" s="5">
        <f t="shared" si="5"/>
        <v>12.811989986632579</v>
      </c>
    </row>
    <row r="90" spans="2:5" x14ac:dyDescent="0.45">
      <c r="B90">
        <v>890</v>
      </c>
      <c r="C90" s="6">
        <f t="shared" si="3"/>
        <v>7.7174899916051268E-2</v>
      </c>
      <c r="D90" s="20">
        <f t="shared" si="4"/>
        <v>1.1235955056179776E-3</v>
      </c>
      <c r="E90" s="5">
        <f t="shared" si="5"/>
        <v>12.957580781935221</v>
      </c>
    </row>
    <row r="91" spans="2:5" x14ac:dyDescent="0.45">
      <c r="B91">
        <v>900</v>
      </c>
      <c r="C91" s="6">
        <f t="shared" si="3"/>
        <v>7.6317401028095144E-2</v>
      </c>
      <c r="D91" s="20">
        <f t="shared" si="4"/>
        <v>1.1111111111111111E-3</v>
      </c>
      <c r="E91" s="5">
        <f t="shared" si="5"/>
        <v>13.103171577237864</v>
      </c>
    </row>
    <row r="92" spans="2:5" x14ac:dyDescent="0.45">
      <c r="B92">
        <v>910</v>
      </c>
      <c r="C92" s="6">
        <f t="shared" si="3"/>
        <v>7.5478748269544649E-2</v>
      </c>
      <c r="D92" s="20">
        <f t="shared" si="4"/>
        <v>1.0989010989010989E-3</v>
      </c>
      <c r="E92" s="5">
        <f t="shared" si="5"/>
        <v>13.248762372540506</v>
      </c>
    </row>
    <row r="93" spans="2:5" x14ac:dyDescent="0.45">
      <c r="B93">
        <v>920</v>
      </c>
      <c r="C93" s="6">
        <f t="shared" si="3"/>
        <v>7.4658327092701773E-2</v>
      </c>
      <c r="D93" s="20">
        <f t="shared" si="4"/>
        <v>1.0869565217391304E-3</v>
      </c>
      <c r="E93" s="5">
        <f t="shared" si="5"/>
        <v>13.39435316784315</v>
      </c>
    </row>
    <row r="94" spans="2:5" x14ac:dyDescent="0.45">
      <c r="B94">
        <v>930</v>
      </c>
      <c r="C94" s="6">
        <f t="shared" si="3"/>
        <v>7.3855549382027555E-2</v>
      </c>
      <c r="D94" s="20">
        <f t="shared" si="4"/>
        <v>1.0752688172043011E-3</v>
      </c>
      <c r="E94" s="5">
        <f t="shared" si="5"/>
        <v>13.539943963145793</v>
      </c>
    </row>
    <row r="95" spans="2:5" x14ac:dyDescent="0.45">
      <c r="B95">
        <v>940</v>
      </c>
      <c r="C95" s="6">
        <f t="shared" si="3"/>
        <v>7.3069852048176204E-2</v>
      </c>
      <c r="D95" s="20">
        <f t="shared" si="4"/>
        <v>1.0638297872340426E-3</v>
      </c>
      <c r="E95" s="5">
        <f t="shared" si="5"/>
        <v>13.685534758448435</v>
      </c>
    </row>
    <row r="96" spans="2:5" x14ac:dyDescent="0.45">
      <c r="B96">
        <v>950</v>
      </c>
      <c r="C96" s="6">
        <f t="shared" si="3"/>
        <v>7.2300695710826979E-2</v>
      </c>
      <c r="D96" s="20">
        <f t="shared" si="4"/>
        <v>1.0526315789473684E-3</v>
      </c>
      <c r="E96" s="5">
        <f t="shared" si="5"/>
        <v>13.831125553751079</v>
      </c>
    </row>
    <row r="97" spans="2:5" x14ac:dyDescent="0.45">
      <c r="B97">
        <v>960</v>
      </c>
      <c r="C97" s="6">
        <f t="shared" si="3"/>
        <v>7.1547563463839198E-2</v>
      </c>
      <c r="D97" s="20">
        <f t="shared" si="4"/>
        <v>1.0416666666666667E-3</v>
      </c>
      <c r="E97" s="5">
        <f t="shared" si="5"/>
        <v>13.976716349053721</v>
      </c>
    </row>
    <row r="98" spans="2:5" x14ac:dyDescent="0.45">
      <c r="B98">
        <v>970</v>
      </c>
      <c r="C98" s="6">
        <f t="shared" si="3"/>
        <v>7.0809959716789314E-2</v>
      </c>
      <c r="D98" s="20">
        <f t="shared" si="4"/>
        <v>1.0309278350515464E-3</v>
      </c>
      <c r="E98" s="5">
        <f t="shared" si="5"/>
        <v>14.122307144356363</v>
      </c>
    </row>
    <row r="99" spans="2:5" x14ac:dyDescent="0.45">
      <c r="B99">
        <v>980</v>
      </c>
      <c r="C99" s="6">
        <f t="shared" si="3"/>
        <v>7.0087409107434315E-2</v>
      </c>
      <c r="D99" s="20">
        <f t="shared" si="4"/>
        <v>1.0204081632653062E-3</v>
      </c>
      <c r="E99" s="5">
        <f t="shared" si="5"/>
        <v>14.267897939659008</v>
      </c>
    </row>
    <row r="100" spans="2:5" x14ac:dyDescent="0.45">
      <c r="B100">
        <v>990</v>
      </c>
      <c r="C100" s="6">
        <f t="shared" si="3"/>
        <v>6.9379455480086491E-2</v>
      </c>
      <c r="D100" s="20">
        <f t="shared" si="4"/>
        <v>1.0101010101010101E-3</v>
      </c>
      <c r="E100" s="5">
        <f t="shared" si="5"/>
        <v>14.41348873496165</v>
      </c>
    </row>
    <row r="101" spans="2:5" x14ac:dyDescent="0.45">
      <c r="B101">
        <v>1000</v>
      </c>
      <c r="C101" s="6">
        <f t="shared" si="3"/>
        <v>6.8685660925285635E-2</v>
      </c>
      <c r="D101" s="20">
        <f t="shared" si="4"/>
        <v>1E-3</v>
      </c>
      <c r="E101" s="5">
        <f t="shared" si="5"/>
        <v>14.559079530264292</v>
      </c>
    </row>
    <row r="102" spans="2:5" x14ac:dyDescent="0.45">
      <c r="B102">
        <v>2000</v>
      </c>
      <c r="C102" s="6">
        <f t="shared" si="3"/>
        <v>3.4342830462642818E-2</v>
      </c>
      <c r="D102" s="20">
        <f t="shared" si="4"/>
        <v>5.0000000000000001E-4</v>
      </c>
      <c r="E102" s="5">
        <f t="shared" si="5"/>
        <v>29.118159060528583</v>
      </c>
    </row>
    <row r="103" spans="2:5" x14ac:dyDescent="0.45">
      <c r="B103">
        <v>3000</v>
      </c>
      <c r="C103" s="6">
        <f t="shared" si="3"/>
        <v>2.2895220308428544E-2</v>
      </c>
      <c r="D103" s="20">
        <f t="shared" si="4"/>
        <v>3.3333333333333332E-4</v>
      </c>
      <c r="E103" s="5">
        <f t="shared" si="5"/>
        <v>43.677238590792875</v>
      </c>
    </row>
    <row r="104" spans="2:5" x14ac:dyDescent="0.45">
      <c r="B104">
        <v>5000</v>
      </c>
      <c r="C104" s="6">
        <f t="shared" si="3"/>
        <v>1.3737132185057127E-2</v>
      </c>
      <c r="D104" s="20">
        <f t="shared" si="4"/>
        <v>2.0000000000000001E-4</v>
      </c>
      <c r="E104" s="5">
        <f t="shared" si="5"/>
        <v>72.795397651321466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1 L u D V h D R n L 2 l A A A A 9 w A A A B I A H A B D b 2 5 m a W c v U G F j a 2 F n Z S 5 4 b W w g o h g A K K A U A A A A A A A A A A A A A A A A A A A A A A A A A A A A h Y 9 N C s I w G E S v U r J v / g S R 8 j U F X b i x I A j i N q S x D b a p N K n p 3 V x 4 J K 9 g R a v u X M 6 b t 5 i 5 X 2 + Q D U 0 d X X T n T G t T x D B F k b a q L Y w t U 9 T 7 Y 7 x A m Y C t V C d Z 6 m i U r U s G V 6 S o 8 v 6 c E B J C w G G G 2 6 4 k n F J G D v l m p y r d S P S R z X 8 5 N t Z 5 a Z V G A v a v M Y J j x j j m d M 4 x B T J R y I 3 9 G n w c / G x / I K z 6 2 v e d F t r G 6 y W Q K Q J 5 n x A P U E s D B B Q A A g A I A N S 7 g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U u 4 N W K I p H u A 4 A A A A R A A A A E w A c A E Z v c m 1 1 b G F z L 1 N l Y 3 R p b 2 4 x L m 0 g o h g A K K A U A A A A A A A A A A A A A A A A A A A A A A A A A A A A K 0 5 N L s n M z 1 M I h t C G 1 g B Q S w E C L Q A U A A I A C A D U u 4 N W E N G c v a U A A A D 3 A A A A E g A A A A A A A A A A A A A A A A A A A A A A Q 2 9 u Z m l n L 1 B h Y 2 t h Z 2 U u e G 1 s U E s B A i 0 A F A A C A A g A 1 L u D V g / K 6 a u k A A A A 6 Q A A A B M A A A A A A A A A A A A A A A A A 8 Q A A A F t D b 2 5 0 Z W 5 0 X 1 R 5 c G V z X S 5 4 b W x Q S w E C L Q A U A A I A C A D U u 4 N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2 Y F x 4 T s s U q m n i z m 9 V p O M g A A A A A C A A A A A A A Q Z g A A A A E A A C A A A A D g I Q F W O x y u N P M N 0 w Z Y I s 2 5 x k K N w 4 / w B O Q A J 9 m X m T O 0 w Q A A A A A O g A A A A A I A A C A A A A B Y 8 h 4 O o l M E X l V n / x I Q X x p K O n V p B s 5 u x c a y Z I L 5 1 O H b d F A A A A D 3 u Z P 9 U k D P 6 e R S T W + L l 2 X d R o B 1 D e k U S x d 3 H 5 I V N c b U 4 5 + T z 8 v H W h N G b H W Z W n M s q V i R Q 7 E 6 e K X b j A Z b s C a y G s k W f 8 3 M 8 b X y X G o x S o u + 5 d P i X k A A A A B 3 g Y N E 0 q Q H L h 6 v D X e C M 7 t d 8 6 / q f 1 M U E I 3 p X E u 9 L 4 m U v h 0 F y u X L y T 4 + u D t S x Z F b p c 3 r A r C C / 0 c h 3 r x Z S a p c 1 B z h < / D a t a M a s h u p > 
</file>

<file path=customXml/itemProps1.xml><?xml version="1.0" encoding="utf-8"?>
<ds:datastoreItem xmlns:ds="http://schemas.openxmlformats.org/officeDocument/2006/customXml" ds:itemID="{2EBA0744-9A8A-4210-870D-6B52248284D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33</vt:i4>
      </vt:variant>
    </vt:vector>
  </HeadingPairs>
  <TitlesOfParts>
    <vt:vector size="33" baseType="lpstr">
      <vt:lpstr>Title Page</vt:lpstr>
      <vt:lpstr>LD Diagram</vt:lpstr>
      <vt:lpstr>a_LD aircraft</vt:lpstr>
      <vt:lpstr>a_LD hyperloop</vt:lpstr>
      <vt:lpstr>LD Payload Diagram</vt:lpstr>
      <vt:lpstr>a_LDpl MD-11 (Cargo)</vt:lpstr>
      <vt:lpstr>a_LDpl Hyperloop</vt:lpstr>
      <vt:lpstr>Inverse Primary E Consumption</vt:lpstr>
      <vt:lpstr>a_E MD-11(Cargo)</vt:lpstr>
      <vt:lpstr>a_Eprim MD-11(Cargo)</vt:lpstr>
      <vt:lpstr>a_E VLBC</vt:lpstr>
      <vt:lpstr>Emission</vt:lpstr>
      <vt:lpstr>a_mCO2 Hyperloop</vt:lpstr>
      <vt:lpstr>a_LD</vt:lpstr>
      <vt:lpstr>a_LD_PL</vt:lpstr>
      <vt:lpstr>Sheet2</vt:lpstr>
      <vt:lpstr>a_E</vt:lpstr>
      <vt:lpstr>a_Eprim</vt:lpstr>
      <vt:lpstr>Subsonic Aircraft</vt:lpstr>
      <vt:lpstr>Supersonic Aircraft</vt:lpstr>
      <vt:lpstr>Helicopter</vt:lpstr>
      <vt:lpstr>Airship</vt:lpstr>
      <vt:lpstr>Glider</vt:lpstr>
      <vt:lpstr>Bulker, Tanker, Container</vt:lpstr>
      <vt:lpstr>Cruise Ship</vt:lpstr>
      <vt:lpstr>Car</vt:lpstr>
      <vt:lpstr>Truck</vt:lpstr>
      <vt:lpstr>Bus</vt:lpstr>
      <vt:lpstr>Train</vt:lpstr>
      <vt:lpstr>Human and Animal</vt:lpstr>
      <vt:lpstr>Hyperloop</vt:lpstr>
      <vt:lpstr>Oil &amp; Gas Pipeline</vt:lpstr>
      <vt:lpstr>(c)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dinda</dc:creator>
  <cp:lastModifiedBy>aero-1</cp:lastModifiedBy>
  <dcterms:created xsi:type="dcterms:W3CDTF">2023-02-23T00:14:17Z</dcterms:created>
  <dcterms:modified xsi:type="dcterms:W3CDTF">2023-09-02T13:50:21Z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2023-03-16T21:35:59Z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0aca75fd-1595-48e6-a95c-8c0f809e9170</vt:lpwstr>
  </property>
  <property fmtid="{D5CDD505-2E9C-101B-9397-08002B2CF9AE}" pid="8" name="MSIP_Label_defa4170-0d19-0005-0004-bc88714345d2_ContentBits">
    <vt:lpwstr>0</vt:lpwstr>
  </property>
</Properties>
</file>