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style8.xml" ContentType="application/vnd.ms-office.chartsty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style6.xml" ContentType="application/vnd.ms-office.chartstyle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style4.xml" ContentType="application/vnd.ms-office.chartstyle+xml"/>
  <Override PartName="/xl/charts/style5.xml" ContentType="application/vnd.ms-office.chartstyle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olors8.xml" ContentType="application/vnd.ms-office.chartcolorstyle+xml"/>
  <Override PartName="/xl/charts/colors9.xml" ContentType="application/vnd.ms-office.chartcolorstyle+xml"/>
  <Override PartName="/xl/charts/style2.xml" ContentType="application/vnd.ms-office.chartstyle+xml"/>
  <Override PartName="/xl/charts/style3.xml" ContentType="application/vnd.ms-office.chartstyle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charts/colors6.xml" ContentType="application/vnd.ms-office.chartcolorstyle+xml"/>
  <Override PartName="/xl/charts/colors7.xml" ContentType="application/vnd.ms-office.chartcolorstyle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charts/colors4.xml" ContentType="application/vnd.ms-office.chartcolorstyle+xml"/>
  <Override PartName="/xl/charts/colors5.xml" ContentType="application/vnd.ms-office.chartcolorstyle+xml"/>
  <Override PartName="/xl/sharedStrings.xml" ContentType="application/vnd.openxmlformats-officedocument.spreadsheetml.sharedStrings+xml"/>
  <Override PartName="/xl/charts/colors2.xml" ContentType="application/vnd.ms-office.chartcolorstyle+xml"/>
  <Override PartName="/xl/charts/colors3.xml" ContentType="application/vnd.ms-office.chartcolorstyle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olors1.xml" ContentType="application/vnd.ms-office.chartcolorstyle+xml"/>
  <Override PartName="/docProps/core.xml" ContentType="application/vnd.openxmlformats-package.core-properties+xml"/>
  <Default Extension="png" ContentType="image/png"/>
  <Default Extension="bin" ContentType="application/vnd.openxmlformats-officedocument.spreadsheetml.printerSettings"/>
  <Override PartName="/xl/charts/chart7.xml" ContentType="application/vnd.openxmlformats-officedocument.drawingml.chart+xml"/>
  <Override PartName="/xl/charts/style9.xml" ContentType="application/vnd.ms-office.chartstyle+xml"/>
  <Override PartName="/xl/charts/chart5.xml" ContentType="application/vnd.openxmlformats-officedocument.drawingml.chart+xml"/>
  <Override PartName="/xl/charts/style7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28680" yWindow="-120" windowWidth="19440" windowHeight="15600" activeTab="1"/>
  </bookViews>
  <sheets>
    <sheet name="(c)" sheetId="11" r:id="rId1"/>
    <sheet name="Information" sheetId="10" r:id="rId2"/>
    <sheet name="Case 1" sheetId="1" r:id="rId3"/>
    <sheet name="Case 2" sheetId="2" r:id="rId4"/>
    <sheet name="Case 3" sheetId="3" r:id="rId5"/>
    <sheet name="Case 4" sheetId="9" r:id="rId6"/>
    <sheet name="Case 5" sheetId="8" r:id="rId7"/>
    <sheet name="Case 6" sheetId="4" r:id="rId8"/>
    <sheet name="Case 7" sheetId="5" r:id="rId9"/>
    <sheet name="Case 8" sheetId="6" r:id="rId10"/>
    <sheet name="Case 9" sheetId="7" r:id="rId11"/>
  </sheets>
  <externalReferences>
    <externalReference r:id="rId12"/>
    <externalReference r:id="rId13"/>
    <externalReference r:id="rId14"/>
  </externalReferences>
  <definedNames>
    <definedName name="A" localSheetId="0">[1]Inputs_Outputs!$B$4</definedName>
    <definedName name="a">#REF!</definedName>
    <definedName name="a_sound">[1]Inputs_Outputs!$J$5</definedName>
    <definedName name="BPR" localSheetId="0">[1]Inputs_Outputs!$F$3</definedName>
    <definedName name="BPR">#REF!</definedName>
    <definedName name="c_dw">[1]Fuel!$C$23</definedName>
    <definedName name="Cd">[1]Fuel!$C$31</definedName>
    <definedName name="Cd0">[1]Fuel!$C$28</definedName>
    <definedName name="Cdoc">[1]DOC!$C$92</definedName>
    <definedName name="CF_AIC">[1]Environmental!$C$65</definedName>
    <definedName name="CF_NOx">[1]Environmental!$C$64</definedName>
    <definedName name="CL" localSheetId="0">[1]Fuel!$C$29</definedName>
    <definedName name="CL">#REF!</definedName>
    <definedName name="CL_m">#REF!</definedName>
    <definedName name="d_f">[1]Inputs_Outputs!#REF!</definedName>
    <definedName name="df">[1]Inputs_Outputs!#REF!</definedName>
    <definedName name="DmG">'[3]Schneeballfaktor '!$B$32</definedName>
    <definedName name="DmL">'[3]Schneeballfaktor '!$B$4</definedName>
    <definedName name="e" localSheetId="0">[1]Fuel!$C$15</definedName>
    <definedName name="e">#REF!</definedName>
    <definedName name="E_glide">[1]Fuel!$C$33</definedName>
    <definedName name="EI_NOx">[1]Environmental!$C$50</definedName>
    <definedName name="FL">'[1]Flight time'!$B$167</definedName>
    <definedName name="fuel_km">[1]Fuel!$I$41</definedName>
    <definedName name="fuel_mile">[1]Fuel!$I$42</definedName>
    <definedName name="g" localSheetId="0">[1]Inputs_Outputs!$N$2</definedName>
    <definedName name="g">#REF!</definedName>
    <definedName name="gamma">#REF!</definedName>
    <definedName name="H">[1]Inputs_Outputs!$J$3</definedName>
    <definedName name="Hft">[1]Inputs_Outputs!$J$4</definedName>
    <definedName name="k_inf">[1]DOC!$C$10</definedName>
    <definedName name="L">[1]Inputs_Outputs!$N$4</definedName>
    <definedName name="L_D">#REF!</definedName>
    <definedName name="L_D_max">#REF!</definedName>
    <definedName name="M" localSheetId="0">[1]Inputs_Outputs!$J$2</definedName>
    <definedName name="M">#REF!</definedName>
    <definedName name="m_e">[1]Inputs_Outputs!$F$8</definedName>
    <definedName name="M_opt">[1]Inputs_Outputs!$B$13</definedName>
    <definedName name="m_PL">[1]DOC!$C$84</definedName>
    <definedName name="m_PLmax">[1]Inputs_Outputs!$B$10</definedName>
    <definedName name="mF">'[3]Schneeballfaktor '!$B$9</definedName>
    <definedName name="Mff">[1]DOC!$C$43</definedName>
    <definedName name="mFmMTO">'[3]Schneeballfaktor '!$B$8</definedName>
    <definedName name="mFOB">[1]DOC!$C$50</definedName>
    <definedName name="mMPL">'[3]Schneeballfaktor '!$B$10</definedName>
    <definedName name="mMTO">'[3]Schneeballfaktor '!$B$5</definedName>
    <definedName name="mMTOG">'[3]Schneeballfaktor '!$B$13</definedName>
    <definedName name="mOE">'[3]Schneeballfaktor '!$B$7</definedName>
    <definedName name="mOEmMTO">'[3]Schneeballfaktor '!$B$6</definedName>
    <definedName name="MTOW">[1]Inputs_Outputs!$B$2</definedName>
    <definedName name="MZFW">[1]Inputs_Outputs!$B$6</definedName>
    <definedName name="n_E">[1]Inputs_Outputs!$F$2</definedName>
    <definedName name="n_PAX">[1]Inputs_Outputs!$B$11</definedName>
    <definedName name="n_shafts">[1]Inputs_Outputs!$F$7</definedName>
    <definedName name="n_stages">[1]Inputs_Outputs!$F$6</definedName>
    <definedName name="nt_a">[1]DOC!$C$40</definedName>
    <definedName name="OAPR">[1]Inputs_Outputs!$F$5</definedName>
    <definedName name="OEW">[1]Inputs_Outputs!$B$9</definedName>
    <definedName name="p">[1]Inputs_Outputs!$J$7</definedName>
    <definedName name="p_t">[1]Inputs_Outputs!$N$9</definedName>
    <definedName name="p0" localSheetId="0">[1]Inputs_Outputs!$N$6</definedName>
    <definedName name="p0">#REF!</definedName>
    <definedName name="phi">[1]Inputs_Outputs!$B$7</definedName>
    <definedName name="phi_rad">[1]Inputs_Outputs!$B$8</definedName>
    <definedName name="price_fuel">[1]DOC!$C$7</definedName>
    <definedName name="R_const">[1]Inputs_Outputs!$N$3</definedName>
    <definedName name="range">[1]Inputs_Outputs!$J$12</definedName>
    <definedName name="range_added">'[1]Flight time'!$B$170</definedName>
    <definedName name="range_mile">[1]DOC!$D$41</definedName>
    <definedName name="rho">[1]Inputs_Outputs!$J$8</definedName>
    <definedName name="rho_t">[1]Inputs_Outputs!$N$10</definedName>
    <definedName name="rho0">[1]Inputs_Outputs!$N$7</definedName>
    <definedName name="SS">[1]Inputs_Outputs!$B$3</definedName>
    <definedName name="Swet">[1]Inputs_Outputs!#REF!</definedName>
    <definedName name="T">[1]Inputs_Outputs!$J$6</definedName>
    <definedName name="T_t">[1]Inputs_Outputs!$N$8</definedName>
    <definedName name="T_to">[1]Inputs_Outputs!$F$4</definedName>
    <definedName name="T0">[1]Inputs_Outputs!$N$5</definedName>
    <definedName name="TAS">[1]Inputs_Outputs!$J$10</definedName>
    <definedName name="TAS_regulated">'[1]Flight time'!$B$166</definedName>
    <definedName name="tb">[1]DOC!$C$79</definedName>
    <definedName name="tf">[1]DOC!$C$59</definedName>
    <definedName name="tf_added">'[1]Flight time'!$B$168</definedName>
    <definedName name="TSFC">[1]Fuel!$I$35</definedName>
    <definedName name="Uaf">[1]DOC!$C$96</definedName>
    <definedName name="V_CR">#REF!</definedName>
    <definedName name="w_co2">[1]Inputs_Outputs!$B$164</definedName>
    <definedName name="w_doc">[1]Inputs_Outputs!$B$157</definedName>
    <definedName name="w_env">[1]Inputs_Outputs!$B$158</definedName>
    <definedName name="w_resource">[1]Inputs_Outputs!$B$163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9"/>
  <c r="F14"/>
  <c r="F15"/>
  <c r="F16"/>
  <c r="F17"/>
  <c r="N17" s="1"/>
  <c r="F18"/>
  <c r="F19"/>
  <c r="F20"/>
  <c r="F21"/>
  <c r="F22"/>
  <c r="F23"/>
  <c r="F13"/>
  <c r="N13" s="1"/>
  <c r="J23"/>
  <c r="G23" s="1"/>
  <c r="J22"/>
  <c r="G22" s="1"/>
  <c r="K22" s="1"/>
  <c r="J21"/>
  <c r="J20"/>
  <c r="J19"/>
  <c r="G19" s="1"/>
  <c r="J18"/>
  <c r="J17"/>
  <c r="G17" s="1"/>
  <c r="J16"/>
  <c r="G16" s="1"/>
  <c r="K16" s="1"/>
  <c r="J15"/>
  <c r="G15" s="1"/>
  <c r="J14"/>
  <c r="G14" s="1"/>
  <c r="K14" s="1"/>
  <c r="J13"/>
  <c r="B8"/>
  <c r="I17" s="1"/>
  <c r="G18" i="8"/>
  <c r="F14"/>
  <c r="F15"/>
  <c r="F16"/>
  <c r="F17"/>
  <c r="F18"/>
  <c r="N18" s="1"/>
  <c r="F19"/>
  <c r="F20"/>
  <c r="F21"/>
  <c r="F22"/>
  <c r="F23"/>
  <c r="F13"/>
  <c r="J23"/>
  <c r="G23" s="1"/>
  <c r="K23" s="1"/>
  <c r="J22"/>
  <c r="G22" s="1"/>
  <c r="K22" s="1"/>
  <c r="J21"/>
  <c r="G21" s="1"/>
  <c r="K21" s="1"/>
  <c r="J20"/>
  <c r="G20" s="1"/>
  <c r="K20" s="1"/>
  <c r="J19"/>
  <c r="G19" s="1"/>
  <c r="J18"/>
  <c r="J17"/>
  <c r="J16"/>
  <c r="J15"/>
  <c r="G15" s="1"/>
  <c r="K15" s="1"/>
  <c r="J14"/>
  <c r="G14" s="1"/>
  <c r="K14" s="1"/>
  <c r="J13"/>
  <c r="G13" s="1"/>
  <c r="K13" s="1"/>
  <c r="B8"/>
  <c r="I17" s="1"/>
  <c r="N16" l="1"/>
  <c r="N21"/>
  <c r="N13"/>
  <c r="I16"/>
  <c r="N17"/>
  <c r="I23"/>
  <c r="H23" s="1"/>
  <c r="L23" s="1"/>
  <c r="I15"/>
  <c r="H15" s="1"/>
  <c r="N23"/>
  <c r="N15"/>
  <c r="G17"/>
  <c r="K17" s="1"/>
  <c r="I21"/>
  <c r="H21" s="1"/>
  <c r="I13"/>
  <c r="H13" s="1"/>
  <c r="I22"/>
  <c r="I14"/>
  <c r="H14" s="1"/>
  <c r="N22"/>
  <c r="N14"/>
  <c r="G16"/>
  <c r="H16" s="1"/>
  <c r="I20"/>
  <c r="H20" s="1"/>
  <c r="I19"/>
  <c r="N20"/>
  <c r="I18"/>
  <c r="H18" s="1"/>
  <c r="L18" s="1"/>
  <c r="N19"/>
  <c r="K15" i="9"/>
  <c r="N23"/>
  <c r="N15"/>
  <c r="I22"/>
  <c r="H22" s="1"/>
  <c r="I14"/>
  <c r="I15"/>
  <c r="H15" s="1"/>
  <c r="N22"/>
  <c r="I21"/>
  <c r="I13"/>
  <c r="I23"/>
  <c r="H23" s="1"/>
  <c r="N14"/>
  <c r="N21"/>
  <c r="I20"/>
  <c r="N20"/>
  <c r="I19"/>
  <c r="H19" s="1"/>
  <c r="N19"/>
  <c r="G21"/>
  <c r="G13"/>
  <c r="H13" s="1"/>
  <c r="L13" s="1"/>
  <c r="I18"/>
  <c r="H18" s="1"/>
  <c r="L18" s="1"/>
  <c r="I16"/>
  <c r="H16" s="1"/>
  <c r="N16"/>
  <c r="G20"/>
  <c r="K20" s="1"/>
  <c r="H22" i="8"/>
  <c r="H17"/>
  <c r="K23" i="9"/>
  <c r="H17"/>
  <c r="K17"/>
  <c r="F25"/>
  <c r="N18"/>
  <c r="K18"/>
  <c r="K19"/>
  <c r="M13"/>
  <c r="M21"/>
  <c r="K18" i="8"/>
  <c r="K19"/>
  <c r="L17"/>
  <c r="M17"/>
  <c r="F25"/>
  <c r="M18"/>
  <c r="M18" i="9" l="1"/>
  <c r="H21"/>
  <c r="L21" s="1"/>
  <c r="H20"/>
  <c r="L20" s="1"/>
  <c r="M23" i="8"/>
  <c r="M19"/>
  <c r="H19"/>
  <c r="L19" s="1"/>
  <c r="K16"/>
  <c r="M14" i="9"/>
  <c r="H14"/>
  <c r="L14" s="1"/>
  <c r="K21"/>
  <c r="M20"/>
  <c r="K13"/>
  <c r="M17"/>
  <c r="L17"/>
  <c r="M15"/>
  <c r="L15"/>
  <c r="M22"/>
  <c r="L22"/>
  <c r="M16"/>
  <c r="L16"/>
  <c r="L19"/>
  <c r="M19"/>
  <c r="M23"/>
  <c r="L23"/>
  <c r="L16" i="8"/>
  <c r="M16"/>
  <c r="M20"/>
  <c r="L20"/>
  <c r="M22"/>
  <c r="L22"/>
  <c r="M13"/>
  <c r="L13"/>
  <c r="M21"/>
  <c r="L21"/>
  <c r="M14"/>
  <c r="L14"/>
  <c r="L15"/>
  <c r="M15"/>
  <c r="F14" i="2"/>
  <c r="N14" s="1"/>
  <c r="F15"/>
  <c r="N15" s="1"/>
  <c r="F16"/>
  <c r="F17"/>
  <c r="N17" s="1"/>
  <c r="F18"/>
  <c r="N18" s="1"/>
  <c r="F19"/>
  <c r="N19" s="1"/>
  <c r="F20"/>
  <c r="N20" s="1"/>
  <c r="F21"/>
  <c r="N21" s="1"/>
  <c r="F22"/>
  <c r="N22" s="1"/>
  <c r="F23"/>
  <c r="N23" s="1"/>
  <c r="F24"/>
  <c r="N24" s="1"/>
  <c r="F25"/>
  <c r="N25" s="1"/>
  <c r="F26"/>
  <c r="N26" s="1"/>
  <c r="F27"/>
  <c r="N27" s="1"/>
  <c r="F28"/>
  <c r="N28" s="1"/>
  <c r="F29"/>
  <c r="N29" s="1"/>
  <c r="N16"/>
  <c r="G13" i="7" l="1"/>
  <c r="K13" s="1"/>
  <c r="F13"/>
  <c r="F14"/>
  <c r="F15"/>
  <c r="F16"/>
  <c r="F17"/>
  <c r="F18"/>
  <c r="N18" s="1"/>
  <c r="F19"/>
  <c r="F20"/>
  <c r="F21"/>
  <c r="F22"/>
  <c r="F23"/>
  <c r="J23"/>
  <c r="G23" s="1"/>
  <c r="J22"/>
  <c r="G22" s="1"/>
  <c r="K22" s="1"/>
  <c r="J21"/>
  <c r="G21" s="1"/>
  <c r="J20"/>
  <c r="G20" s="1"/>
  <c r="J19"/>
  <c r="G19" s="1"/>
  <c r="J18"/>
  <c r="J17"/>
  <c r="G17" s="1"/>
  <c r="J16"/>
  <c r="G16" s="1"/>
  <c r="J15"/>
  <c r="G15" s="1"/>
  <c r="J14"/>
  <c r="G14" s="1"/>
  <c r="K14" s="1"/>
  <c r="J13"/>
  <c r="B8"/>
  <c r="F13" i="6"/>
  <c r="F14"/>
  <c r="F15"/>
  <c r="F16"/>
  <c r="F17"/>
  <c r="F18"/>
  <c r="F19"/>
  <c r="F20"/>
  <c r="F21"/>
  <c r="F22"/>
  <c r="F23"/>
  <c r="I14"/>
  <c r="I15"/>
  <c r="I16"/>
  <c r="I17"/>
  <c r="I20"/>
  <c r="I22"/>
  <c r="I23"/>
  <c r="J23"/>
  <c r="G23" s="1"/>
  <c r="J22"/>
  <c r="G22" s="1"/>
  <c r="K22" s="1"/>
  <c r="J21"/>
  <c r="G21" s="1"/>
  <c r="J20"/>
  <c r="G20" s="1"/>
  <c r="K20" s="1"/>
  <c r="J19"/>
  <c r="G19" s="1"/>
  <c r="K19" s="1"/>
  <c r="J18"/>
  <c r="G18" s="1"/>
  <c r="J17"/>
  <c r="G17" s="1"/>
  <c r="J16"/>
  <c r="G16" s="1"/>
  <c r="J15"/>
  <c r="G15" s="1"/>
  <c r="H15" s="1"/>
  <c r="J14"/>
  <c r="G14" s="1"/>
  <c r="H14" s="1"/>
  <c r="J13"/>
  <c r="G13" s="1"/>
  <c r="K13" s="1"/>
  <c r="B8"/>
  <c r="I18" s="1"/>
  <c r="M18" s="1"/>
  <c r="K20" i="3"/>
  <c r="F13"/>
  <c r="F14"/>
  <c r="F15"/>
  <c r="F16"/>
  <c r="F17"/>
  <c r="F18"/>
  <c r="F19"/>
  <c r="F20"/>
  <c r="F21"/>
  <c r="F22"/>
  <c r="F23"/>
  <c r="I20" i="1"/>
  <c r="M20" s="1"/>
  <c r="I21"/>
  <c r="M21" s="1"/>
  <c r="I22"/>
  <c r="M22" s="1"/>
  <c r="I23"/>
  <c r="I24"/>
  <c r="M24" s="1"/>
  <c r="I25"/>
  <c r="I26"/>
  <c r="M26" s="1"/>
  <c r="I27"/>
  <c r="M27" s="1"/>
  <c r="I28"/>
  <c r="M28" s="1"/>
  <c r="I29"/>
  <c r="M29" s="1"/>
  <c r="G20"/>
  <c r="K20" s="1"/>
  <c r="G21"/>
  <c r="K21" s="1"/>
  <c r="G22"/>
  <c r="H22" s="1"/>
  <c r="L22" s="1"/>
  <c r="G23"/>
  <c r="K23" s="1"/>
  <c r="G24"/>
  <c r="K24" s="1"/>
  <c r="G25"/>
  <c r="K25" s="1"/>
  <c r="G26"/>
  <c r="K26" s="1"/>
  <c r="G27"/>
  <c r="G28"/>
  <c r="K28" s="1"/>
  <c r="G29"/>
  <c r="K29" s="1"/>
  <c r="F20"/>
  <c r="N20" s="1"/>
  <c r="F21"/>
  <c r="N21" s="1"/>
  <c r="F22"/>
  <c r="N22" s="1"/>
  <c r="F23"/>
  <c r="N23" s="1"/>
  <c r="F24"/>
  <c r="N24" s="1"/>
  <c r="F25"/>
  <c r="N25" s="1"/>
  <c r="F26"/>
  <c r="N26" s="1"/>
  <c r="F27"/>
  <c r="N27" s="1"/>
  <c r="F28"/>
  <c r="N28" s="1"/>
  <c r="F29"/>
  <c r="N29" s="1"/>
  <c r="I14" i="2"/>
  <c r="M14" s="1"/>
  <c r="I15"/>
  <c r="M15" s="1"/>
  <c r="I16"/>
  <c r="M16" s="1"/>
  <c r="I17"/>
  <c r="M17" s="1"/>
  <c r="I18"/>
  <c r="M18" s="1"/>
  <c r="I19"/>
  <c r="M19" s="1"/>
  <c r="I20"/>
  <c r="I21"/>
  <c r="M21" s="1"/>
  <c r="I22"/>
  <c r="M22" s="1"/>
  <c r="I23"/>
  <c r="M23" s="1"/>
  <c r="I24"/>
  <c r="M24" s="1"/>
  <c r="I25"/>
  <c r="M25" s="1"/>
  <c r="I26"/>
  <c r="M26" s="1"/>
  <c r="I27"/>
  <c r="M27" s="1"/>
  <c r="I28"/>
  <c r="I29"/>
  <c r="M29" s="1"/>
  <c r="G14"/>
  <c r="K14" s="1"/>
  <c r="G15"/>
  <c r="G16"/>
  <c r="G17"/>
  <c r="G18"/>
  <c r="K18" s="1"/>
  <c r="G19"/>
  <c r="K19" s="1"/>
  <c r="G20"/>
  <c r="K20" s="1"/>
  <c r="G21"/>
  <c r="K21" s="1"/>
  <c r="G22"/>
  <c r="K22" s="1"/>
  <c r="G23"/>
  <c r="G24"/>
  <c r="G25"/>
  <c r="G26"/>
  <c r="K26" s="1"/>
  <c r="G27"/>
  <c r="K27" s="1"/>
  <c r="G28"/>
  <c r="K28" s="1"/>
  <c r="G29"/>
  <c r="K29" s="1"/>
  <c r="F13" i="4"/>
  <c r="F14"/>
  <c r="F15"/>
  <c r="F16"/>
  <c r="F17"/>
  <c r="F18"/>
  <c r="F19"/>
  <c r="N19" s="1"/>
  <c r="F20"/>
  <c r="F21"/>
  <c r="F22"/>
  <c r="F23"/>
  <c r="N23" s="1"/>
  <c r="F13" i="5"/>
  <c r="F14"/>
  <c r="F15"/>
  <c r="F16"/>
  <c r="F17"/>
  <c r="F18"/>
  <c r="F19"/>
  <c r="F20"/>
  <c r="F21"/>
  <c r="F22"/>
  <c r="F23"/>
  <c r="G18"/>
  <c r="J23"/>
  <c r="G23" s="1"/>
  <c r="K23" s="1"/>
  <c r="J22"/>
  <c r="G22" s="1"/>
  <c r="K22" s="1"/>
  <c r="J21"/>
  <c r="G21" s="1"/>
  <c r="K21" s="1"/>
  <c r="J20"/>
  <c r="G20" s="1"/>
  <c r="K20" s="1"/>
  <c r="J19"/>
  <c r="G19" s="1"/>
  <c r="K19" s="1"/>
  <c r="J18"/>
  <c r="J17"/>
  <c r="G17" s="1"/>
  <c r="K17" s="1"/>
  <c r="J16"/>
  <c r="G16" s="1"/>
  <c r="J15"/>
  <c r="G15" s="1"/>
  <c r="J14"/>
  <c r="G14" s="1"/>
  <c r="K14" s="1"/>
  <c r="J13"/>
  <c r="N13" s="1"/>
  <c r="B8"/>
  <c r="I16" s="1"/>
  <c r="M16" s="1"/>
  <c r="G19" i="4"/>
  <c r="G21"/>
  <c r="J23"/>
  <c r="G23" s="1"/>
  <c r="J22"/>
  <c r="G22" s="1"/>
  <c r="K22" s="1"/>
  <c r="J21"/>
  <c r="J20"/>
  <c r="G20" s="1"/>
  <c r="J19"/>
  <c r="J18"/>
  <c r="G18" s="1"/>
  <c r="K18" s="1"/>
  <c r="J17"/>
  <c r="G17" s="1"/>
  <c r="K17" s="1"/>
  <c r="J16"/>
  <c r="G16" s="1"/>
  <c r="K16" s="1"/>
  <c r="J15"/>
  <c r="G15" s="1"/>
  <c r="J14"/>
  <c r="G14" s="1"/>
  <c r="K14" s="1"/>
  <c r="J13"/>
  <c r="G13" s="1"/>
  <c r="B8"/>
  <c r="I17" s="1"/>
  <c r="J13" i="3"/>
  <c r="G13" s="1"/>
  <c r="K13" s="1"/>
  <c r="J14"/>
  <c r="J15"/>
  <c r="G15" s="1"/>
  <c r="K15" s="1"/>
  <c r="J16"/>
  <c r="G16" s="1"/>
  <c r="K16" s="1"/>
  <c r="J17"/>
  <c r="G17" s="1"/>
  <c r="K17" s="1"/>
  <c r="J18"/>
  <c r="G18" s="1"/>
  <c r="K18" s="1"/>
  <c r="J19"/>
  <c r="G19" s="1"/>
  <c r="K19" s="1"/>
  <c r="J20"/>
  <c r="G20" s="1"/>
  <c r="J21"/>
  <c r="J22"/>
  <c r="G22" s="1"/>
  <c r="K22" s="1"/>
  <c r="J23"/>
  <c r="G23" s="1"/>
  <c r="K23" s="1"/>
  <c r="G14"/>
  <c r="K14" s="1"/>
  <c r="G21"/>
  <c r="K21" s="1"/>
  <c r="B8"/>
  <c r="I18" s="1"/>
  <c r="M18" s="1"/>
  <c r="F13" i="1"/>
  <c r="F13" i="2"/>
  <c r="N17" i="3" l="1"/>
  <c r="N18" i="4"/>
  <c r="N15"/>
  <c r="N22"/>
  <c r="N14"/>
  <c r="N22" i="5"/>
  <c r="N14"/>
  <c r="N20"/>
  <c r="N19" i="6"/>
  <c r="N20"/>
  <c r="H16"/>
  <c r="N18"/>
  <c r="N15" i="7"/>
  <c r="N21"/>
  <c r="K23"/>
  <c r="H17"/>
  <c r="K15"/>
  <c r="N16"/>
  <c r="N17"/>
  <c r="I16"/>
  <c r="H16" s="1"/>
  <c r="I23"/>
  <c r="H23" s="1"/>
  <c r="I15"/>
  <c r="H15" s="1"/>
  <c r="I22"/>
  <c r="I14"/>
  <c r="I13"/>
  <c r="H13" s="1"/>
  <c r="L13" s="1"/>
  <c r="I21"/>
  <c r="H21" s="1"/>
  <c r="L21" s="1"/>
  <c r="I20"/>
  <c r="H20" s="1"/>
  <c r="L20" s="1"/>
  <c r="I19"/>
  <c r="M19" s="1"/>
  <c r="I18"/>
  <c r="M18" s="1"/>
  <c r="I17"/>
  <c r="G18"/>
  <c r="K19"/>
  <c r="N22"/>
  <c r="N14"/>
  <c r="K21"/>
  <c r="N20"/>
  <c r="H19"/>
  <c r="L19" s="1"/>
  <c r="N13"/>
  <c r="F25"/>
  <c r="N19"/>
  <c r="K16"/>
  <c r="H23" i="6"/>
  <c r="K21"/>
  <c r="H18"/>
  <c r="N17"/>
  <c r="I21"/>
  <c r="H21" s="1"/>
  <c r="I13"/>
  <c r="H13" s="1"/>
  <c r="N16"/>
  <c r="K15"/>
  <c r="N15"/>
  <c r="I19"/>
  <c r="H19" s="1"/>
  <c r="N22"/>
  <c r="N14"/>
  <c r="N23"/>
  <c r="N21"/>
  <c r="N13"/>
  <c r="F25"/>
  <c r="K15" i="5"/>
  <c r="I23"/>
  <c r="M23" s="1"/>
  <c r="I15"/>
  <c r="M15" s="1"/>
  <c r="I22"/>
  <c r="I14"/>
  <c r="N21"/>
  <c r="H16"/>
  <c r="L16" s="1"/>
  <c r="N19"/>
  <c r="I19"/>
  <c r="N18"/>
  <c r="K18"/>
  <c r="I21"/>
  <c r="M21" s="1"/>
  <c r="I13"/>
  <c r="M13" s="1"/>
  <c r="I20"/>
  <c r="M20" s="1"/>
  <c r="G13"/>
  <c r="K13" s="1"/>
  <c r="I18"/>
  <c r="M18" s="1"/>
  <c r="N17"/>
  <c r="I17"/>
  <c r="N16"/>
  <c r="K16"/>
  <c r="N15"/>
  <c r="K15" i="4"/>
  <c r="I16"/>
  <c r="H16" s="1"/>
  <c r="I23"/>
  <c r="I15"/>
  <c r="M15" s="1"/>
  <c r="I22"/>
  <c r="M22" s="1"/>
  <c r="I14"/>
  <c r="M14" s="1"/>
  <c r="N17"/>
  <c r="I21"/>
  <c r="M21" s="1"/>
  <c r="I13"/>
  <c r="M13" s="1"/>
  <c r="N16"/>
  <c r="I20"/>
  <c r="H20" s="1"/>
  <c r="L20" s="1"/>
  <c r="I19"/>
  <c r="M19" s="1"/>
  <c r="N21"/>
  <c r="I18"/>
  <c r="N13"/>
  <c r="N20"/>
  <c r="H19"/>
  <c r="L19" s="1"/>
  <c r="N16" i="3"/>
  <c r="N23"/>
  <c r="N15"/>
  <c r="I13"/>
  <c r="M13" s="1"/>
  <c r="N22"/>
  <c r="N14"/>
  <c r="N21"/>
  <c r="N13"/>
  <c r="N20"/>
  <c r="N19"/>
  <c r="N18"/>
  <c r="H24" i="2"/>
  <c r="L24" s="1"/>
  <c r="K24"/>
  <c r="H16"/>
  <c r="L16" s="1"/>
  <c r="K16"/>
  <c r="H17"/>
  <c r="L17" s="1"/>
  <c r="K17"/>
  <c r="H23"/>
  <c r="L23" s="1"/>
  <c r="K23"/>
  <c r="H15"/>
  <c r="L15" s="1"/>
  <c r="K15"/>
  <c r="H25"/>
  <c r="L25" s="1"/>
  <c r="K25"/>
  <c r="H28"/>
  <c r="L28" s="1"/>
  <c r="M28"/>
  <c r="H20"/>
  <c r="L20" s="1"/>
  <c r="M20"/>
  <c r="H25" i="1"/>
  <c r="L25" s="1"/>
  <c r="H23"/>
  <c r="L23" s="1"/>
  <c r="M23"/>
  <c r="K22"/>
  <c r="F25" i="5"/>
  <c r="F25" i="3"/>
  <c r="H22" i="7"/>
  <c r="K17"/>
  <c r="H14"/>
  <c r="K20"/>
  <c r="N23"/>
  <c r="M13"/>
  <c r="M21"/>
  <c r="H20" i="6"/>
  <c r="K17"/>
  <c r="K14"/>
  <c r="H17"/>
  <c r="L17" s="1"/>
  <c r="H22"/>
  <c r="K23"/>
  <c r="K18"/>
  <c r="K16"/>
  <c r="M16"/>
  <c r="L16"/>
  <c r="L18"/>
  <c r="M17"/>
  <c r="F25" i="4"/>
  <c r="H14" i="2"/>
  <c r="L14" s="1"/>
  <c r="H22"/>
  <c r="L22" s="1"/>
  <c r="H19"/>
  <c r="L19" s="1"/>
  <c r="H18"/>
  <c r="L18" s="1"/>
  <c r="H29"/>
  <c r="L29" s="1"/>
  <c r="H27"/>
  <c r="L27" s="1"/>
  <c r="H26"/>
  <c r="L26" s="1"/>
  <c r="H27" i="1"/>
  <c r="L27" s="1"/>
  <c r="K27"/>
  <c r="H26"/>
  <c r="L26" s="1"/>
  <c r="M25"/>
  <c r="H24"/>
  <c r="L24" s="1"/>
  <c r="H29"/>
  <c r="L29" s="1"/>
  <c r="H21"/>
  <c r="L21" s="1"/>
  <c r="H28"/>
  <c r="L28" s="1"/>
  <c r="H20"/>
  <c r="L20" s="1"/>
  <c r="H21" i="2"/>
  <c r="L21" s="1"/>
  <c r="H21" i="5"/>
  <c r="L21" s="1"/>
  <c r="N23"/>
  <c r="H22" i="4"/>
  <c r="L22" s="1"/>
  <c r="H18"/>
  <c r="K19"/>
  <c r="K23"/>
  <c r="H14"/>
  <c r="L14" s="1"/>
  <c r="H17"/>
  <c r="K20"/>
  <c r="K21"/>
  <c r="K13"/>
  <c r="I17" i="3"/>
  <c r="M17" s="1"/>
  <c r="I16"/>
  <c r="M16" s="1"/>
  <c r="I23"/>
  <c r="I15"/>
  <c r="M15" s="1"/>
  <c r="I22"/>
  <c r="M22" s="1"/>
  <c r="I14"/>
  <c r="M14" s="1"/>
  <c r="I21"/>
  <c r="M21" s="1"/>
  <c r="I20"/>
  <c r="M20" s="1"/>
  <c r="I19"/>
  <c r="M19" s="1"/>
  <c r="H22"/>
  <c r="L22" s="1"/>
  <c r="H14"/>
  <c r="L14" s="1"/>
  <c r="H18"/>
  <c r="L18" s="1"/>
  <c r="N13" i="2"/>
  <c r="G13"/>
  <c r="K13" s="1"/>
  <c r="B8"/>
  <c r="I14" i="1"/>
  <c r="I15"/>
  <c r="I16"/>
  <c r="I17"/>
  <c r="I18"/>
  <c r="I19"/>
  <c r="I13"/>
  <c r="F14"/>
  <c r="N14" s="1"/>
  <c r="F15"/>
  <c r="N15" s="1"/>
  <c r="F16"/>
  <c r="N16" s="1"/>
  <c r="F17"/>
  <c r="N17" s="1"/>
  <c r="F18"/>
  <c r="N18" s="1"/>
  <c r="F19"/>
  <c r="N19" s="1"/>
  <c r="N13"/>
  <c r="G14"/>
  <c r="K14" s="1"/>
  <c r="G15"/>
  <c r="K15" s="1"/>
  <c r="G16"/>
  <c r="K16" s="1"/>
  <c r="G17"/>
  <c r="K17" s="1"/>
  <c r="G18"/>
  <c r="K18" s="1"/>
  <c r="G19"/>
  <c r="K19" s="1"/>
  <c r="G13"/>
  <c r="K13" s="1"/>
  <c r="B8"/>
  <c r="H15" i="3" l="1"/>
  <c r="L15" s="1"/>
  <c r="H13"/>
  <c r="L13" s="1"/>
  <c r="H15" i="4"/>
  <c r="L15" s="1"/>
  <c r="M20"/>
  <c r="H23" i="5"/>
  <c r="L23" s="1"/>
  <c r="H13"/>
  <c r="L13" s="1"/>
  <c r="M20" i="7"/>
  <c r="H18"/>
  <c r="L18" s="1"/>
  <c r="K18"/>
  <c r="H22" i="5"/>
  <c r="L22" s="1"/>
  <c r="M22"/>
  <c r="H14"/>
  <c r="L14" s="1"/>
  <c r="M14"/>
  <c r="H17"/>
  <c r="L17" s="1"/>
  <c r="M17"/>
  <c r="H19"/>
  <c r="L19" s="1"/>
  <c r="M19"/>
  <c r="H18"/>
  <c r="L18" s="1"/>
  <c r="H20"/>
  <c r="L20" s="1"/>
  <c r="H15"/>
  <c r="L15" s="1"/>
  <c r="H21" i="4"/>
  <c r="L21" s="1"/>
  <c r="H13"/>
  <c r="L13" s="1"/>
  <c r="H23"/>
  <c r="L23" s="1"/>
  <c r="M23"/>
  <c r="H23" i="3"/>
  <c r="L23" s="1"/>
  <c r="M23"/>
  <c r="H19"/>
  <c r="L19" s="1"/>
  <c r="H17"/>
  <c r="L17" s="1"/>
  <c r="H21"/>
  <c r="L21" s="1"/>
  <c r="M23" i="7"/>
  <c r="L23"/>
  <c r="M15"/>
  <c r="L15"/>
  <c r="L17"/>
  <c r="M17"/>
  <c r="M22"/>
  <c r="L22"/>
  <c r="M16"/>
  <c r="L16"/>
  <c r="M14"/>
  <c r="L14"/>
  <c r="L13" i="6"/>
  <c r="M13"/>
  <c r="M20"/>
  <c r="L20"/>
  <c r="L21"/>
  <c r="M21"/>
  <c r="M14"/>
  <c r="L14"/>
  <c r="M23"/>
  <c r="L23"/>
  <c r="L15"/>
  <c r="M15"/>
  <c r="L19"/>
  <c r="M19"/>
  <c r="L22"/>
  <c r="M22"/>
  <c r="L18" i="4"/>
  <c r="M18"/>
  <c r="M16"/>
  <c r="L16"/>
  <c r="L17"/>
  <c r="M17"/>
  <c r="H20" i="3"/>
  <c r="L20" s="1"/>
  <c r="H16"/>
  <c r="L16" s="1"/>
  <c r="I13" i="2"/>
  <c r="M18" i="1"/>
  <c r="M17"/>
  <c r="M14"/>
  <c r="H14"/>
  <c r="L14" s="1"/>
  <c r="H13" i="2" l="1"/>
  <c r="L13" s="1"/>
  <c r="M13"/>
  <c r="H18" i="1"/>
  <c r="L18" s="1"/>
  <c r="H15"/>
  <c r="L15" s="1"/>
  <c r="M15"/>
  <c r="H17"/>
  <c r="L17" s="1"/>
  <c r="H19"/>
  <c r="L19" s="1"/>
  <c r="M19"/>
  <c r="M16"/>
  <c r="H16"/>
  <c r="L16" s="1"/>
  <c r="M13"/>
  <c r="H13"/>
  <c r="L13" s="1"/>
</calcChain>
</file>

<file path=xl/sharedStrings.xml><?xml version="1.0" encoding="utf-8"?>
<sst xmlns="http://schemas.openxmlformats.org/spreadsheetml/2006/main" count="228" uniqueCount="46">
  <si>
    <t>Hoerner's Curve:</t>
  </si>
  <si>
    <t>A</t>
  </si>
  <si>
    <t>e</t>
  </si>
  <si>
    <t>Cl</t>
  </si>
  <si>
    <r>
      <t>f(</t>
    </r>
    <r>
      <rPr>
        <sz val="11"/>
        <color theme="1"/>
        <rFont val="Calibri"/>
        <family val="2"/>
      </rPr>
      <t>λ</t>
    </r>
    <r>
      <rPr>
        <sz val="11"/>
        <color theme="1"/>
        <rFont val="Calibri"/>
        <family val="2"/>
        <scheme val="minor"/>
      </rPr>
      <t>)</t>
    </r>
  </si>
  <si>
    <t>Theoretical</t>
  </si>
  <si>
    <t>Error [%]</t>
  </si>
  <si>
    <t>Case 1: λ = 1 (cte) and A is variable</t>
  </si>
  <si>
    <t>Alpha [°]</t>
  </si>
  <si>
    <t>M =</t>
  </si>
  <si>
    <t>β =</t>
  </si>
  <si>
    <t xml:space="preserve">κ = </t>
  </si>
  <si>
    <t>Case 2: λopt = 0.357 (cte) and A is variable</t>
  </si>
  <si>
    <t>Cdi</t>
  </si>
  <si>
    <t>Case 3: λ = variable and A = 5 (cte)</t>
  </si>
  <si>
    <t>Case 5: λ = variable and A = 20 (cte)</t>
  </si>
  <si>
    <t>Case 4: λ = variable and A = 10 (cte)</t>
  </si>
  <si>
    <t>λ</t>
  </si>
  <si>
    <t>A = 5</t>
  </si>
  <si>
    <t>A = 10</t>
  </si>
  <si>
    <t>A = 20</t>
  </si>
  <si>
    <t>A = 30</t>
  </si>
  <si>
    <t>A = 40</t>
  </si>
  <si>
    <t>A = 7.5</t>
  </si>
  <si>
    <t>A = 6</t>
  </si>
  <si>
    <t>Case 6: λ = variable and A = 30 (cte)</t>
  </si>
  <si>
    <t>Case 7: λ = variable and A = 40 (cte)</t>
  </si>
  <si>
    <t>Case 8: λ = variable and A = 7.5 (cte)</t>
  </si>
  <si>
    <t>Case 9: λ = variable and A = 6 (cte)</t>
  </si>
  <si>
    <t>VSPAERO: Panel Method</t>
  </si>
  <si>
    <t>Minimal error:</t>
  </si>
  <si>
    <t>This Excel-file provides the post processing of the results obtained by the Hoerner's Curve experiment (using the Panel Method) done for the Master Thesis 'Software Testing: VSPAERO' by Floris Mariën at HAW Hamburg. The experiment consists of 9 cases as described in the thesis. At the first two cases, the taper ratio is held constant and these examinate if the aspect ratio of a wing has an influence on the result for lift, drag, Oswald efficiency or Hoerner's curve, vompared to theoretical values. Case 3 to 9 are done to construct the Hoerner's Curve and examinate if a growing aspect ratio comes closer to the theoretical curve.</t>
  </si>
  <si>
    <t>Copyright © 2021</t>
  </si>
  <si>
    <t>Floris Mariën</t>
  </si>
  <si>
    <t>The spreadsheet for the Master Thesis</t>
  </si>
  <si>
    <t>"Software Testing: VSPAERO"</t>
  </si>
  <si>
    <t>is free software: you can redistribute it and/or modify it</t>
  </si>
  <si>
    <t>under the terms of the GNU General Public License as published by</t>
  </si>
  <si>
    <t>the Free Software Foundation, License Version 3.</t>
  </si>
  <si>
    <t>The spreadsheet is distributed in the hope that it will be useful,</t>
  </si>
  <si>
    <t>but WITHOUT ANY WARRANTY; without even the implied warranty of</t>
  </si>
  <si>
    <t>MERCHANTABILITY or FITNESS FOR A PARTICULAR PURPOSE.</t>
  </si>
  <si>
    <t>See the GNU General Public License for more details.</t>
  </si>
  <si>
    <t xml:space="preserve">http://www.gnu.org/licenses/ </t>
  </si>
  <si>
    <t>This file is stored here:</t>
  </si>
  <si>
    <t>https://doi.org/10.7910/DVN/0S1R14</t>
  </si>
</sst>
</file>

<file path=xl/styles.xml><?xml version="1.0" encoding="utf-8"?>
<styleSheet xmlns="http://schemas.openxmlformats.org/spreadsheetml/2006/main">
  <numFmts count="1">
    <numFmt numFmtId="164" formatCode="0.000"/>
  </numFmts>
  <fonts count="10"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u/>
      <sz val="10"/>
      <color theme="10"/>
      <name val="Arial"/>
      <family val="2"/>
    </font>
    <font>
      <u/>
      <sz val="11"/>
      <color indexed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27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ill="1"/>
    <xf numFmtId="0" fontId="0" fillId="0" borderId="0" xfId="0" applyFill="1" applyBorder="1"/>
    <xf numFmtId="0" fontId="0" fillId="0" borderId="8" xfId="0" applyBorder="1"/>
    <xf numFmtId="164" fontId="0" fillId="0" borderId="0" xfId="0" applyNumberFormat="1"/>
    <xf numFmtId="164" fontId="0" fillId="0" borderId="8" xfId="0" applyNumberFormat="1" applyBorder="1"/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/>
    </xf>
    <xf numFmtId="0" fontId="5" fillId="2" borderId="0" xfId="1" applyFont="1" applyFill="1"/>
    <xf numFmtId="0" fontId="4" fillId="2" borderId="0" xfId="1" applyFill="1"/>
    <xf numFmtId="0" fontId="4" fillId="0" borderId="0" xfId="1"/>
    <xf numFmtId="0" fontId="4" fillId="2" borderId="0" xfId="1" applyFont="1" applyFill="1"/>
    <xf numFmtId="0" fontId="6" fillId="2" borderId="0" xfId="1" applyFont="1" applyFill="1"/>
    <xf numFmtId="0" fontId="7" fillId="2" borderId="0" xfId="1" applyFont="1" applyFill="1"/>
    <xf numFmtId="0" fontId="9" fillId="2" borderId="0" xfId="2" applyFont="1" applyFill="1" applyAlignment="1" applyProtection="1"/>
    <xf numFmtId="0" fontId="8" fillId="2" borderId="0" xfId="2" applyFill="1" applyAlignment="1" applyProtection="1"/>
  </cellXfs>
  <cellStyles count="3">
    <cellStyle name="Hyperlink" xfId="2" builtinId="8"/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e(A)</a:t>
            </a:r>
          </a:p>
        </c:rich>
      </c:tx>
      <c:layout/>
      <c:spPr>
        <a:noFill/>
        <a:ln>
          <a:noFill/>
        </a:ln>
        <a:effectLst/>
      </c:spPr>
    </c:title>
    <c:plotArea>
      <c:layout/>
      <c:scatterChart>
        <c:scatterStyle val="smoothMarker"/>
        <c:ser>
          <c:idx val="0"/>
          <c:order val="0"/>
          <c:tx>
            <c:strRef>
              <c:f>'Case 1'!$C$11:$F$11</c:f>
              <c:strCache>
                <c:ptCount val="1"/>
                <c:pt idx="0">
                  <c:v>VSPAERO: Panel Method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'Case 1'!$A$13:$A$29</c:f>
              <c:numCache>
                <c:formatCode>General</c:formatCode>
                <c:ptCount val="17"/>
                <c:pt idx="0">
                  <c:v>5</c:v>
                </c:pt>
                <c:pt idx="1">
                  <c:v>7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13</c:v>
                </c:pt>
                <c:pt idx="6">
                  <c:v>15</c:v>
                </c:pt>
                <c:pt idx="7">
                  <c:v>17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30</c:v>
                </c:pt>
                <c:pt idx="13">
                  <c:v>35</c:v>
                </c:pt>
                <c:pt idx="14">
                  <c:v>40</c:v>
                </c:pt>
                <c:pt idx="15">
                  <c:v>45</c:v>
                </c:pt>
                <c:pt idx="16">
                  <c:v>50</c:v>
                </c:pt>
              </c:numCache>
            </c:numRef>
          </c:xVal>
          <c:yVal>
            <c:numRef>
              <c:f>'Case 1'!$C$13:$C$29</c:f>
              <c:numCache>
                <c:formatCode>0.000</c:formatCode>
                <c:ptCount val="17"/>
                <c:pt idx="0">
                  <c:v>0.85919999999999996</c:v>
                </c:pt>
                <c:pt idx="1">
                  <c:v>0.82931999999999995</c:v>
                </c:pt>
                <c:pt idx="2">
                  <c:v>0.81213000000000002</c:v>
                </c:pt>
                <c:pt idx="3">
                  <c:v>0.80916999999999994</c:v>
                </c:pt>
                <c:pt idx="4">
                  <c:v>0.80347000000000002</c:v>
                </c:pt>
                <c:pt idx="5">
                  <c:v>0.79242000000000001</c:v>
                </c:pt>
                <c:pt idx="6">
                  <c:v>0.78454999999999997</c:v>
                </c:pt>
                <c:pt idx="7">
                  <c:v>0.77602000000000004</c:v>
                </c:pt>
                <c:pt idx="8">
                  <c:v>0.75956000000000001</c:v>
                </c:pt>
                <c:pt idx="9">
                  <c:v>0.74860000000000004</c:v>
                </c:pt>
                <c:pt idx="10">
                  <c:v>0.74226999999999999</c:v>
                </c:pt>
                <c:pt idx="11">
                  <c:v>0.74931000000000003</c:v>
                </c:pt>
                <c:pt idx="12">
                  <c:v>0.72257000000000005</c:v>
                </c:pt>
                <c:pt idx="13">
                  <c:v>0.70111999999999997</c:v>
                </c:pt>
                <c:pt idx="14">
                  <c:v>0.69538</c:v>
                </c:pt>
                <c:pt idx="15">
                  <c:v>0.66849000000000003</c:v>
                </c:pt>
                <c:pt idx="16">
                  <c:v>0.67532000000000003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725F-45CB-85F5-A48F76203545}"/>
            </c:ext>
          </c:extLst>
        </c:ser>
        <c:ser>
          <c:idx val="1"/>
          <c:order val="1"/>
          <c:tx>
            <c:strRef>
              <c:f>'Case 1'!$G$11:$J$11</c:f>
              <c:strCache>
                <c:ptCount val="1"/>
                <c:pt idx="0">
                  <c:v>Theoretical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'Case 1'!$A$13:$A$29</c:f>
              <c:numCache>
                <c:formatCode>General</c:formatCode>
                <c:ptCount val="17"/>
                <c:pt idx="0">
                  <c:v>5</c:v>
                </c:pt>
                <c:pt idx="1">
                  <c:v>7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13</c:v>
                </c:pt>
                <c:pt idx="6">
                  <c:v>15</c:v>
                </c:pt>
                <c:pt idx="7">
                  <c:v>17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30</c:v>
                </c:pt>
                <c:pt idx="13">
                  <c:v>35</c:v>
                </c:pt>
                <c:pt idx="14">
                  <c:v>40</c:v>
                </c:pt>
                <c:pt idx="15">
                  <c:v>45</c:v>
                </c:pt>
                <c:pt idx="16">
                  <c:v>50</c:v>
                </c:pt>
              </c:numCache>
            </c:numRef>
          </c:xVal>
          <c:yVal>
            <c:numRef>
              <c:f>'Case 1'!$G$13:$G$29</c:f>
              <c:numCache>
                <c:formatCode>0.000</c:formatCode>
                <c:ptCount val="17"/>
                <c:pt idx="0">
                  <c:v>0.95419847328244267</c:v>
                </c:pt>
                <c:pt idx="1">
                  <c:v>0.93703148425787108</c:v>
                </c:pt>
                <c:pt idx="2">
                  <c:v>0.92047128129602351</c:v>
                </c:pt>
                <c:pt idx="3">
                  <c:v>0.91240875912408748</c:v>
                </c:pt>
                <c:pt idx="4">
                  <c:v>0.90448625180897257</c:v>
                </c:pt>
                <c:pt idx="5">
                  <c:v>0.88904694167852061</c:v>
                </c:pt>
                <c:pt idx="6">
                  <c:v>0.87412587412587417</c:v>
                </c:pt>
                <c:pt idx="7">
                  <c:v>0.85969738651994498</c:v>
                </c:pt>
                <c:pt idx="8">
                  <c:v>0.84573748308525043</c:v>
                </c:pt>
                <c:pt idx="9">
                  <c:v>0.83222370173102533</c:v>
                </c:pt>
                <c:pt idx="10">
                  <c:v>0.81913499344692009</c:v>
                </c:pt>
                <c:pt idx="11">
                  <c:v>0.80645161290322587</c:v>
                </c:pt>
                <c:pt idx="12">
                  <c:v>0.77639751552795033</c:v>
                </c:pt>
                <c:pt idx="13">
                  <c:v>0.74850299401197617</c:v>
                </c:pt>
                <c:pt idx="14">
                  <c:v>0.7225433526011561</c:v>
                </c:pt>
                <c:pt idx="15">
                  <c:v>0.6983240223463687</c:v>
                </c:pt>
                <c:pt idx="16">
                  <c:v>0.67567567567567566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725F-45CB-85F5-A48F76203545}"/>
            </c:ext>
          </c:extLst>
        </c:ser>
        <c:axId val="174356352"/>
        <c:axId val="209705600"/>
      </c:scatterChart>
      <c:valAx>
        <c:axId val="17435635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705600"/>
        <c:crosses val="autoZero"/>
        <c:crossBetween val="midCat"/>
      </c:valAx>
      <c:valAx>
        <c:axId val="20970560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e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0.0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3563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Cdi(A)</a:t>
            </a:r>
          </a:p>
        </c:rich>
      </c:tx>
      <c:layout/>
      <c:spPr>
        <a:noFill/>
        <a:ln>
          <a:noFill/>
        </a:ln>
        <a:effectLst/>
      </c:spPr>
    </c:title>
    <c:plotArea>
      <c:layout/>
      <c:scatterChart>
        <c:scatterStyle val="smoothMarker"/>
        <c:ser>
          <c:idx val="0"/>
          <c:order val="0"/>
          <c:tx>
            <c:strRef>
              <c:f>'Case 1'!$C$11:$F$11</c:f>
              <c:strCache>
                <c:ptCount val="1"/>
                <c:pt idx="0">
                  <c:v>VSPAERO: Panel Method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'Case 1'!$A$13:$A$29</c:f>
              <c:numCache>
                <c:formatCode>General</c:formatCode>
                <c:ptCount val="17"/>
                <c:pt idx="0">
                  <c:v>5</c:v>
                </c:pt>
                <c:pt idx="1">
                  <c:v>7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13</c:v>
                </c:pt>
                <c:pt idx="6">
                  <c:v>15</c:v>
                </c:pt>
                <c:pt idx="7">
                  <c:v>17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30</c:v>
                </c:pt>
                <c:pt idx="13">
                  <c:v>35</c:v>
                </c:pt>
                <c:pt idx="14">
                  <c:v>40</c:v>
                </c:pt>
                <c:pt idx="15">
                  <c:v>45</c:v>
                </c:pt>
                <c:pt idx="16">
                  <c:v>50</c:v>
                </c:pt>
              </c:numCache>
            </c:numRef>
          </c:xVal>
          <c:yVal>
            <c:numRef>
              <c:f>'Case 1'!$D$13:$D$29</c:f>
              <c:numCache>
                <c:formatCode>0.000</c:formatCode>
                <c:ptCount val="17"/>
                <c:pt idx="0">
                  <c:v>3.3140000000000003E-2</c:v>
                </c:pt>
                <c:pt idx="1">
                  <c:v>3.0179999999999998E-2</c:v>
                </c:pt>
                <c:pt idx="2">
                  <c:v>2.7390000000000001E-2</c:v>
                </c:pt>
                <c:pt idx="3">
                  <c:v>2.631E-2</c:v>
                </c:pt>
                <c:pt idx="4">
                  <c:v>2.4930000000000001E-2</c:v>
                </c:pt>
                <c:pt idx="5">
                  <c:v>2.308E-2</c:v>
                </c:pt>
                <c:pt idx="6">
                  <c:v>2.1229999999999999E-2</c:v>
                </c:pt>
                <c:pt idx="7">
                  <c:v>1.975E-2</c:v>
                </c:pt>
                <c:pt idx="8">
                  <c:v>1.865E-2</c:v>
                </c:pt>
                <c:pt idx="9">
                  <c:v>1.7479999999999999E-2</c:v>
                </c:pt>
                <c:pt idx="10">
                  <c:v>1.6469999999999999E-2</c:v>
                </c:pt>
                <c:pt idx="11">
                  <c:v>1.542E-2</c:v>
                </c:pt>
                <c:pt idx="12">
                  <c:v>1.379E-2</c:v>
                </c:pt>
                <c:pt idx="13">
                  <c:v>1.2489999999999999E-2</c:v>
                </c:pt>
                <c:pt idx="14">
                  <c:v>1.1270000000000001E-2</c:v>
                </c:pt>
                <c:pt idx="15">
                  <c:v>1.057E-2</c:v>
                </c:pt>
                <c:pt idx="16">
                  <c:v>9.5700000000000004E-3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74DC-43C4-A8E0-0C3DA849C1B7}"/>
            </c:ext>
          </c:extLst>
        </c:ser>
        <c:ser>
          <c:idx val="1"/>
          <c:order val="1"/>
          <c:tx>
            <c:strRef>
              <c:f>'Case 1'!$G$11:$J$11</c:f>
              <c:strCache>
                <c:ptCount val="1"/>
                <c:pt idx="0">
                  <c:v>Theoretical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'Case 1'!$A$13:$A$29</c:f>
              <c:numCache>
                <c:formatCode>General</c:formatCode>
                <c:ptCount val="17"/>
                <c:pt idx="0">
                  <c:v>5</c:v>
                </c:pt>
                <c:pt idx="1">
                  <c:v>7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13</c:v>
                </c:pt>
                <c:pt idx="6">
                  <c:v>15</c:v>
                </c:pt>
                <c:pt idx="7">
                  <c:v>17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30</c:v>
                </c:pt>
                <c:pt idx="13">
                  <c:v>35</c:v>
                </c:pt>
                <c:pt idx="14">
                  <c:v>40</c:v>
                </c:pt>
                <c:pt idx="15">
                  <c:v>45</c:v>
                </c:pt>
                <c:pt idx="16">
                  <c:v>50</c:v>
                </c:pt>
              </c:numCache>
            </c:numRef>
          </c:xVal>
          <c:yVal>
            <c:numRef>
              <c:f>'Case 1'!$H$13:$H$29</c:f>
              <c:numCache>
                <c:formatCode>0.000</c:formatCode>
                <c:ptCount val="17"/>
                <c:pt idx="0">
                  <c:v>3.6522171375664436E-2</c:v>
                </c:pt>
                <c:pt idx="1">
                  <c:v>3.2939770891274443E-2</c:v>
                </c:pt>
                <c:pt idx="2">
                  <c:v>2.9477337064476656E-2</c:v>
                </c:pt>
                <c:pt idx="3">
                  <c:v>2.7947139623199672E-2</c:v>
                </c:pt>
                <c:pt idx="4">
                  <c:v>2.6555954277588466E-2</c:v>
                </c:pt>
                <c:pt idx="5">
                  <c:v>2.4150190625440614E-2</c:v>
                </c:pt>
                <c:pt idx="6">
                  <c:v>2.2164822352359639E-2</c:v>
                </c:pt>
                <c:pt idx="7">
                  <c:v>2.0510697786922129E-2</c:v>
                </c:pt>
                <c:pt idx="8">
                  <c:v>1.9116918963289573E-2</c:v>
                </c:pt>
                <c:pt idx="9">
                  <c:v>1.7929354867822989E-2</c:v>
                </c:pt>
                <c:pt idx="10">
                  <c:v>1.6906947406352971E-2</c:v>
                </c:pt>
                <c:pt idx="11">
                  <c:v>1.6018382825141435E-2</c:v>
                </c:pt>
                <c:pt idx="12">
                  <c:v>1.4236998173817472E-2</c:v>
                </c:pt>
                <c:pt idx="13">
                  <c:v>1.2899515127213577E-2</c:v>
                </c:pt>
                <c:pt idx="14">
                  <c:v>1.185966348215995E-2</c:v>
                </c:pt>
                <c:pt idx="15">
                  <c:v>1.1028600539622707E-2</c:v>
                </c:pt>
                <c:pt idx="16">
                  <c:v>1.0349452364521417E-2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74DC-43C4-A8E0-0C3DA849C1B7}"/>
            </c:ext>
          </c:extLst>
        </c:ser>
        <c:axId val="214320256"/>
        <c:axId val="214322176"/>
      </c:scatterChart>
      <c:valAx>
        <c:axId val="21432025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322176"/>
        <c:crosses val="autoZero"/>
        <c:crossBetween val="midCat"/>
      </c:valAx>
      <c:valAx>
        <c:axId val="21432217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Cdi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0.0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3202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Cl(A)</a:t>
            </a:r>
          </a:p>
        </c:rich>
      </c:tx>
      <c:layout/>
      <c:spPr>
        <a:noFill/>
        <a:ln>
          <a:noFill/>
        </a:ln>
        <a:effectLst/>
      </c:spPr>
    </c:title>
    <c:plotArea>
      <c:layout/>
      <c:scatterChart>
        <c:scatterStyle val="smoothMarker"/>
        <c:ser>
          <c:idx val="0"/>
          <c:order val="0"/>
          <c:tx>
            <c:strRef>
              <c:f>'Case 1'!$C$11:$F$11</c:f>
              <c:strCache>
                <c:ptCount val="1"/>
                <c:pt idx="0">
                  <c:v>VSPAERO: Panel Method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'Case 1'!$A$13:$A$29</c:f>
              <c:numCache>
                <c:formatCode>General</c:formatCode>
                <c:ptCount val="17"/>
                <c:pt idx="0">
                  <c:v>5</c:v>
                </c:pt>
                <c:pt idx="1">
                  <c:v>7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13</c:v>
                </c:pt>
                <c:pt idx="6">
                  <c:v>15</c:v>
                </c:pt>
                <c:pt idx="7">
                  <c:v>17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30</c:v>
                </c:pt>
                <c:pt idx="13">
                  <c:v>35</c:v>
                </c:pt>
                <c:pt idx="14">
                  <c:v>40</c:v>
                </c:pt>
                <c:pt idx="15">
                  <c:v>45</c:v>
                </c:pt>
                <c:pt idx="16">
                  <c:v>50</c:v>
                </c:pt>
              </c:numCache>
            </c:numRef>
          </c:xVal>
          <c:yVal>
            <c:numRef>
              <c:f>'Case 1'!$E$13:$E$29</c:f>
              <c:numCache>
                <c:formatCode>0.000</c:formatCode>
                <c:ptCount val="17"/>
                <c:pt idx="0">
                  <c:v>0.66483999999999999</c:v>
                </c:pt>
                <c:pt idx="1">
                  <c:v>0.74195999999999995</c:v>
                </c:pt>
                <c:pt idx="2">
                  <c:v>0.79307000000000005</c:v>
                </c:pt>
                <c:pt idx="3">
                  <c:v>0.81774999999999998</c:v>
                </c:pt>
                <c:pt idx="4">
                  <c:v>0.83201000000000003</c:v>
                </c:pt>
                <c:pt idx="5">
                  <c:v>0.86416999999999999</c:v>
                </c:pt>
                <c:pt idx="6">
                  <c:v>0.88595999999999997</c:v>
                </c:pt>
                <c:pt idx="7">
                  <c:v>0.90480000000000005</c:v>
                </c:pt>
                <c:pt idx="8">
                  <c:v>0.91923999999999995</c:v>
                </c:pt>
                <c:pt idx="9">
                  <c:v>0.92920000000000003</c:v>
                </c:pt>
                <c:pt idx="10">
                  <c:v>0.93976999999999999</c:v>
                </c:pt>
                <c:pt idx="11">
                  <c:v>0.95265999999999995</c:v>
                </c:pt>
                <c:pt idx="12">
                  <c:v>0.96921999999999997</c:v>
                </c:pt>
                <c:pt idx="13">
                  <c:v>0.98134999999999994</c:v>
                </c:pt>
                <c:pt idx="14">
                  <c:v>0.99224999999999997</c:v>
                </c:pt>
                <c:pt idx="15">
                  <c:v>0.99960000000000004</c:v>
                </c:pt>
                <c:pt idx="16">
                  <c:v>1.00762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B734-4D2F-9384-9AB2540DE621}"/>
            </c:ext>
          </c:extLst>
        </c:ser>
        <c:ser>
          <c:idx val="1"/>
          <c:order val="1"/>
          <c:tx>
            <c:strRef>
              <c:f>'Case 1'!$G$11:$J$11</c:f>
              <c:strCache>
                <c:ptCount val="1"/>
                <c:pt idx="0">
                  <c:v>Theoretical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'Case 1'!$A$13:$A$29</c:f>
              <c:numCache>
                <c:formatCode>General</c:formatCode>
                <c:ptCount val="17"/>
                <c:pt idx="0">
                  <c:v>5</c:v>
                </c:pt>
                <c:pt idx="1">
                  <c:v>7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13</c:v>
                </c:pt>
                <c:pt idx="6">
                  <c:v>15</c:v>
                </c:pt>
                <c:pt idx="7">
                  <c:v>17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30</c:v>
                </c:pt>
                <c:pt idx="13">
                  <c:v>35</c:v>
                </c:pt>
                <c:pt idx="14">
                  <c:v>40</c:v>
                </c:pt>
                <c:pt idx="15">
                  <c:v>45</c:v>
                </c:pt>
                <c:pt idx="16">
                  <c:v>50</c:v>
                </c:pt>
              </c:numCache>
            </c:numRef>
          </c:xVal>
          <c:yVal>
            <c:numRef>
              <c:f>'Case 1'!$I$13:$I$29</c:f>
              <c:numCache>
                <c:formatCode>0.000</c:formatCode>
                <c:ptCount val="17"/>
                <c:pt idx="0">
                  <c:v>0.73987370391372176</c:v>
                </c:pt>
                <c:pt idx="1">
                  <c:v>0.82387501991818757</c:v>
                </c:pt>
                <c:pt idx="2">
                  <c:v>0.87588166716991089</c:v>
                </c:pt>
                <c:pt idx="3">
                  <c:v>0.89503154395892615</c:v>
                </c:pt>
                <c:pt idx="4">
                  <c:v>0.91107309164142403</c:v>
                </c:pt>
                <c:pt idx="5">
                  <c:v>0.93641689395347671</c:v>
                </c:pt>
                <c:pt idx="6">
                  <c:v>0.95551977857623804</c:v>
                </c:pt>
                <c:pt idx="7">
                  <c:v>0.97042598723636575</c:v>
                </c:pt>
                <c:pt idx="8">
                  <c:v>0.98237765583701842</c:v>
                </c:pt>
                <c:pt idx="9">
                  <c:v>0.99217197429887982</c:v>
                </c:pt>
                <c:pt idx="10">
                  <c:v>1.0003435929328888</c:v>
                </c:pt>
                <c:pt idx="11">
                  <c:v>1.0072642784944339</c:v>
                </c:pt>
                <c:pt idx="12">
                  <c:v>1.0206735179523823</c:v>
                </c:pt>
                <c:pt idx="13">
                  <c:v>1.0303681426521714</c:v>
                </c:pt>
                <c:pt idx="14">
                  <c:v>1.037702994551793</c:v>
                </c:pt>
                <c:pt idx="15">
                  <c:v>1.0434457814636973</c:v>
                </c:pt>
                <c:pt idx="16">
                  <c:v>1.0480639086703467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B734-4D2F-9384-9AB2540DE621}"/>
            </c:ext>
          </c:extLst>
        </c:ser>
        <c:axId val="277928576"/>
        <c:axId val="277930752"/>
      </c:scatterChart>
      <c:valAx>
        <c:axId val="27792857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930752"/>
        <c:crosses val="autoZero"/>
        <c:crossBetween val="midCat"/>
      </c:valAx>
      <c:valAx>
        <c:axId val="27793075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Cl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0.0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9285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f(</a:t>
            </a:r>
            <a:r>
              <a:rPr lang="el-GR"/>
              <a:t>λ)</a:t>
            </a:r>
            <a:endParaRPr lang="en-GB"/>
          </a:p>
        </c:rich>
      </c:tx>
      <c:layout/>
      <c:spPr>
        <a:noFill/>
        <a:ln>
          <a:noFill/>
        </a:ln>
        <a:effectLst/>
      </c:spPr>
    </c:title>
    <c:plotArea>
      <c:layout/>
      <c:scatterChart>
        <c:scatterStyle val="smoothMarker"/>
        <c:ser>
          <c:idx val="0"/>
          <c:order val="0"/>
          <c:tx>
            <c:strRef>
              <c:f>'Case 1'!$C$11:$F$11</c:f>
              <c:strCache>
                <c:ptCount val="1"/>
                <c:pt idx="0">
                  <c:v>VSPAERO: Panel Method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'Case 1'!$A$13:$A$29</c:f>
              <c:numCache>
                <c:formatCode>General</c:formatCode>
                <c:ptCount val="17"/>
                <c:pt idx="0">
                  <c:v>5</c:v>
                </c:pt>
                <c:pt idx="1">
                  <c:v>7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13</c:v>
                </c:pt>
                <c:pt idx="6">
                  <c:v>15</c:v>
                </c:pt>
                <c:pt idx="7">
                  <c:v>17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30</c:v>
                </c:pt>
                <c:pt idx="13">
                  <c:v>35</c:v>
                </c:pt>
                <c:pt idx="14">
                  <c:v>40</c:v>
                </c:pt>
                <c:pt idx="15">
                  <c:v>45</c:v>
                </c:pt>
                <c:pt idx="16">
                  <c:v>50</c:v>
                </c:pt>
              </c:numCache>
            </c:numRef>
          </c:xVal>
          <c:yVal>
            <c:numRef>
              <c:f>'Case 1'!$F$13:$F$29</c:f>
              <c:numCache>
                <c:formatCode>0.000</c:formatCode>
                <c:ptCount val="17"/>
                <c:pt idx="0">
                  <c:v>3.2774674115456252E-2</c:v>
                </c:pt>
                <c:pt idx="1">
                  <c:v>2.9401023902543233E-2</c:v>
                </c:pt>
                <c:pt idx="2">
                  <c:v>2.5703328832138259E-2</c:v>
                </c:pt>
                <c:pt idx="3">
                  <c:v>2.358342499104021E-2</c:v>
                </c:pt>
                <c:pt idx="4">
                  <c:v>2.2236503710609774E-2</c:v>
                </c:pt>
                <c:pt idx="5">
                  <c:v>2.0150541767865911E-2</c:v>
                </c:pt>
                <c:pt idx="6">
                  <c:v>1.8307734794893039E-2</c:v>
                </c:pt>
                <c:pt idx="7">
                  <c:v>1.6978034222889946E-2</c:v>
                </c:pt>
                <c:pt idx="8">
                  <c:v>1.6660615148382303E-2</c:v>
                </c:pt>
                <c:pt idx="9">
                  <c:v>1.5991756039845803E-2</c:v>
                </c:pt>
                <c:pt idx="10">
                  <c:v>1.5096463785297864E-2</c:v>
                </c:pt>
                <c:pt idx="11">
                  <c:v>1.3382445182901602E-2</c:v>
                </c:pt>
                <c:pt idx="12">
                  <c:v>1.2798298665411883E-2</c:v>
                </c:pt>
                <c:pt idx="13">
                  <c:v>1.2179696159614008E-2</c:v>
                </c:pt>
                <c:pt idx="14">
                  <c:v>1.0951566050217148E-2</c:v>
                </c:pt>
                <c:pt idx="15">
                  <c:v>1.1020193105190635E-2</c:v>
                </c:pt>
                <c:pt idx="16">
                  <c:v>9.6155896463898591E-3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19A7-47A8-BB1D-64891A3D5F65}"/>
            </c:ext>
          </c:extLst>
        </c:ser>
        <c:ser>
          <c:idx val="1"/>
          <c:order val="1"/>
          <c:tx>
            <c:strRef>
              <c:f>'Case 1'!$G$11:$J$11</c:f>
              <c:strCache>
                <c:ptCount val="1"/>
                <c:pt idx="0">
                  <c:v>Theoretical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'Case 1'!$A$13:$A$29</c:f>
              <c:numCache>
                <c:formatCode>General</c:formatCode>
                <c:ptCount val="17"/>
                <c:pt idx="0">
                  <c:v>5</c:v>
                </c:pt>
                <c:pt idx="1">
                  <c:v>7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13</c:v>
                </c:pt>
                <c:pt idx="6">
                  <c:v>15</c:v>
                </c:pt>
                <c:pt idx="7">
                  <c:v>17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30</c:v>
                </c:pt>
                <c:pt idx="13">
                  <c:v>35</c:v>
                </c:pt>
                <c:pt idx="14">
                  <c:v>40</c:v>
                </c:pt>
                <c:pt idx="15">
                  <c:v>45</c:v>
                </c:pt>
                <c:pt idx="16">
                  <c:v>50</c:v>
                </c:pt>
              </c:numCache>
            </c:numRef>
          </c:xVal>
          <c:yVal>
            <c:numRef>
              <c:f>'Case 1'!$J$13:$J$29</c:f>
              <c:numCache>
                <c:formatCode>0.000</c:formatCode>
                <c:ptCount val="17"/>
                <c:pt idx="0">
                  <c:v>9.5999999999999992E-3</c:v>
                </c:pt>
                <c:pt idx="1">
                  <c:v>9.5999999999999992E-3</c:v>
                </c:pt>
                <c:pt idx="2">
                  <c:v>9.5999999999999992E-3</c:v>
                </c:pt>
                <c:pt idx="3">
                  <c:v>9.5999999999999992E-3</c:v>
                </c:pt>
                <c:pt idx="4">
                  <c:v>9.5999999999999992E-3</c:v>
                </c:pt>
                <c:pt idx="5">
                  <c:v>9.5999999999999992E-3</c:v>
                </c:pt>
                <c:pt idx="6">
                  <c:v>9.5999999999999992E-3</c:v>
                </c:pt>
                <c:pt idx="7">
                  <c:v>9.5999999999999992E-3</c:v>
                </c:pt>
                <c:pt idx="8">
                  <c:v>9.5999999999999992E-3</c:v>
                </c:pt>
                <c:pt idx="9">
                  <c:v>9.5999999999999992E-3</c:v>
                </c:pt>
                <c:pt idx="10">
                  <c:v>9.5999999999999992E-3</c:v>
                </c:pt>
                <c:pt idx="11">
                  <c:v>9.5999999999999992E-3</c:v>
                </c:pt>
                <c:pt idx="12">
                  <c:v>9.5999999999999992E-3</c:v>
                </c:pt>
                <c:pt idx="13">
                  <c:v>9.5999999999999992E-3</c:v>
                </c:pt>
                <c:pt idx="14">
                  <c:v>9.5999999999999992E-3</c:v>
                </c:pt>
                <c:pt idx="15">
                  <c:v>9.5999999999999992E-3</c:v>
                </c:pt>
                <c:pt idx="16">
                  <c:v>9.5999999999999992E-3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19A7-47A8-BB1D-64891A3D5F65}"/>
            </c:ext>
          </c:extLst>
        </c:ser>
        <c:axId val="281359488"/>
        <c:axId val="281361792"/>
      </c:scatterChart>
      <c:valAx>
        <c:axId val="28135948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1361792"/>
        <c:crosses val="autoZero"/>
        <c:crossBetween val="midCat"/>
      </c:valAx>
      <c:valAx>
        <c:axId val="28136179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f(</a:t>
                </a:r>
                <a:r>
                  <a:rPr lang="el-GR"/>
                  <a:t>λ)</a:t>
                </a:r>
                <a:endParaRPr lang="en-GB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0.0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13594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Cdi(A)</a:t>
            </a:r>
          </a:p>
        </c:rich>
      </c:tx>
      <c:layout/>
      <c:spPr>
        <a:noFill/>
        <a:ln>
          <a:noFill/>
        </a:ln>
        <a:effectLst/>
      </c:spPr>
    </c:title>
    <c:plotArea>
      <c:layout/>
      <c:scatterChart>
        <c:scatterStyle val="smoothMarker"/>
        <c:ser>
          <c:idx val="0"/>
          <c:order val="0"/>
          <c:tx>
            <c:strRef>
              <c:f>'Case 2'!$C$11:$F$11</c:f>
              <c:strCache>
                <c:ptCount val="1"/>
                <c:pt idx="0">
                  <c:v>VSPAERO: Panel Method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'Case 2'!$A$13:$A$29</c:f>
              <c:numCache>
                <c:formatCode>General</c:formatCode>
                <c:ptCount val="17"/>
                <c:pt idx="0">
                  <c:v>5</c:v>
                </c:pt>
                <c:pt idx="1">
                  <c:v>7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13</c:v>
                </c:pt>
                <c:pt idx="6">
                  <c:v>15</c:v>
                </c:pt>
                <c:pt idx="7">
                  <c:v>17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30</c:v>
                </c:pt>
                <c:pt idx="13">
                  <c:v>35</c:v>
                </c:pt>
                <c:pt idx="14">
                  <c:v>40</c:v>
                </c:pt>
                <c:pt idx="15">
                  <c:v>45</c:v>
                </c:pt>
                <c:pt idx="16">
                  <c:v>50</c:v>
                </c:pt>
              </c:numCache>
            </c:numRef>
          </c:xVal>
          <c:yVal>
            <c:numRef>
              <c:f>'Case 2'!$D$13:$D$29</c:f>
              <c:numCache>
                <c:formatCode>0.000</c:formatCode>
                <c:ptCount val="17"/>
                <c:pt idx="0">
                  <c:v>3.5040000000000002E-2</c:v>
                </c:pt>
                <c:pt idx="1">
                  <c:v>3.2030000000000003E-2</c:v>
                </c:pt>
                <c:pt idx="2">
                  <c:v>2.8580000000000001E-2</c:v>
                </c:pt>
                <c:pt idx="3">
                  <c:v>2.6939999999999999E-2</c:v>
                </c:pt>
                <c:pt idx="4">
                  <c:v>2.5649999999999999E-2</c:v>
                </c:pt>
                <c:pt idx="5">
                  <c:v>2.3199999999999998E-2</c:v>
                </c:pt>
                <c:pt idx="6">
                  <c:v>2.1149999999999999E-2</c:v>
                </c:pt>
                <c:pt idx="7">
                  <c:v>1.949E-2</c:v>
                </c:pt>
                <c:pt idx="8">
                  <c:v>1.804E-2</c:v>
                </c:pt>
                <c:pt idx="9">
                  <c:v>1.677E-2</c:v>
                </c:pt>
                <c:pt idx="10">
                  <c:v>1.5610000000000001E-2</c:v>
                </c:pt>
                <c:pt idx="11">
                  <c:v>1.47E-2</c:v>
                </c:pt>
                <c:pt idx="12">
                  <c:v>1.261E-2</c:v>
                </c:pt>
                <c:pt idx="13">
                  <c:v>1.1089999999999999E-2</c:v>
                </c:pt>
                <c:pt idx="14">
                  <c:v>9.8399999999999998E-3</c:v>
                </c:pt>
                <c:pt idx="15">
                  <c:v>8.9200000000000008E-3</c:v>
                </c:pt>
                <c:pt idx="16">
                  <c:v>8.1300000000000001E-3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5EF9-46B5-A62E-AD0AF649BE16}"/>
            </c:ext>
          </c:extLst>
        </c:ser>
        <c:ser>
          <c:idx val="1"/>
          <c:order val="1"/>
          <c:tx>
            <c:strRef>
              <c:f>'Case 2'!$G$11:$J$11</c:f>
              <c:strCache>
                <c:ptCount val="1"/>
                <c:pt idx="0">
                  <c:v>Theoretical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'Case 2'!$A$13:$A$29</c:f>
              <c:numCache>
                <c:formatCode>General</c:formatCode>
                <c:ptCount val="17"/>
                <c:pt idx="0">
                  <c:v>5</c:v>
                </c:pt>
                <c:pt idx="1">
                  <c:v>7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13</c:v>
                </c:pt>
                <c:pt idx="6">
                  <c:v>15</c:v>
                </c:pt>
                <c:pt idx="7">
                  <c:v>17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30</c:v>
                </c:pt>
                <c:pt idx="13">
                  <c:v>35</c:v>
                </c:pt>
                <c:pt idx="14">
                  <c:v>40</c:v>
                </c:pt>
                <c:pt idx="15">
                  <c:v>45</c:v>
                </c:pt>
                <c:pt idx="16">
                  <c:v>50</c:v>
                </c:pt>
              </c:numCache>
            </c:numRef>
          </c:xVal>
          <c:yVal>
            <c:numRef>
              <c:f>'Case 2'!$H$13:$H$29</c:f>
              <c:numCache>
                <c:formatCode>0.000</c:formatCode>
                <c:ptCount val="17"/>
                <c:pt idx="0">
                  <c:v>3.5174545071182617E-2</c:v>
                </c:pt>
                <c:pt idx="1">
                  <c:v>3.1268768908036239E-2</c:v>
                </c:pt>
                <c:pt idx="2">
                  <c:v>2.7588714527924777E-2</c:v>
                </c:pt>
                <c:pt idx="3">
                  <c:v>2.5975030336285194E-2</c:v>
                </c:pt>
                <c:pt idx="4">
                  <c:v>2.4512519713359486E-2</c:v>
                </c:pt>
                <c:pt idx="5">
                  <c:v>2.1991488219801344E-2</c:v>
                </c:pt>
                <c:pt idx="6">
                  <c:v>1.9917146617134777E-2</c:v>
                </c:pt>
                <c:pt idx="7">
                  <c:v>1.8192347096044423E-2</c:v>
                </c:pt>
                <c:pt idx="8">
                  <c:v>1.6741111475147195E-2</c:v>
                </c:pt>
                <c:pt idx="9">
                  <c:v>1.5505937556319491E-2</c:v>
                </c:pt>
                <c:pt idx="10">
                  <c:v>1.444344673586077E-2</c:v>
                </c:pt>
                <c:pt idx="11">
                  <c:v>1.3520677728979264E-2</c:v>
                </c:pt>
                <c:pt idx="12">
                  <c:v>1.1672348859928395E-2</c:v>
                </c:pt>
                <c:pt idx="13">
                  <c:v>1.0285915015098724E-2</c:v>
                </c:pt>
                <c:pt idx="14">
                  <c:v>9.2087202055407304E-3</c:v>
                </c:pt>
                <c:pt idx="15">
                  <c:v>8.3482347255131473E-3</c:v>
                </c:pt>
                <c:pt idx="16">
                  <c:v>7.6453082906292316E-3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5EF9-46B5-A62E-AD0AF649BE16}"/>
            </c:ext>
          </c:extLst>
        </c:ser>
        <c:axId val="88763008"/>
        <c:axId val="88773376"/>
      </c:scatterChart>
      <c:valAx>
        <c:axId val="8876300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773376"/>
        <c:crosses val="autoZero"/>
        <c:crossBetween val="midCat"/>
      </c:valAx>
      <c:valAx>
        <c:axId val="8877337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Cdi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0.0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7630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e(A)</a:t>
            </a:r>
          </a:p>
        </c:rich>
      </c:tx>
      <c:layout/>
      <c:spPr>
        <a:noFill/>
        <a:ln>
          <a:noFill/>
        </a:ln>
        <a:effectLst/>
      </c:spPr>
    </c:title>
    <c:plotArea>
      <c:layout/>
      <c:scatterChart>
        <c:scatterStyle val="smoothMarker"/>
        <c:ser>
          <c:idx val="0"/>
          <c:order val="0"/>
          <c:tx>
            <c:strRef>
              <c:f>'Case 2'!$C$11:$F$11</c:f>
              <c:strCache>
                <c:ptCount val="1"/>
                <c:pt idx="0">
                  <c:v>VSPAERO: Panel Method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'Case 2'!$A$13:$A$29</c:f>
              <c:numCache>
                <c:formatCode>General</c:formatCode>
                <c:ptCount val="17"/>
                <c:pt idx="0">
                  <c:v>5</c:v>
                </c:pt>
                <c:pt idx="1">
                  <c:v>7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13</c:v>
                </c:pt>
                <c:pt idx="6">
                  <c:v>15</c:v>
                </c:pt>
                <c:pt idx="7">
                  <c:v>17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30</c:v>
                </c:pt>
                <c:pt idx="13">
                  <c:v>35</c:v>
                </c:pt>
                <c:pt idx="14">
                  <c:v>40</c:v>
                </c:pt>
                <c:pt idx="15">
                  <c:v>45</c:v>
                </c:pt>
                <c:pt idx="16">
                  <c:v>50</c:v>
                </c:pt>
              </c:numCache>
            </c:numRef>
          </c:xVal>
          <c:yVal>
            <c:numRef>
              <c:f>'Case 2'!$C$13:$C$29</c:f>
              <c:numCache>
                <c:formatCode>0.000</c:formatCode>
                <c:ptCount val="17"/>
                <c:pt idx="0">
                  <c:v>0.82650000000000001</c:v>
                </c:pt>
                <c:pt idx="1">
                  <c:v>0.83609999999999995</c:v>
                </c:pt>
                <c:pt idx="2">
                  <c:v>0.84092</c:v>
                </c:pt>
                <c:pt idx="3">
                  <c:v>0.84336</c:v>
                </c:pt>
                <c:pt idx="4">
                  <c:v>0.84177999999999997</c:v>
                </c:pt>
                <c:pt idx="5">
                  <c:v>0.84206000000000003</c:v>
                </c:pt>
                <c:pt idx="6">
                  <c:v>0.84143999999999997</c:v>
                </c:pt>
                <c:pt idx="7">
                  <c:v>0.84074000000000004</c:v>
                </c:pt>
                <c:pt idx="8">
                  <c:v>0.84084000000000003</c:v>
                </c:pt>
                <c:pt idx="9">
                  <c:v>0.83677999999999997</c:v>
                </c:pt>
                <c:pt idx="10">
                  <c:v>0.83560999999999996</c:v>
                </c:pt>
                <c:pt idx="11">
                  <c:v>0.83230000000000004</c:v>
                </c:pt>
                <c:pt idx="12">
                  <c:v>0.82987999999999995</c:v>
                </c:pt>
                <c:pt idx="13">
                  <c:v>0.82555000000000001</c:v>
                </c:pt>
                <c:pt idx="14">
                  <c:v>0.82428000000000001</c:v>
                </c:pt>
                <c:pt idx="15">
                  <c:v>0.82069000000000003</c:v>
                </c:pt>
                <c:pt idx="16">
                  <c:v>0.81837000000000004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FC3E-4330-9D81-A9C91FBE5E64}"/>
            </c:ext>
          </c:extLst>
        </c:ser>
        <c:ser>
          <c:idx val="1"/>
          <c:order val="1"/>
          <c:tx>
            <c:strRef>
              <c:f>'Case 2'!$G$11:$J$11</c:f>
              <c:strCache>
                <c:ptCount val="1"/>
                <c:pt idx="0">
                  <c:v>Theoretical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'Case 2'!$A$13:$A$29</c:f>
              <c:numCache>
                <c:formatCode>General</c:formatCode>
                <c:ptCount val="17"/>
                <c:pt idx="0">
                  <c:v>5</c:v>
                </c:pt>
                <c:pt idx="1">
                  <c:v>7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13</c:v>
                </c:pt>
                <c:pt idx="6">
                  <c:v>15</c:v>
                </c:pt>
                <c:pt idx="7">
                  <c:v>17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30</c:v>
                </c:pt>
                <c:pt idx="13">
                  <c:v>35</c:v>
                </c:pt>
                <c:pt idx="14">
                  <c:v>40</c:v>
                </c:pt>
                <c:pt idx="15">
                  <c:v>45</c:v>
                </c:pt>
                <c:pt idx="16">
                  <c:v>50</c:v>
                </c:pt>
              </c:numCache>
            </c:numRef>
          </c:xVal>
          <c:yVal>
            <c:numRef>
              <c:f>'Case 2'!$G$13:$G$29</c:f>
              <c:numCache>
                <c:formatCode>0.000</c:formatCode>
                <c:ptCount val="17"/>
                <c:pt idx="0">
                  <c:v>0.99075624424122932</c:v>
                </c:pt>
                <c:pt idx="1">
                  <c:v>0.98710641599428273</c:v>
                </c:pt>
                <c:pt idx="2">
                  <c:v>0.98348338011435943</c:v>
                </c:pt>
                <c:pt idx="3">
                  <c:v>0.98168181728938031</c:v>
                </c:pt>
                <c:pt idx="4">
                  <c:v>0.97988684266740878</c:v>
                </c:pt>
                <c:pt idx="5">
                  <c:v>0.97631651400330766</c:v>
                </c:pt>
                <c:pt idx="6">
                  <c:v>0.97277210867810004</c:v>
                </c:pt>
                <c:pt idx="7">
                  <c:v>0.96925334537792152</c:v>
                </c:pt>
                <c:pt idx="8">
                  <c:v>0.96575994684457245</c:v>
                </c:pt>
                <c:pt idx="9">
                  <c:v>0.96229163980269172</c:v>
                </c:pt>
                <c:pt idx="10">
                  <c:v>0.95884815488849551</c:v>
                </c:pt>
                <c:pt idx="11">
                  <c:v>0.95542922658004104</c:v>
                </c:pt>
                <c:pt idx="12">
                  <c:v>0.94698763234152172</c:v>
                </c:pt>
                <c:pt idx="13">
                  <c:v>0.93869390130572328</c:v>
                </c:pt>
                <c:pt idx="14">
                  <c:v>0.93054418223777258</c:v>
                </c:pt>
                <c:pt idx="15">
                  <c:v>0.92253475649695094</c:v>
                </c:pt>
                <c:pt idx="16">
                  <c:v>0.91466203237903598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FC3E-4330-9D81-A9C91FBE5E64}"/>
            </c:ext>
          </c:extLst>
        </c:ser>
        <c:axId val="88800640"/>
        <c:axId val="88819200"/>
      </c:scatterChart>
      <c:valAx>
        <c:axId val="8880064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819200"/>
        <c:crosses val="autoZero"/>
        <c:crossBetween val="midCat"/>
      </c:valAx>
      <c:valAx>
        <c:axId val="8881920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e</a:t>
                </a:r>
              </a:p>
            </c:rich>
          </c:tx>
          <c:layout>
            <c:manualLayout>
              <c:xMode val="edge"/>
              <c:yMode val="edge"/>
              <c:x val="2.9325513196480937E-2"/>
              <c:y val="0.44821394656628766"/>
            </c:manualLayout>
          </c:layout>
          <c:spPr>
            <a:noFill/>
            <a:ln>
              <a:noFill/>
            </a:ln>
            <a:effectLst/>
          </c:spPr>
        </c:title>
        <c:numFmt formatCode="0.0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8006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Cl(A)</a:t>
            </a:r>
          </a:p>
        </c:rich>
      </c:tx>
      <c:layout/>
      <c:spPr>
        <a:noFill/>
        <a:ln>
          <a:noFill/>
        </a:ln>
        <a:effectLst/>
      </c:spPr>
    </c:title>
    <c:plotArea>
      <c:layout/>
      <c:scatterChart>
        <c:scatterStyle val="smoothMarker"/>
        <c:ser>
          <c:idx val="0"/>
          <c:order val="0"/>
          <c:tx>
            <c:strRef>
              <c:f>'Case 2'!$C$11:$F$11</c:f>
              <c:strCache>
                <c:ptCount val="1"/>
                <c:pt idx="0">
                  <c:v>VSPAERO: Panel Method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'Case 2'!$A$13:$A$29</c:f>
              <c:numCache>
                <c:formatCode>General</c:formatCode>
                <c:ptCount val="17"/>
                <c:pt idx="0">
                  <c:v>5</c:v>
                </c:pt>
                <c:pt idx="1">
                  <c:v>7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13</c:v>
                </c:pt>
                <c:pt idx="6">
                  <c:v>15</c:v>
                </c:pt>
                <c:pt idx="7">
                  <c:v>17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30</c:v>
                </c:pt>
                <c:pt idx="13">
                  <c:v>35</c:v>
                </c:pt>
                <c:pt idx="14">
                  <c:v>40</c:v>
                </c:pt>
                <c:pt idx="15">
                  <c:v>45</c:v>
                </c:pt>
                <c:pt idx="16">
                  <c:v>50</c:v>
                </c:pt>
              </c:numCache>
            </c:numRef>
          </c:xVal>
          <c:yVal>
            <c:numRef>
              <c:f>'Case 2'!$E$13:$E$29</c:f>
              <c:numCache>
                <c:formatCode>0.000</c:formatCode>
                <c:ptCount val="17"/>
                <c:pt idx="0">
                  <c:v>0.67449000000000003</c:v>
                </c:pt>
                <c:pt idx="1">
                  <c:v>0.76739999999999997</c:v>
                </c:pt>
                <c:pt idx="2">
                  <c:v>0.82430999999999999</c:v>
                </c:pt>
                <c:pt idx="3">
                  <c:v>0.8448</c:v>
                </c:pt>
                <c:pt idx="4">
                  <c:v>0.86385000000000001</c:v>
                </c:pt>
                <c:pt idx="5">
                  <c:v>0.89332</c:v>
                </c:pt>
                <c:pt idx="6">
                  <c:v>0.91586000000000001</c:v>
                </c:pt>
                <c:pt idx="7">
                  <c:v>0.93552999999999997</c:v>
                </c:pt>
                <c:pt idx="8">
                  <c:v>0.95152000000000003</c:v>
                </c:pt>
                <c:pt idx="9">
                  <c:v>0.96216000000000002</c:v>
                </c:pt>
                <c:pt idx="10">
                  <c:v>0.97080999999999995</c:v>
                </c:pt>
                <c:pt idx="11">
                  <c:v>0.98011999999999999</c:v>
                </c:pt>
                <c:pt idx="12">
                  <c:v>0.99302999999999997</c:v>
                </c:pt>
                <c:pt idx="13">
                  <c:v>1.0033000000000001</c:v>
                </c:pt>
                <c:pt idx="14">
                  <c:v>1.0094799999999999</c:v>
                </c:pt>
                <c:pt idx="15">
                  <c:v>1.01702</c:v>
                </c:pt>
                <c:pt idx="16">
                  <c:v>1.0222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C555-4B03-94BB-482704DF4613}"/>
            </c:ext>
          </c:extLst>
        </c:ser>
        <c:ser>
          <c:idx val="1"/>
          <c:order val="1"/>
          <c:tx>
            <c:strRef>
              <c:f>'Case 2'!$G$11:$J$11</c:f>
              <c:strCache>
                <c:ptCount val="1"/>
                <c:pt idx="0">
                  <c:v>Theoretical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'Case 2'!$A$13:$A$29</c:f>
              <c:numCache>
                <c:formatCode>General</c:formatCode>
                <c:ptCount val="17"/>
                <c:pt idx="0">
                  <c:v>5</c:v>
                </c:pt>
                <c:pt idx="1">
                  <c:v>7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13</c:v>
                </c:pt>
                <c:pt idx="6">
                  <c:v>15</c:v>
                </c:pt>
                <c:pt idx="7">
                  <c:v>17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30</c:v>
                </c:pt>
                <c:pt idx="13">
                  <c:v>35</c:v>
                </c:pt>
                <c:pt idx="14">
                  <c:v>40</c:v>
                </c:pt>
                <c:pt idx="15">
                  <c:v>45</c:v>
                </c:pt>
                <c:pt idx="16">
                  <c:v>50</c:v>
                </c:pt>
              </c:numCache>
            </c:numRef>
          </c:xVal>
          <c:yVal>
            <c:numRef>
              <c:f>'Case 2'!$I$13:$I$29</c:f>
              <c:numCache>
                <c:formatCode>0.000</c:formatCode>
                <c:ptCount val="17"/>
                <c:pt idx="0">
                  <c:v>0.73987370391372176</c:v>
                </c:pt>
                <c:pt idx="1">
                  <c:v>0.82387501991818757</c:v>
                </c:pt>
                <c:pt idx="2">
                  <c:v>0.87588166716991089</c:v>
                </c:pt>
                <c:pt idx="3">
                  <c:v>0.89503154395892615</c:v>
                </c:pt>
                <c:pt idx="4">
                  <c:v>0.91107309164142403</c:v>
                </c:pt>
                <c:pt idx="5">
                  <c:v>0.93641689395347671</c:v>
                </c:pt>
                <c:pt idx="6">
                  <c:v>0.95551977857623804</c:v>
                </c:pt>
                <c:pt idx="7">
                  <c:v>0.97042598723636575</c:v>
                </c:pt>
                <c:pt idx="8">
                  <c:v>0.98237765583701842</c:v>
                </c:pt>
                <c:pt idx="9">
                  <c:v>0.99217197429887982</c:v>
                </c:pt>
                <c:pt idx="10">
                  <c:v>1.0003435929328888</c:v>
                </c:pt>
                <c:pt idx="11">
                  <c:v>1.0072642784944339</c:v>
                </c:pt>
                <c:pt idx="12">
                  <c:v>1.0206735179523823</c:v>
                </c:pt>
                <c:pt idx="13">
                  <c:v>1.0303681426521714</c:v>
                </c:pt>
                <c:pt idx="14">
                  <c:v>1.037702994551793</c:v>
                </c:pt>
                <c:pt idx="15">
                  <c:v>1.0434457814636973</c:v>
                </c:pt>
                <c:pt idx="16">
                  <c:v>1.0480639086703467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C555-4B03-94BB-482704DF4613}"/>
            </c:ext>
          </c:extLst>
        </c:ser>
        <c:axId val="143028608"/>
        <c:axId val="143030528"/>
      </c:scatterChart>
      <c:valAx>
        <c:axId val="14302860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030528"/>
        <c:crosses val="autoZero"/>
        <c:crossBetween val="midCat"/>
      </c:valAx>
      <c:valAx>
        <c:axId val="14303052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Cl</a:t>
                </a:r>
              </a:p>
            </c:rich>
          </c:tx>
          <c:layout>
            <c:manualLayout>
              <c:xMode val="edge"/>
              <c:yMode val="edge"/>
              <c:x val="2.9325513196480937E-2"/>
              <c:y val="0.44821394656628766"/>
            </c:manualLayout>
          </c:layout>
          <c:spPr>
            <a:noFill/>
            <a:ln>
              <a:noFill/>
            </a:ln>
            <a:effectLst/>
          </c:spPr>
        </c:title>
        <c:numFmt formatCode="0.0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0286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f(</a:t>
            </a:r>
            <a:r>
              <a:rPr lang="el-GR"/>
              <a:t>λ)</a:t>
            </a:r>
            <a:endParaRPr lang="en-GB"/>
          </a:p>
        </c:rich>
      </c:tx>
      <c:layout/>
      <c:spPr>
        <a:noFill/>
        <a:ln>
          <a:noFill/>
        </a:ln>
        <a:effectLst/>
      </c:spPr>
    </c:title>
    <c:plotArea>
      <c:layout/>
      <c:scatterChart>
        <c:scatterStyle val="smoothMarker"/>
        <c:ser>
          <c:idx val="0"/>
          <c:order val="0"/>
          <c:tx>
            <c:strRef>
              <c:f>'Case 2'!$C$11:$F$11</c:f>
              <c:strCache>
                <c:ptCount val="1"/>
                <c:pt idx="0">
                  <c:v>VSPAERO: Panel Method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'Case 2'!$A$13:$A$29</c:f>
              <c:numCache>
                <c:formatCode>General</c:formatCode>
                <c:ptCount val="17"/>
                <c:pt idx="0">
                  <c:v>5</c:v>
                </c:pt>
                <c:pt idx="1">
                  <c:v>7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13</c:v>
                </c:pt>
                <c:pt idx="6">
                  <c:v>15</c:v>
                </c:pt>
                <c:pt idx="7">
                  <c:v>17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30</c:v>
                </c:pt>
                <c:pt idx="13">
                  <c:v>35</c:v>
                </c:pt>
                <c:pt idx="14">
                  <c:v>40</c:v>
                </c:pt>
                <c:pt idx="15">
                  <c:v>45</c:v>
                </c:pt>
                <c:pt idx="16">
                  <c:v>50</c:v>
                </c:pt>
              </c:numCache>
            </c:numRef>
          </c:xVal>
          <c:yVal>
            <c:numRef>
              <c:f>'Case 2'!$F$13:$F$29</c:f>
              <c:numCache>
                <c:formatCode>0.000</c:formatCode>
                <c:ptCount val="17"/>
                <c:pt idx="0">
                  <c:v>4.1984271022383536E-2</c:v>
                </c:pt>
                <c:pt idx="1">
                  <c:v>2.8004169016009713E-2</c:v>
                </c:pt>
                <c:pt idx="2">
                  <c:v>2.1019306896679298E-2</c:v>
                </c:pt>
                <c:pt idx="3">
                  <c:v>1.8573325744640486E-2</c:v>
                </c:pt>
                <c:pt idx="4">
                  <c:v>1.7087168100497003E-2</c:v>
                </c:pt>
                <c:pt idx="5">
                  <c:v>1.4427987042765083E-2</c:v>
                </c:pt>
                <c:pt idx="6">
                  <c:v>1.2562591113646451E-2</c:v>
                </c:pt>
                <c:pt idx="7">
                  <c:v>1.1142844748813717E-2</c:v>
                </c:pt>
                <c:pt idx="8">
                  <c:v>9.9624686090851473E-3</c:v>
                </c:pt>
                <c:pt idx="9">
                  <c:v>9.2884401543786351E-3</c:v>
                </c:pt>
                <c:pt idx="10">
                  <c:v>8.5535013993942484E-3</c:v>
                </c:pt>
                <c:pt idx="11">
                  <c:v>8.0595938964315734E-3</c:v>
                </c:pt>
                <c:pt idx="12">
                  <c:v>6.8331164345045887E-3</c:v>
                </c:pt>
                <c:pt idx="13">
                  <c:v>6.0375334192789218E-3</c:v>
                </c:pt>
                <c:pt idx="14">
                  <c:v>5.3294996845732025E-3</c:v>
                </c:pt>
                <c:pt idx="15">
                  <c:v>4.8552640664156575E-3</c:v>
                </c:pt>
                <c:pt idx="16">
                  <c:v>4.4388235150359849E-3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8ECC-4FF4-97D0-198F4D41ED98}"/>
            </c:ext>
          </c:extLst>
        </c:ser>
        <c:ser>
          <c:idx val="1"/>
          <c:order val="1"/>
          <c:tx>
            <c:strRef>
              <c:f>'Case 2'!$G$11:$J$11</c:f>
              <c:strCache>
                <c:ptCount val="1"/>
                <c:pt idx="0">
                  <c:v>Theoretical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'Case 2'!$A$13:$A$29</c:f>
              <c:numCache>
                <c:formatCode>General</c:formatCode>
                <c:ptCount val="17"/>
                <c:pt idx="0">
                  <c:v>5</c:v>
                </c:pt>
                <c:pt idx="1">
                  <c:v>7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13</c:v>
                </c:pt>
                <c:pt idx="6">
                  <c:v>15</c:v>
                </c:pt>
                <c:pt idx="7">
                  <c:v>17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30</c:v>
                </c:pt>
                <c:pt idx="13">
                  <c:v>35</c:v>
                </c:pt>
                <c:pt idx="14">
                  <c:v>40</c:v>
                </c:pt>
                <c:pt idx="15">
                  <c:v>45</c:v>
                </c:pt>
                <c:pt idx="16">
                  <c:v>50</c:v>
                </c:pt>
              </c:numCache>
            </c:numRef>
          </c:xVal>
          <c:yVal>
            <c:numRef>
              <c:f>'Case 2'!$J$13:$J$29</c:f>
              <c:numCache>
                <c:formatCode>0.000</c:formatCode>
                <c:ptCount val="17"/>
                <c:pt idx="0">
                  <c:v>1.866E-3</c:v>
                </c:pt>
                <c:pt idx="1">
                  <c:v>1.866E-3</c:v>
                </c:pt>
                <c:pt idx="2">
                  <c:v>1.866E-3</c:v>
                </c:pt>
                <c:pt idx="3">
                  <c:v>1.866E-3</c:v>
                </c:pt>
                <c:pt idx="4">
                  <c:v>1.866E-3</c:v>
                </c:pt>
                <c:pt idx="5">
                  <c:v>1.866E-3</c:v>
                </c:pt>
                <c:pt idx="6">
                  <c:v>1.866E-3</c:v>
                </c:pt>
                <c:pt idx="7">
                  <c:v>1.866E-3</c:v>
                </c:pt>
                <c:pt idx="8">
                  <c:v>1.866E-3</c:v>
                </c:pt>
                <c:pt idx="9">
                  <c:v>1.866E-3</c:v>
                </c:pt>
                <c:pt idx="10">
                  <c:v>1.866E-3</c:v>
                </c:pt>
                <c:pt idx="11">
                  <c:v>1.866E-3</c:v>
                </c:pt>
                <c:pt idx="12">
                  <c:v>1.866E-3</c:v>
                </c:pt>
                <c:pt idx="13">
                  <c:v>1.866E-3</c:v>
                </c:pt>
                <c:pt idx="14">
                  <c:v>1.866E-3</c:v>
                </c:pt>
                <c:pt idx="15">
                  <c:v>1.866E-3</c:v>
                </c:pt>
                <c:pt idx="16">
                  <c:v>1.866E-3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8ECC-4FF4-97D0-198F4D41ED98}"/>
            </c:ext>
          </c:extLst>
        </c:ser>
        <c:axId val="144520320"/>
        <c:axId val="144522240"/>
      </c:scatterChart>
      <c:valAx>
        <c:axId val="14452032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522240"/>
        <c:crosses val="autoZero"/>
        <c:crossBetween val="midCat"/>
      </c:valAx>
      <c:valAx>
        <c:axId val="14452224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f(</a:t>
                </a:r>
                <a:r>
                  <a:rPr lang="el-GR"/>
                  <a:t>λ)</a:t>
                </a:r>
                <a:endParaRPr lang="en-GB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0.0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5203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smoothMarker"/>
        <c:ser>
          <c:idx val="0"/>
          <c:order val="0"/>
          <c:tx>
            <c:strRef>
              <c:f>'Case 3'!$D$7</c:f>
              <c:strCache>
                <c:ptCount val="1"/>
                <c:pt idx="0">
                  <c:v>A = 5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'Case 3'!$A$13:$A$23</c:f>
              <c:numCache>
                <c:formatCode>General</c:formatCode>
                <c:ptCount val="11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0.3</c:v>
                </c:pt>
                <c:pt idx="5">
                  <c:v>0.35699999999999998</c:v>
                </c:pt>
                <c:pt idx="6">
                  <c:v>0.4</c:v>
                </c:pt>
                <c:pt idx="7">
                  <c:v>0.5</c:v>
                </c:pt>
                <c:pt idx="8">
                  <c:v>0.6</c:v>
                </c:pt>
                <c:pt idx="9">
                  <c:v>0.8</c:v>
                </c:pt>
                <c:pt idx="10">
                  <c:v>1</c:v>
                </c:pt>
              </c:numCache>
            </c:numRef>
          </c:xVal>
          <c:yVal>
            <c:numRef>
              <c:f>'Case 3'!$F$13:$F$23</c:f>
              <c:numCache>
                <c:formatCode>0.000</c:formatCode>
                <c:ptCount val="11"/>
                <c:pt idx="0">
                  <c:v>4.5833128472392952E-2</c:v>
                </c:pt>
                <c:pt idx="1">
                  <c:v>4.2028196284867175E-2</c:v>
                </c:pt>
                <c:pt idx="2">
                  <c:v>3.9475070645145841E-2</c:v>
                </c:pt>
                <c:pt idx="3">
                  <c:v>3.8237045860631327E-2</c:v>
                </c:pt>
                <c:pt idx="4">
                  <c:v>3.7987577048478063E-2</c:v>
                </c:pt>
                <c:pt idx="5">
                  <c:v>3.7470464610964004E-2</c:v>
                </c:pt>
                <c:pt idx="6">
                  <c:v>3.7022991230149321E-2</c:v>
                </c:pt>
                <c:pt idx="7">
                  <c:v>3.6602389684135796E-2</c:v>
                </c:pt>
                <c:pt idx="8">
                  <c:v>3.5907477087486275E-2</c:v>
                </c:pt>
                <c:pt idx="9">
                  <c:v>3.5263671760125147E-2</c:v>
                </c:pt>
                <c:pt idx="10">
                  <c:v>3.5565711055098821E-2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5577-424C-B4C5-774C7C22E1F4}"/>
            </c:ext>
          </c:extLst>
        </c:ser>
        <c:ser>
          <c:idx val="1"/>
          <c:order val="1"/>
          <c:tx>
            <c:strRef>
              <c:f>'Case 3'!$G$11:$J$11</c:f>
              <c:strCache>
                <c:ptCount val="1"/>
                <c:pt idx="0">
                  <c:v>Theoretical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'Case 3'!$A$13:$A$23</c:f>
              <c:numCache>
                <c:formatCode>General</c:formatCode>
                <c:ptCount val="11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0.3</c:v>
                </c:pt>
                <c:pt idx="5">
                  <c:v>0.35699999999999998</c:v>
                </c:pt>
                <c:pt idx="6">
                  <c:v>0.4</c:v>
                </c:pt>
                <c:pt idx="7">
                  <c:v>0.5</c:v>
                </c:pt>
                <c:pt idx="8">
                  <c:v>0.6</c:v>
                </c:pt>
                <c:pt idx="9">
                  <c:v>0.8</c:v>
                </c:pt>
                <c:pt idx="10">
                  <c:v>1</c:v>
                </c:pt>
              </c:numCache>
            </c:numRef>
          </c:xVal>
          <c:yVal>
            <c:numRef>
              <c:f>'Case 3'!$J$13:$J$23</c:f>
              <c:numCache>
                <c:formatCode>0.000</c:formatCode>
                <c:ptCount val="11"/>
                <c:pt idx="0">
                  <c:v>8.7663275000000006E-3</c:v>
                </c:pt>
                <c:pt idx="1">
                  <c:v>6.3542400000000006E-3</c:v>
                </c:pt>
                <c:pt idx="2">
                  <c:v>4.5630275000000022E-3</c:v>
                </c:pt>
                <c:pt idx="3">
                  <c:v>3.2998400000000018E-3</c:v>
                </c:pt>
                <c:pt idx="4">
                  <c:v>2.0254400000000016E-3</c:v>
                </c:pt>
                <c:pt idx="5">
                  <c:v>1.8658413242924003E-3</c:v>
                </c:pt>
                <c:pt idx="6">
                  <c:v>1.9454400000000031E-3</c:v>
                </c:pt>
                <c:pt idx="7">
                  <c:v>2.6000000000000016E-3</c:v>
                </c:pt>
                <c:pt idx="8">
                  <c:v>3.6550399999999983E-3</c:v>
                </c:pt>
                <c:pt idx="9">
                  <c:v>6.2590400000000074E-3</c:v>
                </c:pt>
                <c:pt idx="10">
                  <c:v>9.6000000000000044E-3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5577-424C-B4C5-774C7C22E1F4}"/>
            </c:ext>
          </c:extLst>
        </c:ser>
        <c:ser>
          <c:idx val="2"/>
          <c:order val="2"/>
          <c:tx>
            <c:strRef>
              <c:f>'Case 7'!$D$7</c:f>
              <c:strCache>
                <c:ptCount val="1"/>
                <c:pt idx="0">
                  <c:v>A = 20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'Case 7'!$A$13:$A$23</c:f>
              <c:numCache>
                <c:formatCode>General</c:formatCode>
                <c:ptCount val="11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0.3</c:v>
                </c:pt>
                <c:pt idx="5">
                  <c:v>0.35699999999999998</c:v>
                </c:pt>
                <c:pt idx="6">
                  <c:v>0.4</c:v>
                </c:pt>
                <c:pt idx="7">
                  <c:v>0.5</c:v>
                </c:pt>
                <c:pt idx="8">
                  <c:v>0.6</c:v>
                </c:pt>
                <c:pt idx="9">
                  <c:v>0.8</c:v>
                </c:pt>
                <c:pt idx="10">
                  <c:v>1</c:v>
                </c:pt>
              </c:numCache>
            </c:numRef>
          </c:xVal>
          <c:yVal>
            <c:numRef>
              <c:f>'Case 7'!$F$13:$F$23</c:f>
              <c:numCache>
                <c:formatCode>0.000</c:formatCode>
                <c:ptCount val="11"/>
                <c:pt idx="0">
                  <c:v>1.8482831354179503E-2</c:v>
                </c:pt>
                <c:pt idx="1">
                  <c:v>1.5633163124663632E-2</c:v>
                </c:pt>
                <c:pt idx="2">
                  <c:v>1.3749490004079965E-2</c:v>
                </c:pt>
                <c:pt idx="3">
                  <c:v>1.2622113120585138E-2</c:v>
                </c:pt>
                <c:pt idx="4">
                  <c:v>1.1458282118098238E-2</c:v>
                </c:pt>
                <c:pt idx="5">
                  <c:v>1.1221990939145342E-2</c:v>
                </c:pt>
                <c:pt idx="6">
                  <c:v>1.1183783849928415E-2</c:v>
                </c:pt>
                <c:pt idx="7">
                  <c:v>1.1444687492319413E-2</c:v>
                </c:pt>
                <c:pt idx="8">
                  <c:v>1.2060918998088522E-2</c:v>
                </c:pt>
                <c:pt idx="9">
                  <c:v>1.370887592059326E-2</c:v>
                </c:pt>
                <c:pt idx="10">
                  <c:v>1.5936094736980915E-2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CE49-4371-A5BE-67760AC55CCD}"/>
            </c:ext>
          </c:extLst>
        </c:ser>
        <c:ser>
          <c:idx val="3"/>
          <c:order val="3"/>
          <c:tx>
            <c:strRef>
              <c:f>'Case 6'!$D$7</c:f>
              <c:strCache>
                <c:ptCount val="1"/>
                <c:pt idx="0">
                  <c:v>A = 10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'Case 6'!$A$13:$A$23</c:f>
              <c:numCache>
                <c:formatCode>General</c:formatCode>
                <c:ptCount val="11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0.3</c:v>
                </c:pt>
                <c:pt idx="5">
                  <c:v>0.35699999999999998</c:v>
                </c:pt>
                <c:pt idx="6">
                  <c:v>0.4</c:v>
                </c:pt>
                <c:pt idx="7">
                  <c:v>0.5</c:v>
                </c:pt>
                <c:pt idx="8">
                  <c:v>0.6</c:v>
                </c:pt>
                <c:pt idx="9">
                  <c:v>0.8</c:v>
                </c:pt>
                <c:pt idx="10">
                  <c:v>1</c:v>
                </c:pt>
              </c:numCache>
            </c:numRef>
          </c:xVal>
          <c:yVal>
            <c:numRef>
              <c:f>'Case 6'!$F$13:$F$23</c:f>
              <c:numCache>
                <c:formatCode>0.000</c:formatCode>
                <c:ptCount val="11"/>
                <c:pt idx="0">
                  <c:v>2.9501806550201366E-2</c:v>
                </c:pt>
                <c:pt idx="1">
                  <c:v>2.5680244322394966E-2</c:v>
                </c:pt>
                <c:pt idx="2">
                  <c:v>2.3504057108276005E-2</c:v>
                </c:pt>
                <c:pt idx="3">
                  <c:v>2.2076273255530056E-2</c:v>
                </c:pt>
                <c:pt idx="4">
                  <c:v>2.0470316114109478E-2</c:v>
                </c:pt>
                <c:pt idx="5">
                  <c:v>2.0079732942673938E-2</c:v>
                </c:pt>
                <c:pt idx="6">
                  <c:v>1.995441732141786E-2</c:v>
                </c:pt>
                <c:pt idx="7">
                  <c:v>1.9993280376298925E-2</c:v>
                </c:pt>
                <c:pt idx="8">
                  <c:v>2.0400693507994609E-2</c:v>
                </c:pt>
                <c:pt idx="9">
                  <c:v>2.18219693739569E-2</c:v>
                </c:pt>
                <c:pt idx="10">
                  <c:v>2.358342499104021E-2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CE49-4371-A5BE-67760AC55CCD}"/>
            </c:ext>
          </c:extLst>
        </c:ser>
        <c:ser>
          <c:idx val="4"/>
          <c:order val="4"/>
          <c:tx>
            <c:strRef>
              <c:f>'Case 8'!$D$7</c:f>
              <c:strCache>
                <c:ptCount val="1"/>
                <c:pt idx="0">
                  <c:v>A = 30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'Case 8'!$A$13:$A$23</c:f>
              <c:numCache>
                <c:formatCode>General</c:formatCode>
                <c:ptCount val="11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0.3</c:v>
                </c:pt>
                <c:pt idx="5">
                  <c:v>0.35699999999999998</c:v>
                </c:pt>
                <c:pt idx="6">
                  <c:v>0.4</c:v>
                </c:pt>
                <c:pt idx="7">
                  <c:v>0.5</c:v>
                </c:pt>
                <c:pt idx="8">
                  <c:v>0.6</c:v>
                </c:pt>
                <c:pt idx="9">
                  <c:v>0.8</c:v>
                </c:pt>
                <c:pt idx="10">
                  <c:v>1</c:v>
                </c:pt>
              </c:numCache>
            </c:numRef>
          </c:xVal>
          <c:yVal>
            <c:numRef>
              <c:f>'Case 8'!$F$13:$F$23</c:f>
              <c:numCache>
                <c:formatCode>0.000</c:formatCode>
                <c:ptCount val="11"/>
                <c:pt idx="0">
                  <c:v>1.3634207399266369E-2</c:v>
                </c:pt>
                <c:pt idx="1">
                  <c:v>1.1400989523221584E-2</c:v>
                </c:pt>
                <c:pt idx="2">
                  <c:v>9.97639619740575E-3</c:v>
                </c:pt>
                <c:pt idx="3">
                  <c:v>9.0576899435775484E-3</c:v>
                </c:pt>
                <c:pt idx="4">
                  <c:v>8.1931813462896071E-3</c:v>
                </c:pt>
                <c:pt idx="5">
                  <c:v>8.088941909401199E-3</c:v>
                </c:pt>
                <c:pt idx="6">
                  <c:v>8.1141796086525823E-3</c:v>
                </c:pt>
                <c:pt idx="7">
                  <c:v>8.4954197515372046E-3</c:v>
                </c:pt>
                <c:pt idx="8">
                  <c:v>9.1360038052526061E-3</c:v>
                </c:pt>
                <c:pt idx="9">
                  <c:v>1.0775881081557937E-2</c:v>
                </c:pt>
                <c:pt idx="10">
                  <c:v>1.2744095177536337E-2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6258-40D0-94D1-4973466E14C5}"/>
            </c:ext>
          </c:extLst>
        </c:ser>
        <c:ser>
          <c:idx val="5"/>
          <c:order val="5"/>
          <c:tx>
            <c:strRef>
              <c:f>'Case 9'!$D$7</c:f>
              <c:strCache>
                <c:ptCount val="1"/>
                <c:pt idx="0">
                  <c:v>A = 40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'Case 9'!$A$13:$A$23</c:f>
              <c:numCache>
                <c:formatCode>General</c:formatCode>
                <c:ptCount val="11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0.3</c:v>
                </c:pt>
                <c:pt idx="5">
                  <c:v>0.35699999999999998</c:v>
                </c:pt>
                <c:pt idx="6">
                  <c:v>0.4</c:v>
                </c:pt>
                <c:pt idx="7">
                  <c:v>0.5</c:v>
                </c:pt>
                <c:pt idx="8">
                  <c:v>0.6</c:v>
                </c:pt>
                <c:pt idx="9">
                  <c:v>0.8</c:v>
                </c:pt>
                <c:pt idx="10">
                  <c:v>1</c:v>
                </c:pt>
              </c:numCache>
            </c:numRef>
          </c:xVal>
          <c:yVal>
            <c:numRef>
              <c:f>'Case 9'!$F$13:$F$23</c:f>
              <c:numCache>
                <c:formatCode>0.000</c:formatCode>
                <c:ptCount val="11"/>
                <c:pt idx="0">
                  <c:v>1.086594743486744E-2</c:v>
                </c:pt>
                <c:pt idx="1">
                  <c:v>9.0636581643775884E-3</c:v>
                </c:pt>
                <c:pt idx="2">
                  <c:v>7.9025295464715314E-3</c:v>
                </c:pt>
                <c:pt idx="3">
                  <c:v>7.1613729046865566E-3</c:v>
                </c:pt>
                <c:pt idx="4">
                  <c:v>6.4881289753762816E-3</c:v>
                </c:pt>
                <c:pt idx="5">
                  <c:v>6.4224305878508303E-3</c:v>
                </c:pt>
                <c:pt idx="6">
                  <c:v>6.4786134300356358E-3</c:v>
                </c:pt>
                <c:pt idx="7">
                  <c:v>6.8747450020399826E-3</c:v>
                </c:pt>
                <c:pt idx="8">
                  <c:v>7.5021451415793455E-3</c:v>
                </c:pt>
                <c:pt idx="9">
                  <c:v>9.1031552239213172E-3</c:v>
                </c:pt>
                <c:pt idx="10">
                  <c:v>1.0911800617682968E-2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2EB6-42DE-A425-D212181584EA}"/>
            </c:ext>
          </c:extLst>
        </c:ser>
        <c:ser>
          <c:idx val="6"/>
          <c:order val="6"/>
          <c:tx>
            <c:strRef>
              <c:f>'Case 5'!$D$7</c:f>
              <c:strCache>
                <c:ptCount val="1"/>
                <c:pt idx="0">
                  <c:v>A = 7.5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'Case 5'!$A$13:$A$23</c:f>
              <c:numCache>
                <c:formatCode>General</c:formatCode>
                <c:ptCount val="11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0.3</c:v>
                </c:pt>
                <c:pt idx="5">
                  <c:v>0.35699999999999998</c:v>
                </c:pt>
                <c:pt idx="6">
                  <c:v>0.4</c:v>
                </c:pt>
                <c:pt idx="7">
                  <c:v>0.5</c:v>
                </c:pt>
                <c:pt idx="8">
                  <c:v>0.6</c:v>
                </c:pt>
                <c:pt idx="9">
                  <c:v>0.8</c:v>
                </c:pt>
                <c:pt idx="10">
                  <c:v>1</c:v>
                </c:pt>
              </c:numCache>
            </c:numRef>
          </c:xVal>
          <c:yVal>
            <c:numRef>
              <c:f>'Case 5'!$F$13:$F$23</c:f>
              <c:numCache>
                <c:formatCode>0.000</c:formatCode>
                <c:ptCount val="11"/>
                <c:pt idx="0">
                  <c:v>3.5238191564680894E-2</c:v>
                </c:pt>
                <c:pt idx="1">
                  <c:v>3.1198532375757877E-2</c:v>
                </c:pt>
                <c:pt idx="2">
                  <c:v>2.8989177146613754E-2</c:v>
                </c:pt>
                <c:pt idx="3">
                  <c:v>2.7466161756252092E-2</c:v>
                </c:pt>
                <c:pt idx="4">
                  <c:v>2.5586015097338106E-2</c:v>
                </c:pt>
                <c:pt idx="5">
                  <c:v>2.5036722056593533E-2</c:v>
                </c:pt>
                <c:pt idx="6">
                  <c:v>2.4897644336319944E-2</c:v>
                </c:pt>
                <c:pt idx="7">
                  <c:v>2.4893888869110481E-2</c:v>
                </c:pt>
                <c:pt idx="8">
                  <c:v>2.4991588988501661E-2</c:v>
                </c:pt>
                <c:pt idx="9">
                  <c:v>2.6030486298695615E-2</c:v>
                </c:pt>
                <c:pt idx="10">
                  <c:v>2.7532122820775776E-2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0D65-4DE4-8A7D-A0B31DE7F2F6}"/>
            </c:ext>
          </c:extLst>
        </c:ser>
        <c:ser>
          <c:idx val="7"/>
          <c:order val="7"/>
          <c:tx>
            <c:strRef>
              <c:f>'Case 4'!$D$7</c:f>
              <c:strCache>
                <c:ptCount val="1"/>
                <c:pt idx="0">
                  <c:v>A = 6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'Case 4'!$A$13:$A$23</c:f>
              <c:numCache>
                <c:formatCode>General</c:formatCode>
                <c:ptCount val="11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0.3</c:v>
                </c:pt>
                <c:pt idx="5">
                  <c:v>0.35699999999999998</c:v>
                </c:pt>
                <c:pt idx="6">
                  <c:v>0.4</c:v>
                </c:pt>
                <c:pt idx="7">
                  <c:v>0.5</c:v>
                </c:pt>
                <c:pt idx="8">
                  <c:v>0.6</c:v>
                </c:pt>
                <c:pt idx="9">
                  <c:v>0.8</c:v>
                </c:pt>
                <c:pt idx="10">
                  <c:v>1</c:v>
                </c:pt>
              </c:numCache>
            </c:numRef>
          </c:xVal>
          <c:yVal>
            <c:numRef>
              <c:f>'Case 4'!$F$13:$F$23</c:f>
              <c:numCache>
                <c:formatCode>0.000</c:formatCode>
                <c:ptCount val="11"/>
                <c:pt idx="0">
                  <c:v>4.1344249746226691E-2</c:v>
                </c:pt>
                <c:pt idx="1">
                  <c:v>3.7757062839854444E-2</c:v>
                </c:pt>
                <c:pt idx="2">
                  <c:v>3.5284994183792169E-2</c:v>
                </c:pt>
                <c:pt idx="3">
                  <c:v>3.3745380502312745E-2</c:v>
                </c:pt>
                <c:pt idx="4">
                  <c:v>3.1293551247941212E-2</c:v>
                </c:pt>
                <c:pt idx="5">
                  <c:v>3.0564989803123374E-2</c:v>
                </c:pt>
                <c:pt idx="6">
                  <c:v>3.0590667361012482E-2</c:v>
                </c:pt>
                <c:pt idx="7">
                  <c:v>3.0557987992963019E-2</c:v>
                </c:pt>
                <c:pt idx="8">
                  <c:v>3.0845470454159418E-2</c:v>
                </c:pt>
                <c:pt idx="9">
                  <c:v>3.2041728763040241E-2</c:v>
                </c:pt>
                <c:pt idx="10">
                  <c:v>3.4410301575236973E-2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0D65-4DE4-8A7D-A0B31DE7F2F6}"/>
            </c:ext>
          </c:extLst>
        </c:ser>
        <c:axId val="144678912"/>
        <c:axId val="144680832"/>
      </c:scatterChart>
      <c:valAx>
        <c:axId val="14467891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λ</a:t>
                </a:r>
                <a:endParaRPr lang="en-GB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680832"/>
        <c:crosses val="autoZero"/>
        <c:crossBetween val="midCat"/>
      </c:valAx>
      <c:valAx>
        <c:axId val="14468083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f(</a:t>
                </a:r>
                <a:r>
                  <a:rPr lang="el-GR"/>
                  <a:t>λ</a:t>
                </a:r>
                <a:r>
                  <a:rPr lang="nl-NL"/>
                  <a:t>)</a:t>
                </a:r>
                <a:endParaRPr lang="en-GB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0.0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678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92422815411853365"/>
          <c:y val="0.35728329508375967"/>
          <c:w val="7.0801260008294231E-2"/>
          <c:h val="0.28972543954057928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2</xdr:row>
      <xdr:rowOff>180975</xdr:rowOff>
    </xdr:from>
    <xdr:to>
      <xdr:col>3</xdr:col>
      <xdr:colOff>57150</xdr:colOff>
      <xdr:row>7</xdr:row>
      <xdr:rowOff>38100</xdr:rowOff>
    </xdr:to>
    <xdr:pic>
      <xdr:nvPicPr>
        <xdr:cNvPr id="2" name="Picture 5" descr="gplv3-127x51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61975"/>
          <a:ext cx="226695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129540</xdr:colOff>
      <xdr:row>35</xdr:row>
      <xdr:rowOff>51707</xdr:rowOff>
    </xdr:from>
    <xdr:to>
      <xdr:col>7</xdr:col>
      <xdr:colOff>537882</xdr:colOff>
      <xdr:row>51</xdr:row>
      <xdr:rowOff>98612</xdr:rowOff>
    </xdr:to>
    <xdr:graphicFrame macro="">
      <xdr:nvGraphicFramePr>
        <xdr:cNvPr id="2" name="Grafiek 1">
          <a:extLst>
            <a:ext uri="{FF2B5EF4-FFF2-40B4-BE49-F238E27FC236}">
              <a16:creationId xmlns="" xmlns:a16="http://schemas.microsoft.com/office/drawing/2014/main" id="{4AF9EA39-0A54-47BF-A276-0716E0EB6F9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275217</xdr:colOff>
      <xdr:row>35</xdr:row>
      <xdr:rowOff>32434</xdr:rowOff>
    </xdr:from>
    <xdr:to>
      <xdr:col>16</xdr:col>
      <xdr:colOff>328557</xdr:colOff>
      <xdr:row>51</xdr:row>
      <xdr:rowOff>68900</xdr:rowOff>
    </xdr:to>
    <xdr:graphicFrame macro="">
      <xdr:nvGraphicFramePr>
        <xdr:cNvPr id="3" name="Grafiek 2">
          <a:extLst>
            <a:ext uri="{FF2B5EF4-FFF2-40B4-BE49-F238E27FC236}">
              <a16:creationId xmlns="" xmlns:a16="http://schemas.microsoft.com/office/drawing/2014/main" id="{2813C0B8-E67C-492D-98BF-8761FB3081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159124</xdr:colOff>
      <xdr:row>52</xdr:row>
      <xdr:rowOff>60606</xdr:rowOff>
    </xdr:from>
    <xdr:to>
      <xdr:col>7</xdr:col>
      <xdr:colOff>608704</xdr:colOff>
      <xdr:row>68</xdr:row>
      <xdr:rowOff>167511</xdr:rowOff>
    </xdr:to>
    <xdr:graphicFrame macro="">
      <xdr:nvGraphicFramePr>
        <xdr:cNvPr id="4" name="Grafiek 3">
          <a:extLst>
            <a:ext uri="{FF2B5EF4-FFF2-40B4-BE49-F238E27FC236}">
              <a16:creationId xmlns="" xmlns:a16="http://schemas.microsoft.com/office/drawing/2014/main" id="{E67BDDA4-F8CE-459B-AE34-4669450BB99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267596</xdr:colOff>
      <xdr:row>52</xdr:row>
      <xdr:rowOff>14441</xdr:rowOff>
    </xdr:from>
    <xdr:to>
      <xdr:col>16</xdr:col>
      <xdr:colOff>343796</xdr:colOff>
      <xdr:row>68</xdr:row>
      <xdr:rowOff>98485</xdr:rowOff>
    </xdr:to>
    <xdr:graphicFrame macro="">
      <xdr:nvGraphicFramePr>
        <xdr:cNvPr id="5" name="Grafiek 4">
          <a:extLst>
            <a:ext uri="{FF2B5EF4-FFF2-40B4-BE49-F238E27FC236}">
              <a16:creationId xmlns="" xmlns:a16="http://schemas.microsoft.com/office/drawing/2014/main" id="{9D440261-325E-4E82-A55E-1702C8FE64B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53842</xdr:colOff>
      <xdr:row>30</xdr:row>
      <xdr:rowOff>65944</xdr:rowOff>
    </xdr:from>
    <xdr:to>
      <xdr:col>16</xdr:col>
      <xdr:colOff>351022</xdr:colOff>
      <xdr:row>47</xdr:row>
      <xdr:rowOff>170990</xdr:rowOff>
    </xdr:to>
    <xdr:graphicFrame macro="">
      <xdr:nvGraphicFramePr>
        <xdr:cNvPr id="3" name="Grafiek 2">
          <a:extLst>
            <a:ext uri="{FF2B5EF4-FFF2-40B4-BE49-F238E27FC236}">
              <a16:creationId xmlns="" xmlns:a16="http://schemas.microsoft.com/office/drawing/2014/main" id="{BAC00C8C-BAD8-4677-81FB-73398818F0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137663</xdr:colOff>
      <xdr:row>30</xdr:row>
      <xdr:rowOff>55351</xdr:rowOff>
    </xdr:from>
    <xdr:to>
      <xdr:col>7</xdr:col>
      <xdr:colOff>572003</xdr:colOff>
      <xdr:row>47</xdr:row>
      <xdr:rowOff>159560</xdr:rowOff>
    </xdr:to>
    <xdr:graphicFrame macro="">
      <xdr:nvGraphicFramePr>
        <xdr:cNvPr id="4" name="Grafiek 3">
          <a:extLst>
            <a:ext uri="{FF2B5EF4-FFF2-40B4-BE49-F238E27FC236}">
              <a16:creationId xmlns="" xmlns:a16="http://schemas.microsoft.com/office/drawing/2014/main" id="{18BFFE42-1A75-4BBE-BFC3-9CEEEAC935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140928</xdr:colOff>
      <xdr:row>48</xdr:row>
      <xdr:rowOff>38184</xdr:rowOff>
    </xdr:from>
    <xdr:to>
      <xdr:col>7</xdr:col>
      <xdr:colOff>575268</xdr:colOff>
      <xdr:row>65</xdr:row>
      <xdr:rowOff>141055</xdr:rowOff>
    </xdr:to>
    <xdr:graphicFrame macro="">
      <xdr:nvGraphicFramePr>
        <xdr:cNvPr id="5" name="Grafiek 4">
          <a:extLst>
            <a:ext uri="{FF2B5EF4-FFF2-40B4-BE49-F238E27FC236}">
              <a16:creationId xmlns="" xmlns:a16="http://schemas.microsoft.com/office/drawing/2014/main" id="{A964557A-FCD2-4C8F-9E9D-CE7E4D29B4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64728</xdr:colOff>
      <xdr:row>48</xdr:row>
      <xdr:rowOff>72767</xdr:rowOff>
    </xdr:from>
    <xdr:to>
      <xdr:col>16</xdr:col>
      <xdr:colOff>361908</xdr:colOff>
      <xdr:row>65</xdr:row>
      <xdr:rowOff>174801</xdr:rowOff>
    </xdr:to>
    <xdr:graphicFrame macro="">
      <xdr:nvGraphicFramePr>
        <xdr:cNvPr id="6" name="Grafiek 5">
          <a:extLst>
            <a:ext uri="{FF2B5EF4-FFF2-40B4-BE49-F238E27FC236}">
              <a16:creationId xmlns="" xmlns:a16="http://schemas.microsoft.com/office/drawing/2014/main" id="{629B29A4-BD8A-49F7-A3E2-BEA7552286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55581</xdr:colOff>
      <xdr:row>27</xdr:row>
      <xdr:rowOff>72391</xdr:rowOff>
    </xdr:from>
    <xdr:to>
      <xdr:col>21</xdr:col>
      <xdr:colOff>143435</xdr:colOff>
      <xdr:row>60</xdr:row>
      <xdr:rowOff>17929</xdr:rowOff>
    </xdr:to>
    <xdr:graphicFrame macro="">
      <xdr:nvGraphicFramePr>
        <xdr:cNvPr id="2" name="Grafiek 1">
          <a:extLst>
            <a:ext uri="{FF2B5EF4-FFF2-40B4-BE49-F238E27FC236}">
              <a16:creationId xmlns="" xmlns:a16="http://schemas.microsoft.com/office/drawing/2014/main" id="{437187D2-CE6A-4C71-8772-1110F8D2E0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eien/HAW/Arbeiten/Caers/Ergebnisse/PassengerAircraftMinimumFuel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ateien/HAW/Arbeiten/Cheema/Projekt/Ergebnisse_5_englisch/Evaluation_90percent_PassengerAircraf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LHT\HAM-WI41\Shop\Praktikanten\03_Praktikanten\John\Sonstiges\Projekt\Projekt%20im%20Master\Flugzeuge%20Auswertung%20und%20Erkenntnisse\7.11_Erkenntnis_Flugzeug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puts_Outputs"/>
      <sheetName val="Fuel"/>
      <sheetName val="DOC"/>
      <sheetName val="Environmental"/>
      <sheetName val="Flight time"/>
      <sheetName val="Extra information"/>
    </sheetNames>
    <sheetDataSet>
      <sheetData sheetId="0">
        <row r="2">
          <cell r="B2">
            <v>73500</v>
          </cell>
          <cell r="F2">
            <v>2</v>
          </cell>
          <cell r="J2">
            <v>0.9</v>
          </cell>
          <cell r="N2">
            <v>9.8066499999999994</v>
          </cell>
        </row>
        <row r="3">
          <cell r="B3">
            <v>122.4</v>
          </cell>
          <cell r="F3">
            <v>5.7</v>
          </cell>
          <cell r="J3">
            <v>12500</v>
          </cell>
          <cell r="N3">
            <v>287.053</v>
          </cell>
        </row>
        <row r="4">
          <cell r="B4">
            <v>9.5</v>
          </cell>
          <cell r="F4">
            <v>120000</v>
          </cell>
          <cell r="J4">
            <v>41010.49868766404</v>
          </cell>
          <cell r="N4">
            <v>6.4999999999999997E-3</v>
          </cell>
        </row>
        <row r="5">
          <cell r="F5">
            <v>32.6</v>
          </cell>
          <cell r="J5">
            <v>295.06956032434113</v>
          </cell>
          <cell r="N5">
            <v>288.14999999999998</v>
          </cell>
        </row>
        <row r="6">
          <cell r="B6">
            <v>60500</v>
          </cell>
          <cell r="F6">
            <v>18</v>
          </cell>
          <cell r="J6">
            <v>216.65</v>
          </cell>
          <cell r="N6">
            <v>101325</v>
          </cell>
        </row>
        <row r="7">
          <cell r="B7">
            <v>25</v>
          </cell>
          <cell r="F7">
            <v>2</v>
          </cell>
          <cell r="J7">
            <v>17884.531472127925</v>
          </cell>
          <cell r="N7">
            <v>1.1225000000000001</v>
          </cell>
        </row>
        <row r="8">
          <cell r="B8">
            <v>0.43633231299858238</v>
          </cell>
          <cell r="F8">
            <v>2380</v>
          </cell>
          <cell r="J8">
            <v>0.28726392255536015</v>
          </cell>
          <cell r="N8">
            <v>216.65</v>
          </cell>
        </row>
        <row r="9">
          <cell r="B9">
            <v>42600</v>
          </cell>
          <cell r="N9">
            <v>22657</v>
          </cell>
        </row>
        <row r="10">
          <cell r="B10">
            <v>17900</v>
          </cell>
          <cell r="J10">
            <v>516.21240575100717</v>
          </cell>
          <cell r="N10">
            <v>0.36392000000000002</v>
          </cell>
        </row>
        <row r="11">
          <cell r="B11">
            <v>150</v>
          </cell>
        </row>
        <row r="12">
          <cell r="J12">
            <v>1500</v>
          </cell>
        </row>
        <row r="13">
          <cell r="B13">
            <v>0.78</v>
          </cell>
        </row>
        <row r="157">
          <cell r="B157">
            <v>0.5</v>
          </cell>
        </row>
        <row r="158">
          <cell r="B158">
            <v>0.5</v>
          </cell>
        </row>
        <row r="163">
          <cell r="B163">
            <v>0.5</v>
          </cell>
        </row>
        <row r="164">
          <cell r="B164">
            <v>0.5</v>
          </cell>
        </row>
      </sheetData>
      <sheetData sheetId="1">
        <row r="15">
          <cell r="C15">
            <v>0.57793155638612903</v>
          </cell>
        </row>
        <row r="23">
          <cell r="C23" t="str">
            <v/>
          </cell>
        </row>
        <row r="28">
          <cell r="C28">
            <v>1.1273111577958602E-2</v>
          </cell>
        </row>
        <row r="29">
          <cell r="C29">
            <v>0.58135534282882717</v>
          </cell>
        </row>
        <row r="31">
          <cell r="C31" t="e">
            <v>#VALUE!</v>
          </cell>
        </row>
        <row r="33">
          <cell r="C33" t="e">
            <v>#VALUE!</v>
          </cell>
        </row>
        <row r="35">
          <cell r="I35">
            <v>1.831465106715439E-5</v>
          </cell>
        </row>
        <row r="41">
          <cell r="I41" t="e">
            <v>#VALUE!</v>
          </cell>
        </row>
        <row r="42">
          <cell r="I42" t="e">
            <v>#VALUE!</v>
          </cell>
        </row>
      </sheetData>
      <sheetData sheetId="2">
        <row r="7">
          <cell r="C7">
            <v>1.76</v>
          </cell>
        </row>
        <row r="10">
          <cell r="C10">
            <v>2.131410279024593</v>
          </cell>
        </row>
        <row r="40">
          <cell r="C40">
            <v>1505</v>
          </cell>
        </row>
        <row r="41">
          <cell r="D41">
            <v>809.93520518358537</v>
          </cell>
        </row>
        <row r="43">
          <cell r="C43" t="e">
            <v>#VALUE!</v>
          </cell>
        </row>
        <row r="50">
          <cell r="C50" t="e">
            <v>#VALUE!</v>
          </cell>
        </row>
        <row r="59">
          <cell r="C59">
            <v>1.7412726422869818</v>
          </cell>
        </row>
        <row r="79">
          <cell r="C79">
            <v>1.9912726422869818</v>
          </cell>
        </row>
        <row r="84">
          <cell r="C84" t="e">
            <v>#VALUE!</v>
          </cell>
        </row>
        <row r="92">
          <cell r="C92" t="e">
            <v>#VALUE!</v>
          </cell>
        </row>
        <row r="96">
          <cell r="C96">
            <v>2621.0589309815036</v>
          </cell>
        </row>
      </sheetData>
      <sheetData sheetId="3">
        <row r="50">
          <cell r="C50" t="e">
            <v>#VALUE!</v>
          </cell>
        </row>
        <row r="64">
          <cell r="C64">
            <v>260.50657953811276</v>
          </cell>
        </row>
        <row r="65">
          <cell r="C65">
            <v>23.862727604905828</v>
          </cell>
        </row>
      </sheetData>
      <sheetData sheetId="4">
        <row r="166">
          <cell r="B166">
            <v>290</v>
          </cell>
        </row>
        <row r="167">
          <cell r="B167">
            <v>410</v>
          </cell>
        </row>
        <row r="168">
          <cell r="B168">
            <v>0.68350831146106727</v>
          </cell>
        </row>
        <row r="170">
          <cell r="B170">
            <v>488.75045848362186</v>
          </cell>
        </row>
      </sheetData>
      <sheetData sheetId="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(c)"/>
      <sheetName val="90% Aircraft + Factor"/>
      <sheetName val="Category"/>
      <sheetName val="Long-range"/>
      <sheetName val="Short-rang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mF_mMTO"/>
      <sheetName val="Schneeballfaktor "/>
      <sheetName val="Flugzeuge 1940-1972"/>
      <sheetName val="Flugzeuge 1980-present"/>
      <sheetName val="Ergebnisvergleich"/>
    </sheetNames>
    <sheetDataSet>
      <sheetData sheetId="0" refreshError="1"/>
      <sheetData sheetId="1">
        <row r="4">
          <cell r="B4">
            <v>1</v>
          </cell>
        </row>
        <row r="5">
          <cell r="B5">
            <v>90000</v>
          </cell>
        </row>
        <row r="6">
          <cell r="B6">
            <v>0.48333333333333334</v>
          </cell>
        </row>
        <row r="7">
          <cell r="B7">
            <v>43500</v>
          </cell>
        </row>
        <row r="8">
          <cell r="B8">
            <v>0.29444444444444445</v>
          </cell>
        </row>
        <row r="9">
          <cell r="B9">
            <v>26500</v>
          </cell>
        </row>
        <row r="10">
          <cell r="B10">
            <v>20000</v>
          </cell>
        </row>
        <row r="13">
          <cell r="B13">
            <v>90004.500225011288</v>
          </cell>
        </row>
        <row r="32">
          <cell r="B32">
            <v>4.5002250112884212</v>
          </cell>
        </row>
      </sheetData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s://doi.org/10.7910/DVN/0S1R14" TargetMode="External"/><Relationship Id="rId1" Type="http://schemas.openxmlformats.org/officeDocument/2006/relationships/hyperlink" Target="http://www.gnu.org/licenses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workbookViewId="0">
      <selection activeCell="F1" sqref="F1"/>
    </sheetView>
  </sheetViews>
  <sheetFormatPr baseColWidth="10" defaultRowHeight="15"/>
  <cols>
    <col min="1" max="16384" width="11.42578125" style="21"/>
  </cols>
  <sheetData>
    <row r="1" spans="1:6">
      <c r="A1" s="19" t="s">
        <v>32</v>
      </c>
      <c r="B1" s="20"/>
      <c r="C1" s="20"/>
      <c r="D1" s="20"/>
      <c r="E1" s="20"/>
      <c r="F1" s="20"/>
    </row>
    <row r="2" spans="1:6">
      <c r="A2" s="19" t="s">
        <v>33</v>
      </c>
      <c r="B2" s="20"/>
      <c r="C2" s="20"/>
      <c r="D2" s="20"/>
      <c r="E2" s="20"/>
      <c r="F2" s="20"/>
    </row>
    <row r="3" spans="1:6">
      <c r="A3" s="22"/>
      <c r="B3" s="20"/>
      <c r="C3" s="20"/>
      <c r="D3" s="20"/>
      <c r="E3" s="20"/>
      <c r="F3" s="20"/>
    </row>
    <row r="4" spans="1:6">
      <c r="A4" s="22"/>
      <c r="B4" s="20"/>
      <c r="C4" s="20"/>
      <c r="D4" s="20"/>
      <c r="E4" s="20"/>
      <c r="F4" s="20"/>
    </row>
    <row r="5" spans="1:6">
      <c r="A5" s="22"/>
      <c r="B5" s="20"/>
      <c r="C5" s="20"/>
      <c r="D5" s="20"/>
      <c r="E5" s="20"/>
      <c r="F5" s="20"/>
    </row>
    <row r="6" spans="1:6">
      <c r="A6" s="22"/>
      <c r="B6" s="20"/>
      <c r="C6" s="20"/>
      <c r="D6" s="20"/>
      <c r="E6" s="20"/>
      <c r="F6" s="20"/>
    </row>
    <row r="7" spans="1:6">
      <c r="A7" s="22"/>
      <c r="B7" s="20"/>
      <c r="C7" s="20"/>
      <c r="D7" s="20"/>
      <c r="E7" s="20"/>
      <c r="F7" s="20"/>
    </row>
    <row r="8" spans="1:6">
      <c r="A8" s="22"/>
      <c r="B8" s="20"/>
      <c r="C8" s="20"/>
      <c r="D8" s="20"/>
      <c r="E8" s="20"/>
      <c r="F8" s="20"/>
    </row>
    <row r="9" spans="1:6">
      <c r="A9" s="23" t="s">
        <v>34</v>
      </c>
      <c r="B9" s="20"/>
      <c r="C9" s="20"/>
      <c r="D9" s="20"/>
      <c r="E9" s="20"/>
      <c r="F9" s="20"/>
    </row>
    <row r="10" spans="1:6">
      <c r="A10" s="24" t="s">
        <v>35</v>
      </c>
      <c r="B10" s="20"/>
      <c r="C10" s="20"/>
      <c r="D10" s="20"/>
      <c r="E10" s="20"/>
      <c r="F10" s="20"/>
    </row>
    <row r="11" spans="1:6">
      <c r="A11" s="23"/>
      <c r="B11" s="20"/>
      <c r="C11" s="20"/>
      <c r="D11" s="20"/>
      <c r="E11" s="20"/>
      <c r="F11" s="20"/>
    </row>
    <row r="12" spans="1:6">
      <c r="A12" s="23" t="s">
        <v>36</v>
      </c>
      <c r="B12" s="20"/>
      <c r="C12" s="20"/>
      <c r="D12" s="20"/>
      <c r="E12" s="20"/>
      <c r="F12" s="20"/>
    </row>
    <row r="13" spans="1:6">
      <c r="A13" s="23" t="s">
        <v>37</v>
      </c>
      <c r="B13" s="20"/>
      <c r="C13" s="20"/>
      <c r="D13" s="20"/>
      <c r="E13" s="20"/>
      <c r="F13" s="20"/>
    </row>
    <row r="14" spans="1:6">
      <c r="A14" s="23" t="s">
        <v>38</v>
      </c>
      <c r="B14" s="20"/>
      <c r="C14" s="20"/>
      <c r="D14" s="20"/>
      <c r="E14" s="20"/>
      <c r="F14" s="20"/>
    </row>
    <row r="15" spans="1:6">
      <c r="A15" s="23"/>
      <c r="B15" s="20"/>
      <c r="C15" s="20"/>
      <c r="D15" s="20"/>
      <c r="E15" s="20"/>
      <c r="F15" s="20"/>
    </row>
    <row r="16" spans="1:6">
      <c r="A16" s="23" t="s">
        <v>39</v>
      </c>
      <c r="B16" s="20"/>
      <c r="C16" s="20"/>
      <c r="D16" s="20"/>
      <c r="E16" s="20"/>
      <c r="F16" s="20"/>
    </row>
    <row r="17" spans="1:6">
      <c r="A17" s="23" t="s">
        <v>40</v>
      </c>
      <c r="B17" s="20"/>
      <c r="C17" s="20"/>
      <c r="D17" s="20"/>
      <c r="E17" s="20"/>
      <c r="F17" s="20"/>
    </row>
    <row r="18" spans="1:6">
      <c r="A18" s="23" t="s">
        <v>41</v>
      </c>
      <c r="B18" s="20"/>
      <c r="C18" s="20"/>
      <c r="D18" s="20"/>
      <c r="E18" s="20"/>
      <c r="F18" s="20"/>
    </row>
    <row r="19" spans="1:6">
      <c r="A19" s="23" t="s">
        <v>42</v>
      </c>
      <c r="B19" s="20"/>
      <c r="C19" s="20"/>
      <c r="D19" s="20"/>
      <c r="E19" s="20"/>
      <c r="F19" s="20"/>
    </row>
    <row r="20" spans="1:6">
      <c r="A20" s="22"/>
      <c r="B20" s="20"/>
      <c r="C20" s="20"/>
      <c r="D20" s="20"/>
      <c r="E20" s="20"/>
      <c r="F20" s="20"/>
    </row>
    <row r="21" spans="1:6">
      <c r="A21" s="25" t="s">
        <v>43</v>
      </c>
      <c r="B21" s="20"/>
      <c r="C21" s="20"/>
      <c r="D21" s="20"/>
      <c r="E21" s="20"/>
      <c r="F21" s="20"/>
    </row>
    <row r="22" spans="1:6">
      <c r="A22" s="22"/>
      <c r="B22" s="20"/>
      <c r="C22" s="20"/>
      <c r="D22" s="20"/>
      <c r="E22" s="20"/>
      <c r="F22" s="20"/>
    </row>
    <row r="23" spans="1:6">
      <c r="A23" s="20" t="s">
        <v>44</v>
      </c>
      <c r="B23" s="20"/>
      <c r="C23" s="20"/>
      <c r="D23" s="20"/>
      <c r="E23" s="20"/>
      <c r="F23" s="20"/>
    </row>
    <row r="24" spans="1:6">
      <c r="A24" s="26" t="s">
        <v>45</v>
      </c>
      <c r="B24" s="20"/>
      <c r="C24" s="20"/>
      <c r="D24" s="20"/>
      <c r="E24" s="20"/>
      <c r="F24" s="20"/>
    </row>
    <row r="25" spans="1:6">
      <c r="A25" s="20"/>
      <c r="B25" s="20"/>
      <c r="C25" s="20"/>
      <c r="D25" s="20"/>
      <c r="E25" s="20"/>
      <c r="F25" s="20"/>
    </row>
  </sheetData>
  <hyperlinks>
    <hyperlink ref="A21" r:id="rId1"/>
    <hyperlink ref="A24" r:id="rId2"/>
  </hyperlinks>
  <pageMargins left="0.7" right="0.7" top="0.78740157499999996" bottom="0.78740157499999996" header="0.3" footer="0.3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N25"/>
  <sheetViews>
    <sheetView workbookViewId="0">
      <selection activeCell="A4" sqref="A4"/>
    </sheetView>
  </sheetViews>
  <sheetFormatPr baseColWidth="10" defaultColWidth="9.140625" defaultRowHeight="15"/>
  <cols>
    <col min="5" max="5" width="13.140625" customWidth="1"/>
  </cols>
  <sheetData>
    <row r="1" spans="1:14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</row>
    <row r="2" spans="1:14">
      <c r="A2" s="10"/>
      <c r="B2" s="10"/>
      <c r="C2" s="10"/>
      <c r="D2" s="10"/>
      <c r="E2" s="10"/>
      <c r="F2" s="10"/>
      <c r="G2" s="10"/>
      <c r="H2" s="10"/>
      <c r="I2" s="10"/>
      <c r="J2" s="10"/>
    </row>
    <row r="3" spans="1:14">
      <c r="A3" s="10"/>
      <c r="B3" s="10"/>
      <c r="C3" s="10"/>
      <c r="D3" s="10"/>
      <c r="E3" s="10"/>
      <c r="F3" s="10"/>
      <c r="G3" s="10"/>
      <c r="H3" s="10"/>
      <c r="I3" s="10"/>
      <c r="J3" s="10"/>
    </row>
    <row r="5" spans="1:14">
      <c r="A5" s="1" t="s">
        <v>25</v>
      </c>
    </row>
    <row r="7" spans="1:14">
      <c r="A7" t="s">
        <v>9</v>
      </c>
      <c r="B7">
        <v>0.2</v>
      </c>
      <c r="D7" t="s">
        <v>21</v>
      </c>
    </row>
    <row r="8" spans="1:14">
      <c r="A8" s="2" t="s">
        <v>10</v>
      </c>
      <c r="B8">
        <f>SQRT(1-(B7)^2)</f>
        <v>0.9797958971132712</v>
      </c>
    </row>
    <row r="9" spans="1:14">
      <c r="A9" s="2" t="s">
        <v>11</v>
      </c>
      <c r="B9">
        <v>0.97440099999999996</v>
      </c>
    </row>
    <row r="11" spans="1:14">
      <c r="A11" s="17" t="s">
        <v>17</v>
      </c>
      <c r="B11" s="14" t="s">
        <v>8</v>
      </c>
      <c r="C11" s="16" t="s">
        <v>29</v>
      </c>
      <c r="D11" s="16"/>
      <c r="E11" s="16"/>
      <c r="F11" s="16"/>
      <c r="G11" s="16" t="s">
        <v>5</v>
      </c>
      <c r="H11" s="16"/>
      <c r="I11" s="16"/>
      <c r="J11" s="16"/>
      <c r="K11" s="12" t="s">
        <v>6</v>
      </c>
      <c r="L11" s="13"/>
      <c r="M11" s="13"/>
      <c r="N11" s="13"/>
    </row>
    <row r="12" spans="1:14">
      <c r="A12" s="18"/>
      <c r="B12" s="15"/>
      <c r="C12" s="5" t="s">
        <v>2</v>
      </c>
      <c r="D12" s="5" t="s">
        <v>13</v>
      </c>
      <c r="E12" s="5" t="s">
        <v>3</v>
      </c>
      <c r="F12" s="5" t="s">
        <v>4</v>
      </c>
      <c r="G12" s="5" t="s">
        <v>2</v>
      </c>
      <c r="H12" s="5" t="s">
        <v>13</v>
      </c>
      <c r="I12" s="5" t="s">
        <v>3</v>
      </c>
      <c r="J12" s="5" t="s">
        <v>4</v>
      </c>
      <c r="K12" s="5" t="s">
        <v>2</v>
      </c>
      <c r="L12" s="5" t="s">
        <v>13</v>
      </c>
      <c r="M12" s="5" t="s">
        <v>3</v>
      </c>
      <c r="N12" s="5" t="s">
        <v>4</v>
      </c>
    </row>
    <row r="13" spans="1:14">
      <c r="A13">
        <v>0.05</v>
      </c>
      <c r="B13">
        <v>10</v>
      </c>
      <c r="C13" s="6">
        <v>0.70970999999999995</v>
      </c>
      <c r="D13" s="6">
        <v>1.4460000000000001E-2</v>
      </c>
      <c r="E13" s="6">
        <v>0.98331999999999997</v>
      </c>
      <c r="F13" s="6">
        <f t="shared" ref="F13:F23" si="0">(1-C13)/(C13*30)</f>
        <v>1.3634207399266369E-2</v>
      </c>
      <c r="G13" s="6">
        <f t="shared" ref="G13:G23" si="1">1/(1+J13*30)</f>
        <v>0.7917720160572157</v>
      </c>
      <c r="H13" s="6">
        <f t="shared" ref="H13:H23" si="2">(I13^2)/(PI()*30*G13)</f>
        <v>1.3960546453474415E-2</v>
      </c>
      <c r="I13" s="6">
        <f t="shared" ref="I13:I23" si="3">((PI()/180)*(2*PI()*30)/(2+SQRT((((30^2)*($B$8^2)/($B$9^2))*1+4))))*B13</f>
        <v>1.0206735179523823</v>
      </c>
      <c r="J13" s="6">
        <f t="shared" ref="J13:J23" si="4">0.0524*(A13^4)-0.15*(A13^3)+0.1659*(A13^2)-0.0706*(A13)+0.0119</f>
        <v>8.7663275000000006E-3</v>
      </c>
      <c r="K13" s="6">
        <f t="shared" ref="K13:K23" si="5">((C13-G13)/G13)*100</f>
        <v>-10.36434912992501</v>
      </c>
      <c r="L13" s="6">
        <f t="shared" ref="L13:N23" si="6">((D13-H13)/H13)*100</f>
        <v>3.577607425254365</v>
      </c>
      <c r="M13" s="6">
        <f t="shared" si="6"/>
        <v>-3.659693064959578</v>
      </c>
      <c r="N13" s="6">
        <f t="shared" si="6"/>
        <v>55.529295469127383</v>
      </c>
    </row>
    <row r="14" spans="1:14">
      <c r="A14">
        <v>0.1</v>
      </c>
      <c r="B14">
        <v>10</v>
      </c>
      <c r="C14" s="6">
        <v>0.74514000000000002</v>
      </c>
      <c r="D14" s="6">
        <v>1.391E-2</v>
      </c>
      <c r="E14" s="6">
        <v>0.98839999999999995</v>
      </c>
      <c r="F14" s="6">
        <f t="shared" si="0"/>
        <v>1.1400989523221584E-2</v>
      </c>
      <c r="G14" s="6">
        <f t="shared" si="1"/>
        <v>0.83989346119423447</v>
      </c>
      <c r="H14" s="6">
        <f t="shared" si="2"/>
        <v>1.3160681111876871E-2</v>
      </c>
      <c r="I14" s="6">
        <f t="shared" si="3"/>
        <v>1.0206735179523823</v>
      </c>
      <c r="J14" s="6">
        <f t="shared" si="4"/>
        <v>6.3542400000000006E-3</v>
      </c>
      <c r="K14" s="6">
        <f t="shared" si="5"/>
        <v>-11.281604819200002</v>
      </c>
      <c r="L14" s="6">
        <f t="shared" si="6"/>
        <v>5.6936178435849021</v>
      </c>
      <c r="M14" s="6">
        <f t="shared" si="6"/>
        <v>-3.1619824933958931</v>
      </c>
      <c r="N14" s="6">
        <f t="shared" si="6"/>
        <v>79.42333816824015</v>
      </c>
    </row>
    <row r="15" spans="1:14">
      <c r="A15">
        <v>0.15</v>
      </c>
      <c r="B15">
        <v>10</v>
      </c>
      <c r="C15" s="6">
        <v>0.76964999999999995</v>
      </c>
      <c r="D15" s="6">
        <v>1.3559999999999999E-2</v>
      </c>
      <c r="E15" s="6">
        <v>0.99172000000000005</v>
      </c>
      <c r="F15" s="6">
        <f t="shared" si="0"/>
        <v>9.97639619740575E-3</v>
      </c>
      <c r="G15" s="6">
        <f t="shared" si="1"/>
        <v>0.87959193443222661</v>
      </c>
      <c r="H15" s="6">
        <f t="shared" si="2"/>
        <v>1.2566702328691646E-2</v>
      </c>
      <c r="I15" s="6">
        <f t="shared" si="3"/>
        <v>1.0206735179523823</v>
      </c>
      <c r="J15" s="6">
        <f t="shared" si="4"/>
        <v>4.5630275000000022E-3</v>
      </c>
      <c r="K15" s="6">
        <f t="shared" si="5"/>
        <v>-12.499197653875008</v>
      </c>
      <c r="L15" s="6">
        <f t="shared" si="6"/>
        <v>7.904203070367215</v>
      </c>
      <c r="M15" s="6">
        <f t="shared" si="6"/>
        <v>-2.8367070804841816</v>
      </c>
      <c r="N15" s="6">
        <f t="shared" si="6"/>
        <v>118.63546072000979</v>
      </c>
    </row>
    <row r="16" spans="1:14">
      <c r="A16">
        <v>0.2</v>
      </c>
      <c r="B16">
        <v>10</v>
      </c>
      <c r="C16" s="6">
        <v>0.78632999999999997</v>
      </c>
      <c r="D16" s="6">
        <v>1.333E-2</v>
      </c>
      <c r="E16" s="6">
        <v>0.99382999999999999</v>
      </c>
      <c r="F16" s="6">
        <f t="shared" si="0"/>
        <v>9.0576899435775484E-3</v>
      </c>
      <c r="G16" s="6">
        <f t="shared" si="1"/>
        <v>0.90992208155231247</v>
      </c>
      <c r="H16" s="6">
        <f t="shared" si="2"/>
        <v>1.2147820384653858E-2</v>
      </c>
      <c r="I16" s="6">
        <f t="shared" si="3"/>
        <v>1.0206735179523823</v>
      </c>
      <c r="J16" s="6">
        <f t="shared" si="4"/>
        <v>3.2998400000000018E-3</v>
      </c>
      <c r="K16" s="6">
        <f t="shared" si="5"/>
        <v>-13.582710438399998</v>
      </c>
      <c r="L16" s="6">
        <f t="shared" si="6"/>
        <v>9.7316191539971264</v>
      </c>
      <c r="M16" s="6">
        <f t="shared" si="6"/>
        <v>-2.6299808391457264</v>
      </c>
      <c r="N16" s="6">
        <f t="shared" si="6"/>
        <v>174.48876138168953</v>
      </c>
    </row>
    <row r="17" spans="1:14">
      <c r="A17">
        <v>0.3</v>
      </c>
      <c r="B17">
        <v>10</v>
      </c>
      <c r="C17" s="6">
        <v>0.80269999999999997</v>
      </c>
      <c r="D17" s="6">
        <v>1.307E-2</v>
      </c>
      <c r="E17" s="6">
        <v>0.99453999999999998</v>
      </c>
      <c r="F17" s="6">
        <f t="shared" si="0"/>
        <v>8.1931813462896071E-3</v>
      </c>
      <c r="G17" s="6">
        <f t="shared" si="1"/>
        <v>0.94271746983681182</v>
      </c>
      <c r="H17" s="6">
        <f t="shared" si="2"/>
        <v>1.1725220296003709E-2</v>
      </c>
      <c r="I17" s="6">
        <f t="shared" si="3"/>
        <v>1.0206735179523823</v>
      </c>
      <c r="J17" s="6">
        <f t="shared" si="4"/>
        <v>2.0254400000000016E-3</v>
      </c>
      <c r="K17" s="6">
        <f t="shared" si="5"/>
        <v>-14.852537936000001</v>
      </c>
      <c r="L17" s="6">
        <f t="shared" si="6"/>
        <v>11.469121006235</v>
      </c>
      <c r="M17" s="6">
        <f t="shared" si="6"/>
        <v>-2.5604189285531644</v>
      </c>
      <c r="N17" s="6">
        <f t="shared" si="6"/>
        <v>304.51365364017698</v>
      </c>
    </row>
    <row r="18" spans="1:14">
      <c r="A18">
        <v>0.35699999999999998</v>
      </c>
      <c r="B18">
        <v>10</v>
      </c>
      <c r="C18" s="6">
        <v>0.80471999999999999</v>
      </c>
      <c r="D18" s="6">
        <v>1.302E-2</v>
      </c>
      <c r="E18" s="6">
        <v>0.99387999999999999</v>
      </c>
      <c r="F18" s="6">
        <f t="shared" si="0"/>
        <v>8.088941909401199E-3</v>
      </c>
      <c r="G18" s="6">
        <f t="shared" si="1"/>
        <v>0.94699190130333988</v>
      </c>
      <c r="H18" s="6">
        <f t="shared" si="2"/>
        <v>1.1672296241937108E-2</v>
      </c>
      <c r="I18" s="6">
        <f t="shared" si="3"/>
        <v>1.0206735179523823</v>
      </c>
      <c r="J18" s="6">
        <f t="shared" si="4"/>
        <v>1.8658413242924003E-3</v>
      </c>
      <c r="K18" s="6">
        <f t="shared" si="5"/>
        <v>-15.023560508546256</v>
      </c>
      <c r="L18" s="6">
        <f t="shared" si="6"/>
        <v>11.54617506382986</v>
      </c>
      <c r="M18" s="6">
        <f t="shared" si="6"/>
        <v>-2.6250821130476587</v>
      </c>
      <c r="N18" s="6">
        <f t="shared" si="6"/>
        <v>333.52785706302438</v>
      </c>
    </row>
    <row r="19" spans="1:14">
      <c r="A19">
        <v>0.4</v>
      </c>
      <c r="B19">
        <v>10</v>
      </c>
      <c r="C19" s="6">
        <v>0.80423</v>
      </c>
      <c r="D19" s="6">
        <v>1.2999999999999999E-2</v>
      </c>
      <c r="E19" s="6">
        <v>0.99282999999999999</v>
      </c>
      <c r="F19" s="6">
        <f t="shared" si="0"/>
        <v>8.1141796086525823E-3</v>
      </c>
      <c r="G19" s="6">
        <f t="shared" si="1"/>
        <v>0.94485522550292744</v>
      </c>
      <c r="H19" s="6">
        <f t="shared" si="2"/>
        <v>1.1698691727977963E-2</v>
      </c>
      <c r="I19" s="6">
        <f t="shared" si="3"/>
        <v>1.0206735179523823</v>
      </c>
      <c r="J19" s="6">
        <f t="shared" si="4"/>
        <v>1.9454400000000031E-3</v>
      </c>
      <c r="K19" s="6">
        <f t="shared" si="5"/>
        <v>-14.883256366399991</v>
      </c>
      <c r="L19" s="6">
        <f t="shared" si="6"/>
        <v>11.123536736248012</v>
      </c>
      <c r="M19" s="6">
        <f t="shared" si="6"/>
        <v>-2.7279553611070821</v>
      </c>
      <c r="N19" s="6">
        <f t="shared" si="6"/>
        <v>317.08711698395064</v>
      </c>
    </row>
    <row r="20" spans="1:14">
      <c r="A20">
        <v>0.5</v>
      </c>
      <c r="B20">
        <v>10</v>
      </c>
      <c r="C20" s="6">
        <v>0.79690000000000005</v>
      </c>
      <c r="D20" s="6">
        <v>1.3050000000000001E-2</v>
      </c>
      <c r="E20" s="6">
        <v>0.99012</v>
      </c>
      <c r="F20" s="6">
        <f t="shared" si="0"/>
        <v>8.4954197515372046E-3</v>
      </c>
      <c r="G20" s="6">
        <f t="shared" si="1"/>
        <v>0.92764378478664189</v>
      </c>
      <c r="H20" s="6">
        <f t="shared" si="2"/>
        <v>1.1915748471564624E-2</v>
      </c>
      <c r="I20" s="6">
        <f t="shared" si="3"/>
        <v>1.0206735179523823</v>
      </c>
      <c r="J20" s="6">
        <f t="shared" si="4"/>
        <v>2.6000000000000016E-3</v>
      </c>
      <c r="K20" s="6">
        <f t="shared" si="5"/>
        <v>-14.094179999999989</v>
      </c>
      <c r="L20" s="6">
        <f t="shared" si="6"/>
        <v>9.5189280903513467</v>
      </c>
      <c r="M20" s="6">
        <f t="shared" si="6"/>
        <v>-2.9934663156223555</v>
      </c>
      <c r="N20" s="6">
        <f t="shared" si="6"/>
        <v>226.74691352066151</v>
      </c>
    </row>
    <row r="21" spans="1:14">
      <c r="A21">
        <v>0.6</v>
      </c>
      <c r="B21">
        <v>10</v>
      </c>
      <c r="C21" s="6">
        <v>0.78488000000000002</v>
      </c>
      <c r="D21" s="6">
        <v>1.315E-2</v>
      </c>
      <c r="E21" s="6">
        <v>0.98633000000000004</v>
      </c>
      <c r="F21" s="6">
        <f t="shared" si="0"/>
        <v>9.1360038052526061E-3</v>
      </c>
      <c r="G21" s="6">
        <f t="shared" si="1"/>
        <v>0.90118408379137516</v>
      </c>
      <c r="H21" s="6">
        <f t="shared" si="2"/>
        <v>1.2265607226688173E-2</v>
      </c>
      <c r="I21" s="6">
        <f t="shared" si="3"/>
        <v>1.0206735179523823</v>
      </c>
      <c r="J21" s="6">
        <f t="shared" si="4"/>
        <v>3.6550399999999983E-3</v>
      </c>
      <c r="K21" s="6">
        <f t="shared" si="5"/>
        <v>-12.905696614399996</v>
      </c>
      <c r="L21" s="6">
        <f t="shared" si="6"/>
        <v>7.2103464342761399</v>
      </c>
      <c r="M21" s="6">
        <f t="shared" si="6"/>
        <v>-3.3647897538558902</v>
      </c>
      <c r="N21" s="6">
        <f t="shared" si="6"/>
        <v>149.956328939016</v>
      </c>
    </row>
    <row r="22" spans="1:14">
      <c r="A22">
        <v>0.8</v>
      </c>
      <c r="B22">
        <v>10</v>
      </c>
      <c r="C22" s="6">
        <v>0.75570000000000004</v>
      </c>
      <c r="D22" s="6">
        <v>1.342E-2</v>
      </c>
      <c r="E22" s="6">
        <v>0.97748000000000002</v>
      </c>
      <c r="F22" s="6">
        <f t="shared" si="0"/>
        <v>1.0775881081557937E-2</v>
      </c>
      <c r="G22" s="6">
        <f t="shared" si="1"/>
        <v>0.84191298795592939</v>
      </c>
      <c r="H22" s="6">
        <f t="shared" si="2"/>
        <v>1.3129112115926236E-2</v>
      </c>
      <c r="I22" s="6">
        <f t="shared" si="3"/>
        <v>1.0206735179523823</v>
      </c>
      <c r="J22" s="6">
        <f t="shared" si="4"/>
        <v>6.2590400000000074E-3</v>
      </c>
      <c r="K22" s="6">
        <f t="shared" si="5"/>
        <v>-10.240130415999978</v>
      </c>
      <c r="L22" s="6">
        <f t="shared" si="6"/>
        <v>2.2155944857908798</v>
      </c>
      <c r="M22" s="6">
        <f t="shared" si="6"/>
        <v>-4.2318642732138914</v>
      </c>
      <c r="N22" s="6">
        <f t="shared" si="6"/>
        <v>72.165077736488726</v>
      </c>
    </row>
    <row r="23" spans="1:14">
      <c r="A23" s="5">
        <v>1</v>
      </c>
      <c r="B23" s="5">
        <v>10</v>
      </c>
      <c r="C23" s="7">
        <v>0.72341999999999995</v>
      </c>
      <c r="D23" s="7">
        <v>1.3780000000000001E-2</v>
      </c>
      <c r="E23" s="7">
        <v>0.96911999999999998</v>
      </c>
      <c r="F23" s="7">
        <f t="shared" si="0"/>
        <v>1.2744095177536337E-2</v>
      </c>
      <c r="G23" s="7">
        <f t="shared" si="1"/>
        <v>0.77639751552795011</v>
      </c>
      <c r="H23" s="7">
        <f t="shared" si="2"/>
        <v>1.4236998173817477E-2</v>
      </c>
      <c r="I23" s="7">
        <f t="shared" si="3"/>
        <v>1.0206735179523823</v>
      </c>
      <c r="J23" s="7">
        <f t="shared" si="4"/>
        <v>9.6000000000000044E-3</v>
      </c>
      <c r="K23" s="7">
        <f t="shared" si="5"/>
        <v>-6.823503999999982</v>
      </c>
      <c r="L23" s="7">
        <f t="shared" si="6"/>
        <v>-3.2099335002930447</v>
      </c>
      <c r="M23" s="7">
        <f t="shared" si="6"/>
        <v>-5.0509312768108297</v>
      </c>
      <c r="N23" s="7">
        <f t="shared" si="6"/>
        <v>32.750991432670112</v>
      </c>
    </row>
    <row r="25" spans="1:14">
      <c r="E25" t="s">
        <v>30</v>
      </c>
      <c r="F25">
        <f>MIN(F13:F23)</f>
        <v>8.088941909401199E-3</v>
      </c>
    </row>
  </sheetData>
  <mergeCells count="6">
    <mergeCell ref="K11:N11"/>
    <mergeCell ref="A1:J3"/>
    <mergeCell ref="A11:A12"/>
    <mergeCell ref="B11:B12"/>
    <mergeCell ref="C11:F11"/>
    <mergeCell ref="G11:J1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N25"/>
  <sheetViews>
    <sheetView workbookViewId="0">
      <selection activeCell="A4" sqref="A4"/>
    </sheetView>
  </sheetViews>
  <sheetFormatPr baseColWidth="10" defaultColWidth="9.140625" defaultRowHeight="15"/>
  <cols>
    <col min="5" max="5" width="12.85546875" customWidth="1"/>
    <col min="6" max="6" width="16.140625" bestFit="1" customWidth="1"/>
  </cols>
  <sheetData>
    <row r="1" spans="1:14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</row>
    <row r="2" spans="1:14">
      <c r="A2" s="10"/>
      <c r="B2" s="10"/>
      <c r="C2" s="10"/>
      <c r="D2" s="10"/>
      <c r="E2" s="10"/>
      <c r="F2" s="10"/>
      <c r="G2" s="10"/>
      <c r="H2" s="10"/>
      <c r="I2" s="10"/>
      <c r="J2" s="10"/>
    </row>
    <row r="3" spans="1:14">
      <c r="A3" s="10"/>
      <c r="B3" s="10"/>
      <c r="C3" s="10"/>
      <c r="D3" s="10"/>
      <c r="E3" s="10"/>
      <c r="F3" s="10"/>
      <c r="G3" s="10"/>
      <c r="H3" s="10"/>
      <c r="I3" s="10"/>
      <c r="J3" s="10"/>
    </row>
    <row r="5" spans="1:14">
      <c r="A5" s="1" t="s">
        <v>26</v>
      </c>
    </row>
    <row r="7" spans="1:14">
      <c r="A7" t="s">
        <v>9</v>
      </c>
      <c r="B7">
        <v>0.2</v>
      </c>
      <c r="D7" t="s">
        <v>22</v>
      </c>
    </row>
    <row r="8" spans="1:14">
      <c r="A8" s="2" t="s">
        <v>10</v>
      </c>
      <c r="B8">
        <f>SQRT(1-(B7)^2)</f>
        <v>0.9797958971132712</v>
      </c>
    </row>
    <row r="9" spans="1:14">
      <c r="A9" s="2" t="s">
        <v>11</v>
      </c>
      <c r="B9">
        <v>0.97440099999999996</v>
      </c>
    </row>
    <row r="11" spans="1:14">
      <c r="A11" s="17" t="s">
        <v>17</v>
      </c>
      <c r="B11" s="14" t="s">
        <v>8</v>
      </c>
      <c r="C11" s="16" t="s">
        <v>29</v>
      </c>
      <c r="D11" s="16"/>
      <c r="E11" s="16"/>
      <c r="F11" s="16"/>
      <c r="G11" s="16" t="s">
        <v>5</v>
      </c>
      <c r="H11" s="16"/>
      <c r="I11" s="16"/>
      <c r="J11" s="16"/>
      <c r="K11" s="12" t="s">
        <v>6</v>
      </c>
      <c r="L11" s="13"/>
      <c r="M11" s="13"/>
      <c r="N11" s="13"/>
    </row>
    <row r="12" spans="1:14">
      <c r="A12" s="18"/>
      <c r="B12" s="15"/>
      <c r="C12" s="5" t="s">
        <v>2</v>
      </c>
      <c r="D12" s="5" t="s">
        <v>13</v>
      </c>
      <c r="E12" s="5" t="s">
        <v>3</v>
      </c>
      <c r="F12" s="5" t="s">
        <v>4</v>
      </c>
      <c r="G12" s="5" t="s">
        <v>2</v>
      </c>
      <c r="H12" s="5" t="s">
        <v>13</v>
      </c>
      <c r="I12" s="5" t="s">
        <v>3</v>
      </c>
      <c r="J12" s="5" t="s">
        <v>4</v>
      </c>
      <c r="K12" s="5" t="s">
        <v>2</v>
      </c>
      <c r="L12" s="5" t="s">
        <v>13</v>
      </c>
      <c r="M12" s="5" t="s">
        <v>3</v>
      </c>
      <c r="N12" s="5" t="s">
        <v>4</v>
      </c>
    </row>
    <row r="13" spans="1:14">
      <c r="A13">
        <v>0.05</v>
      </c>
      <c r="B13">
        <v>10</v>
      </c>
      <c r="C13" s="6">
        <v>0.69703999999999999</v>
      </c>
      <c r="D13" s="6">
        <v>1.1560000000000001E-2</v>
      </c>
      <c r="E13" s="6">
        <v>1.00644</v>
      </c>
      <c r="F13" s="6">
        <f t="shared" ref="F13:F23" si="0">(1-C13)/(C13*40)</f>
        <v>1.086594743486744E-2</v>
      </c>
      <c r="G13" s="6">
        <f t="shared" ref="G13:G23" si="1">1/(1+J13*40)</f>
        <v>0.7403825601111047</v>
      </c>
      <c r="H13" s="6">
        <f t="shared" ref="H13:H23" si="2">(I13^2)/(PI()*40*G13)</f>
        <v>1.1573909860647496E-2</v>
      </c>
      <c r="I13" s="6">
        <f t="shared" ref="I13:I23" si="3">((PI()/180)*(2*PI()*40)/(2+SQRT((((40^2)*($B$8^2)/($B$9^2))*1+4))))*B13</f>
        <v>1.037702994551793</v>
      </c>
      <c r="J13" s="6">
        <f t="shared" ref="J13:J23" si="4">0.0524*(A13^4)-0.15*(A13^3)+0.1659*(A13^2)-0.0706*(A13)+0.0119</f>
        <v>8.7663275000000006E-3</v>
      </c>
      <c r="K13" s="6">
        <f t="shared" ref="K13:K23" si="5">((C13-G13)/G13)*100</f>
        <v>-5.8540763175999926</v>
      </c>
      <c r="L13" s="6">
        <f t="shared" ref="L13:N23" si="6">((D13-H13)/H13)*100</f>
        <v>-0.12018290115417617</v>
      </c>
      <c r="M13" s="6">
        <f t="shared" si="6"/>
        <v>-3.0127112204486046</v>
      </c>
      <c r="N13" s="6">
        <f t="shared" si="6"/>
        <v>23.950963899847903</v>
      </c>
    </row>
    <row r="14" spans="1:14">
      <c r="A14">
        <v>0.1</v>
      </c>
      <c r="B14">
        <v>10</v>
      </c>
      <c r="C14" s="6">
        <v>0.73392000000000002</v>
      </c>
      <c r="D14" s="6">
        <v>1.108E-2</v>
      </c>
      <c r="E14" s="6">
        <v>1.0107999999999999</v>
      </c>
      <c r="F14" s="6">
        <f t="shared" si="0"/>
        <v>9.0636581643775884E-3</v>
      </c>
      <c r="G14" s="6">
        <f t="shared" si="1"/>
        <v>0.79734032781531305</v>
      </c>
      <c r="H14" s="6">
        <f t="shared" si="2"/>
        <v>1.0747131073378E-2</v>
      </c>
      <c r="I14" s="6">
        <f t="shared" si="3"/>
        <v>1.037702994551793</v>
      </c>
      <c r="J14" s="6">
        <f t="shared" si="4"/>
        <v>6.3542400000000006E-3</v>
      </c>
      <c r="K14" s="6">
        <f t="shared" si="5"/>
        <v>-7.9539847168000026</v>
      </c>
      <c r="L14" s="6">
        <f t="shared" si="6"/>
        <v>3.0972817242971757</v>
      </c>
      <c r="M14" s="6">
        <f t="shared" si="6"/>
        <v>-2.592552463762825</v>
      </c>
      <c r="N14" s="6">
        <f t="shared" si="6"/>
        <v>42.639531468398857</v>
      </c>
    </row>
    <row r="15" spans="1:14">
      <c r="A15">
        <v>0.15</v>
      </c>
      <c r="B15">
        <v>10</v>
      </c>
      <c r="C15" s="6">
        <v>0.75982000000000005</v>
      </c>
      <c r="D15" s="6">
        <v>1.0749999999999999E-2</v>
      </c>
      <c r="E15" s="6">
        <v>1.01332</v>
      </c>
      <c r="F15" s="6">
        <f t="shared" si="0"/>
        <v>7.9025295464715314E-3</v>
      </c>
      <c r="G15" s="6">
        <f t="shared" si="1"/>
        <v>0.84565087252988536</v>
      </c>
      <c r="H15" s="6">
        <f t="shared" si="2"/>
        <v>1.0133166406469378E-2</v>
      </c>
      <c r="I15" s="6">
        <f t="shared" si="3"/>
        <v>1.037702994551793</v>
      </c>
      <c r="J15" s="6">
        <f t="shared" si="4"/>
        <v>4.5630275000000022E-3</v>
      </c>
      <c r="K15" s="6">
        <f t="shared" si="5"/>
        <v>-10.149681779799977</v>
      </c>
      <c r="L15" s="6">
        <f t="shared" si="6"/>
        <v>6.0872738963095721</v>
      </c>
      <c r="M15" s="6">
        <f t="shared" si="6"/>
        <v>-2.3497084117334177</v>
      </c>
      <c r="N15" s="6">
        <f t="shared" si="6"/>
        <v>73.186103885447267</v>
      </c>
    </row>
    <row r="16" spans="1:14">
      <c r="A16">
        <v>0.2</v>
      </c>
      <c r="B16">
        <v>10</v>
      </c>
      <c r="C16" s="6">
        <v>0.77732999999999997</v>
      </c>
      <c r="D16" s="6">
        <v>1.055E-2</v>
      </c>
      <c r="E16" s="6">
        <v>1.0149900000000001</v>
      </c>
      <c r="F16" s="6">
        <f t="shared" si="0"/>
        <v>7.1613729046865566E-3</v>
      </c>
      <c r="G16" s="6">
        <f t="shared" si="1"/>
        <v>0.88339722062032844</v>
      </c>
      <c r="H16" s="6">
        <f t="shared" si="2"/>
        <v>9.7001901444788881E-3</v>
      </c>
      <c r="I16" s="6">
        <f t="shared" si="3"/>
        <v>1.037702994551793</v>
      </c>
      <c r="J16" s="6">
        <f t="shared" si="4"/>
        <v>3.2998400000000018E-3</v>
      </c>
      <c r="K16" s="6">
        <f t="shared" si="5"/>
        <v>-12.006741491199987</v>
      </c>
      <c r="L16" s="6">
        <f t="shared" si="6"/>
        <v>8.7607546126794578</v>
      </c>
      <c r="M16" s="6">
        <f t="shared" si="6"/>
        <v>-2.1887760439202775</v>
      </c>
      <c r="N16" s="6">
        <f t="shared" si="6"/>
        <v>117.02182241219433</v>
      </c>
    </row>
    <row r="17" spans="1:14">
      <c r="A17">
        <v>0.3</v>
      </c>
      <c r="B17">
        <v>10</v>
      </c>
      <c r="C17" s="6">
        <v>0.79395000000000004</v>
      </c>
      <c r="D17" s="6">
        <v>1.034E-2</v>
      </c>
      <c r="E17" s="6">
        <v>1.0157799999999999</v>
      </c>
      <c r="F17" s="6">
        <f t="shared" si="0"/>
        <v>6.4881289753762816E-3</v>
      </c>
      <c r="G17" s="6">
        <f t="shared" si="1"/>
        <v>0.92505431918962278</v>
      </c>
      <c r="H17" s="6">
        <f t="shared" si="2"/>
        <v>9.2633706317140126E-3</v>
      </c>
      <c r="I17" s="6">
        <f t="shared" si="3"/>
        <v>1.037702994551793</v>
      </c>
      <c r="J17" s="6">
        <f t="shared" si="4"/>
        <v>2.0254400000000016E-3</v>
      </c>
      <c r="K17" s="6">
        <f t="shared" si="5"/>
        <v>-14.172607647999991</v>
      </c>
      <c r="L17" s="6">
        <f t="shared" si="6"/>
        <v>11.622436487643565</v>
      </c>
      <c r="M17" s="6">
        <f t="shared" si="6"/>
        <v>-2.1126463609428212</v>
      </c>
      <c r="N17" s="6">
        <f t="shared" si="6"/>
        <v>220.33182791770068</v>
      </c>
    </row>
    <row r="18" spans="1:14">
      <c r="A18">
        <v>0.35699999999999998</v>
      </c>
      <c r="B18">
        <v>10</v>
      </c>
      <c r="C18" s="6">
        <v>0.79561000000000004</v>
      </c>
      <c r="D18" s="6">
        <v>1.031E-2</v>
      </c>
      <c r="E18" s="6">
        <v>1.01519</v>
      </c>
      <c r="F18" s="6">
        <f t="shared" si="0"/>
        <v>6.4224305878508303E-3</v>
      </c>
      <c r="G18" s="6">
        <f t="shared" si="1"/>
        <v>0.93054967824122137</v>
      </c>
      <c r="H18" s="6">
        <f t="shared" si="2"/>
        <v>9.2086658170871197E-3</v>
      </c>
      <c r="I18" s="6">
        <f t="shared" si="3"/>
        <v>1.037702994551793</v>
      </c>
      <c r="J18" s="6">
        <f t="shared" si="4"/>
        <v>1.8658413242924003E-3</v>
      </c>
      <c r="K18" s="6">
        <f t="shared" si="5"/>
        <v>-14.501071935918894</v>
      </c>
      <c r="L18" s="6">
        <f t="shared" si="6"/>
        <v>11.959758392679445</v>
      </c>
      <c r="M18" s="6">
        <f t="shared" si="6"/>
        <v>-2.1695027064576289</v>
      </c>
      <c r="N18" s="6">
        <f t="shared" si="6"/>
        <v>244.21097358246507</v>
      </c>
    </row>
    <row r="19" spans="1:14">
      <c r="A19">
        <v>0.4</v>
      </c>
      <c r="B19">
        <v>10</v>
      </c>
      <c r="C19" s="6">
        <v>0.79418999999999995</v>
      </c>
      <c r="D19" s="6">
        <v>1.031E-2</v>
      </c>
      <c r="E19" s="6">
        <v>1.01448</v>
      </c>
      <c r="F19" s="6">
        <f t="shared" si="0"/>
        <v>6.4786134300356358E-3</v>
      </c>
      <c r="G19" s="6">
        <f t="shared" si="1"/>
        <v>0.9278007707426561</v>
      </c>
      <c r="H19" s="6">
        <f t="shared" si="2"/>
        <v>9.2359494444720254E-3</v>
      </c>
      <c r="I19" s="6">
        <f t="shared" si="3"/>
        <v>1.037702994551793</v>
      </c>
      <c r="J19" s="6">
        <f t="shared" si="4"/>
        <v>1.9454400000000031E-3</v>
      </c>
      <c r="K19" s="6">
        <f t="shared" si="5"/>
        <v>-14.400804025599989</v>
      </c>
      <c r="L19" s="6">
        <f t="shared" si="6"/>
        <v>11.629021596375495</v>
      </c>
      <c r="M19" s="6">
        <f t="shared" si="6"/>
        <v>-2.2379230544500377</v>
      </c>
      <c r="N19" s="6">
        <f t="shared" si="6"/>
        <v>233.01532969588501</v>
      </c>
    </row>
    <row r="20" spans="1:14">
      <c r="A20">
        <v>0.5</v>
      </c>
      <c r="B20">
        <v>10</v>
      </c>
      <c r="C20" s="6">
        <v>0.78432000000000002</v>
      </c>
      <c r="D20" s="6">
        <v>1.039E-2</v>
      </c>
      <c r="E20" s="6">
        <v>1.0121100000000001</v>
      </c>
      <c r="F20" s="6">
        <f t="shared" si="0"/>
        <v>6.8747450020399826E-3</v>
      </c>
      <c r="G20" s="6">
        <f t="shared" si="1"/>
        <v>0.90579710144927528</v>
      </c>
      <c r="H20" s="6">
        <f t="shared" si="2"/>
        <v>9.4603095984859744E-3</v>
      </c>
      <c r="I20" s="6">
        <f t="shared" si="3"/>
        <v>1.037702994551793</v>
      </c>
      <c r="J20" s="6">
        <f t="shared" si="4"/>
        <v>2.6000000000000016E-3</v>
      </c>
      <c r="K20" s="6">
        <f t="shared" si="5"/>
        <v>-13.41107199999999</v>
      </c>
      <c r="L20" s="6">
        <f t="shared" si="6"/>
        <v>9.8272724780890144</v>
      </c>
      <c r="M20" s="6">
        <f t="shared" si="6"/>
        <v>-2.4663121033824487</v>
      </c>
      <c r="N20" s="6">
        <f t="shared" si="6"/>
        <v>164.41326930922992</v>
      </c>
    </row>
    <row r="21" spans="1:14">
      <c r="A21">
        <v>0.6</v>
      </c>
      <c r="B21">
        <v>10</v>
      </c>
      <c r="C21" s="6">
        <v>0.76917999999999997</v>
      </c>
      <c r="D21" s="6">
        <v>1.051E-2</v>
      </c>
      <c r="E21" s="6">
        <v>1.0078100000000001</v>
      </c>
      <c r="F21" s="6">
        <f t="shared" si="0"/>
        <v>7.5021451415793455E-3</v>
      </c>
      <c r="G21" s="6">
        <f t="shared" si="1"/>
        <v>0.87244687147531474</v>
      </c>
      <c r="H21" s="6">
        <f t="shared" si="2"/>
        <v>9.8219402158333143E-3</v>
      </c>
      <c r="I21" s="6">
        <f t="shared" si="3"/>
        <v>1.037702994551793</v>
      </c>
      <c r="J21" s="6">
        <f t="shared" si="4"/>
        <v>3.6550399999999983E-3</v>
      </c>
      <c r="K21" s="6">
        <f t="shared" si="5"/>
        <v>-11.836465331200014</v>
      </c>
      <c r="L21" s="6">
        <f t="shared" si="6"/>
        <v>7.0053346797764995</v>
      </c>
      <c r="M21" s="6">
        <f t="shared" si="6"/>
        <v>-2.8806888588294379</v>
      </c>
      <c r="N21" s="6">
        <f t="shared" si="6"/>
        <v>105.25480272662813</v>
      </c>
    </row>
    <row r="22" spans="1:14">
      <c r="A22">
        <v>0.8</v>
      </c>
      <c r="B22">
        <v>10</v>
      </c>
      <c r="C22" s="6">
        <v>0.73307</v>
      </c>
      <c r="D22" s="6">
        <v>1.086E-2</v>
      </c>
      <c r="E22" s="6">
        <v>1.0004200000000001</v>
      </c>
      <c r="F22" s="6">
        <f t="shared" si="0"/>
        <v>9.1031552239213172E-3</v>
      </c>
      <c r="G22" s="6">
        <f t="shared" si="1"/>
        <v>0.79976864292697392</v>
      </c>
      <c r="H22" s="6">
        <f t="shared" si="2"/>
        <v>1.0714499860560037E-2</v>
      </c>
      <c r="I22" s="6">
        <f t="shared" si="3"/>
        <v>1.037702994551793</v>
      </c>
      <c r="J22" s="6">
        <f t="shared" si="4"/>
        <v>6.2590400000000074E-3</v>
      </c>
      <c r="K22" s="6">
        <f t="shared" si="5"/>
        <v>-8.3397421887999812</v>
      </c>
      <c r="L22" s="6">
        <f t="shared" si="6"/>
        <v>1.3579741596296748</v>
      </c>
      <c r="M22" s="6">
        <f t="shared" si="6"/>
        <v>-3.5928386780743859</v>
      </c>
      <c r="N22" s="6">
        <f t="shared" si="6"/>
        <v>45.440118994627078</v>
      </c>
    </row>
    <row r="23" spans="1:14">
      <c r="A23" s="5">
        <v>1</v>
      </c>
      <c r="B23" s="5">
        <v>10</v>
      </c>
      <c r="C23" s="7">
        <v>0.69615000000000005</v>
      </c>
      <c r="D23" s="7">
        <v>1.1259999999999999E-2</v>
      </c>
      <c r="E23" s="7">
        <v>0.99251999999999996</v>
      </c>
      <c r="F23" s="7">
        <f t="shared" si="0"/>
        <v>1.0911800617682968E-2</v>
      </c>
      <c r="G23" s="7">
        <f t="shared" si="1"/>
        <v>0.72254335260115599</v>
      </c>
      <c r="H23" s="7">
        <f t="shared" si="2"/>
        <v>1.1859663482159952E-2</v>
      </c>
      <c r="I23" s="7">
        <f t="shared" si="3"/>
        <v>1.037702994551793</v>
      </c>
      <c r="J23" s="7">
        <f t="shared" si="4"/>
        <v>9.6000000000000044E-3</v>
      </c>
      <c r="K23" s="7">
        <f t="shared" si="5"/>
        <v>-3.6528399999999821</v>
      </c>
      <c r="L23" s="7">
        <f t="shared" si="6"/>
        <v>-5.0563279730660504</v>
      </c>
      <c r="M23" s="7">
        <f t="shared" si="6"/>
        <v>-4.3541355078491053</v>
      </c>
      <c r="N23" s="7">
        <f t="shared" si="6"/>
        <v>13.664589767530869</v>
      </c>
    </row>
    <row r="25" spans="1:14">
      <c r="E25" t="s">
        <v>30</v>
      </c>
      <c r="F25">
        <f>MIN(F13:F23)</f>
        <v>6.4224305878508303E-3</v>
      </c>
    </row>
  </sheetData>
  <mergeCells count="6">
    <mergeCell ref="K11:N11"/>
    <mergeCell ref="A1:J3"/>
    <mergeCell ref="A11:A12"/>
    <mergeCell ref="B11:B12"/>
    <mergeCell ref="C11:F11"/>
    <mergeCell ref="G11:J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0"/>
  <sheetViews>
    <sheetView tabSelected="1" workbookViewId="0">
      <selection activeCell="A4" sqref="A4"/>
    </sheetView>
  </sheetViews>
  <sheetFormatPr baseColWidth="10" defaultColWidth="9.140625" defaultRowHeight="15"/>
  <sheetData>
    <row r="1" spans="1:10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</row>
    <row r="2" spans="1:10">
      <c r="A2" s="10"/>
      <c r="B2" s="10"/>
      <c r="C2" s="10"/>
      <c r="D2" s="10"/>
      <c r="E2" s="10"/>
      <c r="F2" s="10"/>
      <c r="G2" s="10"/>
      <c r="H2" s="10"/>
      <c r="I2" s="10"/>
      <c r="J2" s="10"/>
    </row>
    <row r="3" spans="1:10">
      <c r="A3" s="10"/>
      <c r="B3" s="10"/>
      <c r="C3" s="10"/>
      <c r="D3" s="10"/>
      <c r="E3" s="10"/>
      <c r="F3" s="10"/>
      <c r="G3" s="10"/>
      <c r="H3" s="10"/>
      <c r="I3" s="10"/>
      <c r="J3" s="10"/>
    </row>
    <row r="5" spans="1:10" ht="14.45" customHeight="1">
      <c r="A5" s="11" t="s">
        <v>31</v>
      </c>
      <c r="B5" s="11"/>
      <c r="C5" s="11"/>
      <c r="D5" s="11"/>
      <c r="E5" s="11"/>
      <c r="F5" s="11"/>
      <c r="G5" s="11"/>
      <c r="H5" s="11"/>
      <c r="I5" s="11"/>
      <c r="J5" s="11"/>
    </row>
    <row r="6" spans="1:10">
      <c r="A6" s="11"/>
      <c r="B6" s="11"/>
      <c r="C6" s="11"/>
      <c r="D6" s="11"/>
      <c r="E6" s="11"/>
      <c r="F6" s="11"/>
      <c r="G6" s="11"/>
      <c r="H6" s="11"/>
      <c r="I6" s="11"/>
      <c r="J6" s="11"/>
    </row>
    <row r="7" spans="1:10">
      <c r="A7" s="11"/>
      <c r="B7" s="11"/>
      <c r="C7" s="11"/>
      <c r="D7" s="11"/>
      <c r="E7" s="11"/>
      <c r="F7" s="11"/>
      <c r="G7" s="11"/>
      <c r="H7" s="11"/>
      <c r="I7" s="11"/>
      <c r="J7" s="11"/>
    </row>
    <row r="8" spans="1:10">
      <c r="A8" s="11"/>
      <c r="B8" s="11"/>
      <c r="C8" s="11"/>
      <c r="D8" s="11"/>
      <c r="E8" s="11"/>
      <c r="F8" s="11"/>
      <c r="G8" s="11"/>
      <c r="H8" s="11"/>
      <c r="I8" s="11"/>
      <c r="J8" s="11"/>
    </row>
    <row r="9" spans="1:10">
      <c r="A9" s="11"/>
      <c r="B9" s="11"/>
      <c r="C9" s="11"/>
      <c r="D9" s="11"/>
      <c r="E9" s="11"/>
      <c r="F9" s="11"/>
      <c r="G9" s="11"/>
      <c r="H9" s="11"/>
      <c r="I9" s="11"/>
      <c r="J9" s="11"/>
    </row>
    <row r="10" spans="1:10">
      <c r="A10" s="11"/>
      <c r="B10" s="11"/>
      <c r="C10" s="11"/>
      <c r="D10" s="11"/>
      <c r="E10" s="11"/>
      <c r="F10" s="11"/>
      <c r="G10" s="11"/>
      <c r="H10" s="11"/>
      <c r="I10" s="11"/>
      <c r="J10" s="11"/>
    </row>
    <row r="11" spans="1:10">
      <c r="A11" s="11"/>
      <c r="B11" s="11"/>
      <c r="C11" s="11"/>
      <c r="D11" s="11"/>
      <c r="E11" s="11"/>
      <c r="F11" s="11"/>
      <c r="G11" s="11"/>
      <c r="H11" s="11"/>
      <c r="I11" s="11"/>
      <c r="J11" s="11"/>
    </row>
    <row r="12" spans="1:10">
      <c r="A12" s="11"/>
      <c r="B12" s="11"/>
      <c r="C12" s="11"/>
      <c r="D12" s="11"/>
      <c r="E12" s="11"/>
      <c r="F12" s="11"/>
      <c r="G12" s="11"/>
      <c r="H12" s="11"/>
      <c r="I12" s="11"/>
      <c r="J12" s="11"/>
    </row>
    <row r="13" spans="1:10">
      <c r="A13" s="8"/>
      <c r="B13" s="8"/>
      <c r="C13" s="8"/>
      <c r="D13" s="8"/>
      <c r="E13" s="8"/>
      <c r="F13" s="8"/>
      <c r="G13" s="8"/>
      <c r="H13" s="8"/>
      <c r="I13" s="8"/>
      <c r="J13" s="8"/>
    </row>
    <row r="14" spans="1:10">
      <c r="A14" s="8"/>
      <c r="B14" s="8"/>
      <c r="C14" s="8"/>
      <c r="D14" s="8"/>
      <c r="E14" s="8"/>
      <c r="F14" s="8"/>
      <c r="G14" s="8"/>
      <c r="H14" s="8"/>
      <c r="I14" s="8"/>
      <c r="J14" s="8"/>
    </row>
    <row r="15" spans="1:10">
      <c r="A15" s="8"/>
      <c r="B15" s="8"/>
      <c r="C15" s="8"/>
      <c r="D15" s="8"/>
      <c r="E15" s="8"/>
      <c r="F15" s="8"/>
      <c r="G15" s="8"/>
      <c r="H15" s="8"/>
      <c r="I15" s="8"/>
      <c r="J15" s="8"/>
    </row>
    <row r="16" spans="1:10">
      <c r="A16" s="8"/>
      <c r="B16" s="8"/>
      <c r="C16" s="8"/>
      <c r="D16" s="8"/>
      <c r="E16" s="8"/>
      <c r="F16" s="8"/>
      <c r="G16" s="8"/>
      <c r="H16" s="8"/>
      <c r="I16" s="8"/>
      <c r="J16" s="8"/>
    </row>
    <row r="17" spans="1:10">
      <c r="A17" s="8"/>
      <c r="B17" s="8"/>
      <c r="C17" s="8"/>
      <c r="D17" s="8"/>
      <c r="E17" s="8"/>
      <c r="F17" s="8"/>
      <c r="G17" s="8"/>
      <c r="H17" s="8"/>
      <c r="I17" s="8"/>
      <c r="J17" s="8"/>
    </row>
    <row r="18" spans="1:10">
      <c r="A18" s="8"/>
      <c r="B18" s="8"/>
      <c r="C18" s="8"/>
      <c r="D18" s="8"/>
      <c r="E18" s="8"/>
      <c r="F18" s="8"/>
      <c r="G18" s="8"/>
      <c r="H18" s="8"/>
      <c r="I18" s="8"/>
      <c r="J18" s="8"/>
    </row>
    <row r="19" spans="1:10">
      <c r="A19" s="8"/>
      <c r="B19" s="8"/>
      <c r="C19" s="8"/>
      <c r="D19" s="8"/>
      <c r="E19" s="8"/>
      <c r="F19" s="8"/>
      <c r="G19" s="8"/>
      <c r="H19" s="8"/>
      <c r="I19" s="8"/>
      <c r="J19" s="8"/>
    </row>
    <row r="20" spans="1:10">
      <c r="A20" s="8"/>
      <c r="B20" s="8"/>
      <c r="C20" s="8"/>
      <c r="D20" s="8"/>
      <c r="E20" s="8"/>
      <c r="F20" s="8"/>
      <c r="G20" s="8"/>
      <c r="H20" s="8"/>
      <c r="I20" s="8"/>
      <c r="J20" s="8"/>
    </row>
  </sheetData>
  <mergeCells count="2">
    <mergeCell ref="A1:J3"/>
    <mergeCell ref="A5:J1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29"/>
  <sheetViews>
    <sheetView zoomScale="85" zoomScaleNormal="85" workbookViewId="0">
      <selection activeCell="A4" sqref="A4"/>
    </sheetView>
  </sheetViews>
  <sheetFormatPr baseColWidth="10" defaultColWidth="9.140625" defaultRowHeight="15"/>
  <cols>
    <col min="6" max="6" width="16.140625" bestFit="1" customWidth="1"/>
    <col min="10" max="10" width="10" bestFit="1" customWidth="1"/>
    <col min="11" max="11" width="10.5703125" customWidth="1"/>
    <col min="12" max="13" width="10.42578125" bestFit="1" customWidth="1"/>
    <col min="14" max="14" width="10.7109375" bestFit="1" customWidth="1"/>
  </cols>
  <sheetData>
    <row r="1" spans="1:14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</row>
    <row r="2" spans="1:14">
      <c r="A2" s="10"/>
      <c r="B2" s="10"/>
      <c r="C2" s="10"/>
      <c r="D2" s="10"/>
      <c r="E2" s="10"/>
      <c r="F2" s="10"/>
      <c r="G2" s="10"/>
      <c r="H2" s="10"/>
      <c r="I2" s="10"/>
      <c r="J2" s="10"/>
    </row>
    <row r="3" spans="1:14">
      <c r="A3" s="10"/>
      <c r="B3" s="10"/>
      <c r="C3" s="10"/>
      <c r="D3" s="10"/>
      <c r="E3" s="10"/>
      <c r="F3" s="10"/>
      <c r="G3" s="10"/>
      <c r="H3" s="10"/>
      <c r="I3" s="10"/>
      <c r="J3" s="10"/>
    </row>
    <row r="5" spans="1:14">
      <c r="A5" s="1" t="s">
        <v>7</v>
      </c>
    </row>
    <row r="7" spans="1:14">
      <c r="A7" t="s">
        <v>9</v>
      </c>
      <c r="B7">
        <v>0.2</v>
      </c>
    </row>
    <row r="8" spans="1:14">
      <c r="A8" s="2" t="s">
        <v>10</v>
      </c>
      <c r="B8">
        <f>SQRT(1-(B7)^2)</f>
        <v>0.9797958971132712</v>
      </c>
    </row>
    <row r="9" spans="1:14">
      <c r="A9" s="2" t="s">
        <v>11</v>
      </c>
      <c r="B9">
        <v>0.97440099999999996</v>
      </c>
    </row>
    <row r="11" spans="1:14">
      <c r="A11" s="17" t="s">
        <v>1</v>
      </c>
      <c r="B11" s="14" t="s">
        <v>8</v>
      </c>
      <c r="C11" s="16" t="s">
        <v>29</v>
      </c>
      <c r="D11" s="16"/>
      <c r="E11" s="16"/>
      <c r="F11" s="16"/>
      <c r="G11" s="16" t="s">
        <v>5</v>
      </c>
      <c r="H11" s="16"/>
      <c r="I11" s="16"/>
      <c r="J11" s="16"/>
      <c r="K11" s="12" t="s">
        <v>6</v>
      </c>
      <c r="L11" s="13"/>
      <c r="M11" s="13"/>
      <c r="N11" s="13"/>
    </row>
    <row r="12" spans="1:14">
      <c r="A12" s="18"/>
      <c r="B12" s="15"/>
      <c r="C12" s="5" t="s">
        <v>2</v>
      </c>
      <c r="D12" s="5" t="s">
        <v>13</v>
      </c>
      <c r="E12" s="5" t="s">
        <v>3</v>
      </c>
      <c r="F12" s="5" t="s">
        <v>4</v>
      </c>
      <c r="G12" s="5" t="s">
        <v>2</v>
      </c>
      <c r="H12" s="5" t="s">
        <v>13</v>
      </c>
      <c r="I12" s="5" t="s">
        <v>3</v>
      </c>
      <c r="J12" s="5" t="s">
        <v>4</v>
      </c>
      <c r="K12" s="5" t="s">
        <v>2</v>
      </c>
      <c r="L12" s="5" t="s">
        <v>13</v>
      </c>
      <c r="M12" s="5" t="s">
        <v>3</v>
      </c>
      <c r="N12" s="5" t="s">
        <v>4</v>
      </c>
    </row>
    <row r="13" spans="1:14">
      <c r="A13">
        <v>5</v>
      </c>
      <c r="B13">
        <v>10</v>
      </c>
      <c r="C13" s="6">
        <v>0.85919999999999996</v>
      </c>
      <c r="D13" s="6">
        <v>3.3140000000000003E-2</v>
      </c>
      <c r="E13" s="6">
        <v>0.66483999999999999</v>
      </c>
      <c r="F13" s="6">
        <f>(1-C13)/(C13*A13)</f>
        <v>3.2774674115456252E-2</v>
      </c>
      <c r="G13" s="6">
        <f>1/(1+J13*A13)</f>
        <v>0.95419847328244267</v>
      </c>
      <c r="H13" s="6">
        <f>(I13^2)/(PI()*A13*G13)</f>
        <v>3.6522171375664436E-2</v>
      </c>
      <c r="I13" s="6">
        <f>((PI()/180)*(2*PI()*A13)/(2+SQRT((((A13^2)*($B$8^2)/($B$9^2))*1+4))))*B13</f>
        <v>0.73987370391372176</v>
      </c>
      <c r="J13" s="6">
        <v>9.5999999999999992E-3</v>
      </c>
      <c r="K13" s="6">
        <f>((C13-G13)/G13)*100</f>
        <v>-9.9558399999999967</v>
      </c>
      <c r="L13" s="6">
        <f t="shared" ref="L13:N13" si="0">((D13-H13)/H13)*100</f>
        <v>-9.260597736305602</v>
      </c>
      <c r="M13" s="6">
        <f t="shared" si="0"/>
        <v>-10.141420558240521</v>
      </c>
      <c r="N13" s="6">
        <f t="shared" si="0"/>
        <v>241.40285536933601</v>
      </c>
    </row>
    <row r="14" spans="1:14">
      <c r="A14">
        <v>7</v>
      </c>
      <c r="B14">
        <v>10</v>
      </c>
      <c r="C14" s="6">
        <v>0.82931999999999995</v>
      </c>
      <c r="D14" s="6">
        <v>3.0179999999999998E-2</v>
      </c>
      <c r="E14" s="6">
        <v>0.74195999999999995</v>
      </c>
      <c r="F14" s="6">
        <f t="shared" ref="F14:F29" si="1">(1-C14)/(C14*A14)</f>
        <v>2.9401023902543233E-2</v>
      </c>
      <c r="G14" s="6">
        <f t="shared" ref="G14:G29" si="2">1/(1+J14*A14)</f>
        <v>0.93703148425787108</v>
      </c>
      <c r="H14" s="6">
        <f t="shared" ref="H14:H29" si="3">(I14^2)/(PI()*A14*G14)</f>
        <v>3.2939770891274443E-2</v>
      </c>
      <c r="I14" s="6">
        <f t="shared" ref="I14:I29" si="4">((PI()/180)*(2*PI()*A14)/(2+SQRT((((A14^2)*($B$8^2)/($B$9^2))*1+4))))*B14</f>
        <v>0.82387501991818757</v>
      </c>
      <c r="J14" s="6">
        <v>9.5999999999999992E-3</v>
      </c>
      <c r="K14" s="6">
        <f t="shared" ref="K14:K29" si="5">((C14-G14)/G14)*100</f>
        <v>-11.494969600000008</v>
      </c>
      <c r="L14" s="6">
        <f t="shared" ref="L14:L29" si="6">((D14-H14)/H14)*100</f>
        <v>-8.3782334138987355</v>
      </c>
      <c r="M14" s="6">
        <f t="shared" ref="M14:M29" si="7">((E14-I14)/I14)*100</f>
        <v>-9.9426512441561758</v>
      </c>
      <c r="N14" s="6">
        <f t="shared" ref="N14:N29" si="8">((F14-J14)/J14)*100</f>
        <v>206.26066565149205</v>
      </c>
    </row>
    <row r="15" spans="1:14">
      <c r="A15">
        <v>9</v>
      </c>
      <c r="B15">
        <v>10</v>
      </c>
      <c r="C15" s="6">
        <v>0.81213000000000002</v>
      </c>
      <c r="D15" s="6">
        <v>2.7390000000000001E-2</v>
      </c>
      <c r="E15" s="6">
        <v>0.79307000000000005</v>
      </c>
      <c r="F15" s="6">
        <f t="shared" si="1"/>
        <v>2.5703328832138259E-2</v>
      </c>
      <c r="G15" s="6">
        <f t="shared" si="2"/>
        <v>0.92047128129602351</v>
      </c>
      <c r="H15" s="6">
        <f t="shared" si="3"/>
        <v>2.9477337064476656E-2</v>
      </c>
      <c r="I15" s="6">
        <f t="shared" si="4"/>
        <v>0.87588166716991089</v>
      </c>
      <c r="J15" s="6">
        <v>9.5999999999999992E-3</v>
      </c>
      <c r="K15" s="6">
        <f t="shared" si="5"/>
        <v>-11.770196799999994</v>
      </c>
      <c r="L15" s="6">
        <f t="shared" si="6"/>
        <v>-7.0811588574332891</v>
      </c>
      <c r="M15" s="6">
        <f t="shared" si="7"/>
        <v>-9.4546638289035378</v>
      </c>
      <c r="N15" s="6">
        <f t="shared" si="8"/>
        <v>167.74300866810691</v>
      </c>
    </row>
    <row r="16" spans="1:14">
      <c r="A16">
        <v>10</v>
      </c>
      <c r="B16">
        <v>10</v>
      </c>
      <c r="C16" s="6">
        <v>0.80916999999999994</v>
      </c>
      <c r="D16" s="6">
        <v>2.631E-2</v>
      </c>
      <c r="E16" s="6">
        <v>0.81774999999999998</v>
      </c>
      <c r="F16" s="6">
        <f t="shared" si="1"/>
        <v>2.358342499104021E-2</v>
      </c>
      <c r="G16" s="6">
        <f t="shared" si="2"/>
        <v>0.91240875912408748</v>
      </c>
      <c r="H16" s="6">
        <f t="shared" si="3"/>
        <v>2.7947139623199672E-2</v>
      </c>
      <c r="I16" s="6">
        <f t="shared" si="4"/>
        <v>0.89503154395892615</v>
      </c>
      <c r="J16" s="6">
        <v>9.5999999999999992E-3</v>
      </c>
      <c r="K16" s="6">
        <f t="shared" si="5"/>
        <v>-11.314967999999995</v>
      </c>
      <c r="L16" s="6">
        <f t="shared" si="6"/>
        <v>-5.8579863459108283</v>
      </c>
      <c r="M16" s="6">
        <f t="shared" si="7"/>
        <v>-8.6345050608040577</v>
      </c>
      <c r="N16" s="6">
        <f t="shared" si="8"/>
        <v>145.6606769900022</v>
      </c>
    </row>
    <row r="17" spans="1:14">
      <c r="A17">
        <v>11</v>
      </c>
      <c r="B17">
        <v>10</v>
      </c>
      <c r="C17" s="6">
        <v>0.80347000000000002</v>
      </c>
      <c r="D17" s="6">
        <v>2.4930000000000001E-2</v>
      </c>
      <c r="E17" s="6">
        <v>0.83201000000000003</v>
      </c>
      <c r="F17" s="6">
        <f t="shared" si="1"/>
        <v>2.2236503710609774E-2</v>
      </c>
      <c r="G17" s="6">
        <f t="shared" si="2"/>
        <v>0.90448625180897257</v>
      </c>
      <c r="H17" s="6">
        <f t="shared" si="3"/>
        <v>2.6555954277588466E-2</v>
      </c>
      <c r="I17" s="6">
        <f t="shared" si="4"/>
        <v>0.91107309164142403</v>
      </c>
      <c r="J17" s="6">
        <v>9.5999999999999992E-3</v>
      </c>
      <c r="K17" s="6">
        <f t="shared" si="5"/>
        <v>-11.168356800000005</v>
      </c>
      <c r="L17" s="6">
        <f t="shared" si="6"/>
        <v>-6.1227484450094378</v>
      </c>
      <c r="M17" s="6">
        <f t="shared" si="7"/>
        <v>-8.6780185219805936</v>
      </c>
      <c r="N17" s="6">
        <f t="shared" si="8"/>
        <v>131.63024698551851</v>
      </c>
    </row>
    <row r="18" spans="1:14" s="3" customFormat="1">
      <c r="A18">
        <v>13</v>
      </c>
      <c r="B18">
        <v>10</v>
      </c>
      <c r="C18" s="6">
        <v>0.79242000000000001</v>
      </c>
      <c r="D18" s="6">
        <v>2.308E-2</v>
      </c>
      <c r="E18" s="6">
        <v>0.86416999999999999</v>
      </c>
      <c r="F18" s="6">
        <f t="shared" si="1"/>
        <v>2.0150541767865911E-2</v>
      </c>
      <c r="G18" s="6">
        <f t="shared" si="2"/>
        <v>0.88904694167852061</v>
      </c>
      <c r="H18" s="6">
        <f t="shared" si="3"/>
        <v>2.4150190625440614E-2</v>
      </c>
      <c r="I18" s="6">
        <f t="shared" si="4"/>
        <v>0.93641689395347671</v>
      </c>
      <c r="J18" s="6">
        <v>9.5999999999999992E-3</v>
      </c>
      <c r="K18" s="6">
        <f t="shared" si="5"/>
        <v>-10.868598399999998</v>
      </c>
      <c r="L18" s="6">
        <f t="shared" si="6"/>
        <v>-4.431396182493236</v>
      </c>
      <c r="M18" s="6">
        <f t="shared" si="7"/>
        <v>-7.7152488832678099</v>
      </c>
      <c r="N18" s="6">
        <f t="shared" si="8"/>
        <v>109.90147674860324</v>
      </c>
    </row>
    <row r="19" spans="1:14">
      <c r="A19">
        <v>15</v>
      </c>
      <c r="B19">
        <v>10</v>
      </c>
      <c r="C19" s="6">
        <v>0.78454999999999997</v>
      </c>
      <c r="D19" s="6">
        <v>2.1229999999999999E-2</v>
      </c>
      <c r="E19" s="6">
        <v>0.88595999999999997</v>
      </c>
      <c r="F19" s="6">
        <f t="shared" si="1"/>
        <v>1.8307734794893039E-2</v>
      </c>
      <c r="G19" s="6">
        <f t="shared" si="2"/>
        <v>0.87412587412587417</v>
      </c>
      <c r="H19" s="6">
        <f t="shared" si="3"/>
        <v>2.2164822352359639E-2</v>
      </c>
      <c r="I19" s="6">
        <f t="shared" si="4"/>
        <v>0.95551977857623804</v>
      </c>
      <c r="J19" s="6">
        <v>9.5999999999999992E-3</v>
      </c>
      <c r="K19" s="6">
        <f t="shared" si="5"/>
        <v>-10.247480000000007</v>
      </c>
      <c r="L19" s="6">
        <f t="shared" si="6"/>
        <v>-4.2175946077912956</v>
      </c>
      <c r="M19" s="6">
        <f t="shared" si="7"/>
        <v>-7.2797842740508072</v>
      </c>
      <c r="N19" s="6">
        <f t="shared" si="8"/>
        <v>90.705570780135844</v>
      </c>
    </row>
    <row r="20" spans="1:14">
      <c r="A20">
        <v>17</v>
      </c>
      <c r="B20">
        <v>10</v>
      </c>
      <c r="C20" s="6">
        <v>0.77602000000000004</v>
      </c>
      <c r="D20" s="6">
        <v>1.975E-2</v>
      </c>
      <c r="E20" s="6">
        <v>0.90480000000000005</v>
      </c>
      <c r="F20" s="6">
        <f t="shared" si="1"/>
        <v>1.6978034222889946E-2</v>
      </c>
      <c r="G20" s="6">
        <f t="shared" si="2"/>
        <v>0.85969738651994498</v>
      </c>
      <c r="H20" s="6">
        <f t="shared" si="3"/>
        <v>2.0510697786922129E-2</v>
      </c>
      <c r="I20" s="6">
        <f t="shared" si="4"/>
        <v>0.97042598723636575</v>
      </c>
      <c r="J20" s="6">
        <v>9.5999999999999992E-3</v>
      </c>
      <c r="K20" s="6">
        <f t="shared" si="5"/>
        <v>-9.7333535999999956</v>
      </c>
      <c r="L20" s="6">
        <f t="shared" si="6"/>
        <v>-3.7087855070789426</v>
      </c>
      <c r="M20" s="6">
        <f t="shared" si="7"/>
        <v>-6.7625958186939243</v>
      </c>
      <c r="N20" s="6">
        <f t="shared" si="8"/>
        <v>76.854523155103621</v>
      </c>
    </row>
    <row r="21" spans="1:14">
      <c r="A21">
        <v>19</v>
      </c>
      <c r="B21">
        <v>10</v>
      </c>
      <c r="C21" s="6">
        <v>0.75956000000000001</v>
      </c>
      <c r="D21" s="6">
        <v>1.865E-2</v>
      </c>
      <c r="E21" s="6">
        <v>0.91923999999999995</v>
      </c>
      <c r="F21" s="6">
        <f t="shared" si="1"/>
        <v>1.6660615148382303E-2</v>
      </c>
      <c r="G21" s="6">
        <f t="shared" si="2"/>
        <v>0.84573748308525043</v>
      </c>
      <c r="H21" s="6">
        <f t="shared" si="3"/>
        <v>1.9116918963289573E-2</v>
      </c>
      <c r="I21" s="6">
        <f t="shared" si="4"/>
        <v>0.98237765583701842</v>
      </c>
      <c r="J21" s="6">
        <v>9.5999999999999992E-3</v>
      </c>
      <c r="K21" s="6">
        <f t="shared" si="5"/>
        <v>-10.189625600000008</v>
      </c>
      <c r="L21" s="6">
        <f t="shared" si="6"/>
        <v>-2.4424383666960292</v>
      </c>
      <c r="M21" s="6">
        <f t="shared" si="7"/>
        <v>-6.4270248271499106</v>
      </c>
      <c r="N21" s="6">
        <f t="shared" si="8"/>
        <v>73.548074462315668</v>
      </c>
    </row>
    <row r="22" spans="1:14" s="3" customFormat="1">
      <c r="A22">
        <v>21</v>
      </c>
      <c r="B22">
        <v>10</v>
      </c>
      <c r="C22" s="6">
        <v>0.74860000000000004</v>
      </c>
      <c r="D22" s="6">
        <v>1.7479999999999999E-2</v>
      </c>
      <c r="E22" s="6">
        <v>0.92920000000000003</v>
      </c>
      <c r="F22" s="6">
        <f t="shared" si="1"/>
        <v>1.5991756039845803E-2</v>
      </c>
      <c r="G22" s="6">
        <f t="shared" si="2"/>
        <v>0.83222370173102533</v>
      </c>
      <c r="H22" s="6">
        <f t="shared" si="3"/>
        <v>1.7929354867822989E-2</v>
      </c>
      <c r="I22" s="6">
        <f t="shared" si="4"/>
        <v>0.99217197429887982</v>
      </c>
      <c r="J22" s="6">
        <v>9.5999999999999992E-3</v>
      </c>
      <c r="K22" s="6">
        <f t="shared" si="5"/>
        <v>-10.048223999999999</v>
      </c>
      <c r="L22" s="6">
        <f t="shared" si="6"/>
        <v>-2.5062522948297863</v>
      </c>
      <c r="M22" s="6">
        <f t="shared" si="7"/>
        <v>-6.3468809773002368</v>
      </c>
      <c r="N22" s="6">
        <f t="shared" si="8"/>
        <v>66.580792081727125</v>
      </c>
    </row>
    <row r="23" spans="1:14">
      <c r="A23">
        <v>23</v>
      </c>
      <c r="B23">
        <v>10</v>
      </c>
      <c r="C23" s="6">
        <v>0.74226999999999999</v>
      </c>
      <c r="D23" s="6">
        <v>1.6469999999999999E-2</v>
      </c>
      <c r="E23" s="6">
        <v>0.93976999999999999</v>
      </c>
      <c r="F23" s="6">
        <f t="shared" si="1"/>
        <v>1.5096463785297864E-2</v>
      </c>
      <c r="G23" s="6">
        <f t="shared" si="2"/>
        <v>0.81913499344692009</v>
      </c>
      <c r="H23" s="6">
        <f t="shared" si="3"/>
        <v>1.6906947406352971E-2</v>
      </c>
      <c r="I23" s="6">
        <f t="shared" si="4"/>
        <v>1.0003435929328888</v>
      </c>
      <c r="J23" s="6">
        <v>9.5999999999999992E-3</v>
      </c>
      <c r="K23" s="6">
        <f t="shared" si="5"/>
        <v>-9.3836784000000062</v>
      </c>
      <c r="L23" s="6">
        <f t="shared" si="6"/>
        <v>-2.5844251824476863</v>
      </c>
      <c r="M23" s="6">
        <f t="shared" si="7"/>
        <v>-6.0552787423063501</v>
      </c>
      <c r="N23" s="6">
        <f t="shared" si="8"/>
        <v>57.254831096852769</v>
      </c>
    </row>
    <row r="24" spans="1:14" s="3" customFormat="1">
      <c r="A24">
        <v>25</v>
      </c>
      <c r="B24">
        <v>10</v>
      </c>
      <c r="C24" s="6">
        <v>0.74931000000000003</v>
      </c>
      <c r="D24" s="6">
        <v>1.542E-2</v>
      </c>
      <c r="E24" s="6">
        <v>0.95265999999999995</v>
      </c>
      <c r="F24" s="6">
        <f t="shared" si="1"/>
        <v>1.3382445182901602E-2</v>
      </c>
      <c r="G24" s="6">
        <f t="shared" si="2"/>
        <v>0.80645161290322587</v>
      </c>
      <c r="H24" s="6">
        <f t="shared" si="3"/>
        <v>1.6018382825141435E-2</v>
      </c>
      <c r="I24" s="6">
        <f t="shared" si="4"/>
        <v>1.0072642784944339</v>
      </c>
      <c r="J24" s="6">
        <v>9.5999999999999992E-3</v>
      </c>
      <c r="K24" s="6">
        <f t="shared" si="5"/>
        <v>-7.0855600000000036</v>
      </c>
      <c r="L24" s="6">
        <f t="shared" si="6"/>
        <v>-3.7356007261997268</v>
      </c>
      <c r="M24" s="6">
        <f t="shared" si="7"/>
        <v>-5.421047848142833</v>
      </c>
      <c r="N24" s="6">
        <f t="shared" si="8"/>
        <v>39.400470655225028</v>
      </c>
    </row>
    <row r="25" spans="1:14">
      <c r="A25">
        <v>30</v>
      </c>
      <c r="B25">
        <v>10</v>
      </c>
      <c r="C25" s="6">
        <v>0.72257000000000005</v>
      </c>
      <c r="D25" s="6">
        <v>1.379E-2</v>
      </c>
      <c r="E25" s="6">
        <v>0.96921999999999997</v>
      </c>
      <c r="F25" s="6">
        <f t="shared" si="1"/>
        <v>1.2798298665411883E-2</v>
      </c>
      <c r="G25" s="6">
        <f t="shared" si="2"/>
        <v>0.77639751552795033</v>
      </c>
      <c r="H25" s="6">
        <f t="shared" si="3"/>
        <v>1.4236998173817472E-2</v>
      </c>
      <c r="I25" s="6">
        <f t="shared" si="4"/>
        <v>1.0206735179523823</v>
      </c>
      <c r="J25" s="6">
        <v>9.5999999999999992E-3</v>
      </c>
      <c r="K25" s="6">
        <f t="shared" si="5"/>
        <v>-6.9329839999999958</v>
      </c>
      <c r="L25" s="6">
        <f t="shared" si="6"/>
        <v>-3.1396939745312507</v>
      </c>
      <c r="M25" s="6">
        <f t="shared" si="7"/>
        <v>-5.0411338246146959</v>
      </c>
      <c r="N25" s="6">
        <f t="shared" si="8"/>
        <v>33.315611098040456</v>
      </c>
    </row>
    <row r="26" spans="1:14">
      <c r="A26">
        <v>35</v>
      </c>
      <c r="B26">
        <v>10</v>
      </c>
      <c r="C26" s="6">
        <v>0.70111999999999997</v>
      </c>
      <c r="D26" s="6">
        <v>1.2489999999999999E-2</v>
      </c>
      <c r="E26" s="6">
        <v>0.98134999999999994</v>
      </c>
      <c r="F26" s="6">
        <f t="shared" si="1"/>
        <v>1.2179696159614008E-2</v>
      </c>
      <c r="G26" s="6">
        <f t="shared" si="2"/>
        <v>0.74850299401197617</v>
      </c>
      <c r="H26" s="6">
        <f t="shared" si="3"/>
        <v>1.2899515127213577E-2</v>
      </c>
      <c r="I26" s="6">
        <f t="shared" si="4"/>
        <v>1.0303681426521714</v>
      </c>
      <c r="J26" s="6">
        <v>9.5999999999999992E-3</v>
      </c>
      <c r="K26" s="6">
        <f t="shared" si="5"/>
        <v>-6.3303680000000213</v>
      </c>
      <c r="L26" s="6">
        <f t="shared" si="6"/>
        <v>-3.1746551957572438</v>
      </c>
      <c r="M26" s="6">
        <f t="shared" si="7"/>
        <v>-4.7573426063036592</v>
      </c>
      <c r="N26" s="6">
        <f t="shared" si="8"/>
        <v>26.87183499597926</v>
      </c>
    </row>
    <row r="27" spans="1:14">
      <c r="A27">
        <v>40</v>
      </c>
      <c r="B27">
        <v>10</v>
      </c>
      <c r="C27" s="6">
        <v>0.69538</v>
      </c>
      <c r="D27" s="6">
        <v>1.1270000000000001E-2</v>
      </c>
      <c r="E27" s="6">
        <v>0.99224999999999997</v>
      </c>
      <c r="F27" s="6">
        <f t="shared" si="1"/>
        <v>1.0951566050217148E-2</v>
      </c>
      <c r="G27" s="6">
        <f t="shared" si="2"/>
        <v>0.7225433526011561</v>
      </c>
      <c r="H27" s="6">
        <f t="shared" si="3"/>
        <v>1.185966348215995E-2</v>
      </c>
      <c r="I27" s="6">
        <f t="shared" si="4"/>
        <v>1.037702994551793</v>
      </c>
      <c r="J27" s="6">
        <v>9.5999999999999992E-3</v>
      </c>
      <c r="K27" s="6">
        <f t="shared" si="5"/>
        <v>-3.7594080000000036</v>
      </c>
      <c r="L27" s="6">
        <f t="shared" si="6"/>
        <v>-4.9720085485305603</v>
      </c>
      <c r="M27" s="6">
        <f t="shared" si="7"/>
        <v>-4.3801545134236832</v>
      </c>
      <c r="N27" s="6">
        <f t="shared" si="8"/>
        <v>14.078813023095297</v>
      </c>
    </row>
    <row r="28" spans="1:14">
      <c r="A28">
        <v>45</v>
      </c>
      <c r="B28">
        <v>10</v>
      </c>
      <c r="C28" s="6">
        <v>0.66849000000000003</v>
      </c>
      <c r="D28" s="6">
        <v>1.057E-2</v>
      </c>
      <c r="E28" s="6">
        <v>0.99960000000000004</v>
      </c>
      <c r="F28" s="6">
        <f t="shared" si="1"/>
        <v>1.1020193105190635E-2</v>
      </c>
      <c r="G28" s="6">
        <f t="shared" si="2"/>
        <v>0.6983240223463687</v>
      </c>
      <c r="H28" s="6">
        <f t="shared" si="3"/>
        <v>1.1028600539622707E-2</v>
      </c>
      <c r="I28" s="6">
        <f t="shared" si="4"/>
        <v>1.0434457814636973</v>
      </c>
      <c r="J28" s="6">
        <v>9.5999999999999992E-3</v>
      </c>
      <c r="K28" s="6">
        <f t="shared" si="5"/>
        <v>-4.2722319999999936</v>
      </c>
      <c r="L28" s="6">
        <f t="shared" si="6"/>
        <v>-4.1582840721729184</v>
      </c>
      <c r="M28" s="6">
        <f t="shared" si="7"/>
        <v>-4.2020181826977527</v>
      </c>
      <c r="N28" s="6">
        <f t="shared" si="8"/>
        <v>14.793678179069126</v>
      </c>
    </row>
    <row r="29" spans="1:14">
      <c r="A29" s="5">
        <v>50</v>
      </c>
      <c r="B29" s="5">
        <v>10</v>
      </c>
      <c r="C29" s="7">
        <v>0.67532000000000003</v>
      </c>
      <c r="D29" s="7">
        <v>9.5700000000000004E-3</v>
      </c>
      <c r="E29" s="7">
        <v>1.00762</v>
      </c>
      <c r="F29" s="7">
        <f t="shared" si="1"/>
        <v>9.6155896463898591E-3</v>
      </c>
      <c r="G29" s="7">
        <f t="shared" si="2"/>
        <v>0.67567567567567566</v>
      </c>
      <c r="H29" s="7">
        <f t="shared" si="3"/>
        <v>1.0349452364521417E-2</v>
      </c>
      <c r="I29" s="7">
        <f t="shared" si="4"/>
        <v>1.0480639086703467</v>
      </c>
      <c r="J29" s="7">
        <v>9.5999999999999992E-3</v>
      </c>
      <c r="K29" s="7">
        <f t="shared" si="5"/>
        <v>-5.2639999999992693E-2</v>
      </c>
      <c r="L29" s="7">
        <f t="shared" si="6"/>
        <v>-7.5313392155263097</v>
      </c>
      <c r="M29" s="7">
        <f t="shared" si="7"/>
        <v>-3.8589162679647044</v>
      </c>
      <c r="N29" s="7">
        <f t="shared" si="8"/>
        <v>0.1623921498943742</v>
      </c>
    </row>
  </sheetData>
  <mergeCells count="6">
    <mergeCell ref="K11:N11"/>
    <mergeCell ref="B11:B12"/>
    <mergeCell ref="C11:F11"/>
    <mergeCell ref="A1:J3"/>
    <mergeCell ref="A11:A12"/>
    <mergeCell ref="G11:J1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N29"/>
  <sheetViews>
    <sheetView zoomScale="70" zoomScaleNormal="70" workbookViewId="0">
      <selection activeCell="A4" sqref="A4"/>
    </sheetView>
  </sheetViews>
  <sheetFormatPr baseColWidth="10" defaultColWidth="9.140625" defaultRowHeight="15"/>
  <cols>
    <col min="6" max="6" width="16.140625" bestFit="1" customWidth="1"/>
    <col min="10" max="10" width="10.140625" customWidth="1"/>
    <col min="11" max="13" width="9" bestFit="1" customWidth="1"/>
    <col min="14" max="14" width="16.28515625" bestFit="1" customWidth="1"/>
    <col min="16" max="16" width="16.140625" bestFit="1" customWidth="1"/>
  </cols>
  <sheetData>
    <row r="1" spans="1:14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</row>
    <row r="2" spans="1:14">
      <c r="A2" s="10"/>
      <c r="B2" s="10"/>
      <c r="C2" s="10"/>
      <c r="D2" s="10"/>
      <c r="E2" s="10"/>
      <c r="F2" s="10"/>
      <c r="G2" s="10"/>
      <c r="H2" s="10"/>
      <c r="I2" s="10"/>
      <c r="J2" s="10"/>
    </row>
    <row r="3" spans="1:14">
      <c r="A3" s="10"/>
      <c r="B3" s="10"/>
      <c r="C3" s="10"/>
      <c r="D3" s="10"/>
      <c r="E3" s="10"/>
      <c r="F3" s="10"/>
      <c r="G3" s="10"/>
      <c r="H3" s="10"/>
      <c r="I3" s="10"/>
      <c r="J3" s="10"/>
    </row>
    <row r="5" spans="1:14">
      <c r="A5" s="1" t="s">
        <v>12</v>
      </c>
    </row>
    <row r="7" spans="1:14">
      <c r="A7" t="s">
        <v>9</v>
      </c>
      <c r="B7">
        <v>0.2</v>
      </c>
    </row>
    <row r="8" spans="1:14">
      <c r="A8" s="2" t="s">
        <v>10</v>
      </c>
      <c r="B8">
        <f>SQRT(1-(B7)^2)</f>
        <v>0.9797958971132712</v>
      </c>
    </row>
    <row r="9" spans="1:14">
      <c r="A9" s="2" t="s">
        <v>11</v>
      </c>
      <c r="B9">
        <v>0.97440099999999996</v>
      </c>
    </row>
    <row r="11" spans="1:14">
      <c r="A11" s="17" t="s">
        <v>1</v>
      </c>
      <c r="B11" s="14" t="s">
        <v>8</v>
      </c>
      <c r="C11" s="16" t="s">
        <v>29</v>
      </c>
      <c r="D11" s="16"/>
      <c r="E11" s="16"/>
      <c r="F11" s="16"/>
      <c r="G11" s="16" t="s">
        <v>5</v>
      </c>
      <c r="H11" s="16"/>
      <c r="I11" s="16"/>
      <c r="J11" s="16"/>
      <c r="K11" s="12" t="s">
        <v>6</v>
      </c>
      <c r="L11" s="13"/>
      <c r="M11" s="13"/>
      <c r="N11" s="13"/>
    </row>
    <row r="12" spans="1:14">
      <c r="A12" s="18"/>
      <c r="B12" s="15"/>
      <c r="C12" s="5" t="s">
        <v>2</v>
      </c>
      <c r="D12" s="5" t="s">
        <v>13</v>
      </c>
      <c r="E12" s="5" t="s">
        <v>3</v>
      </c>
      <c r="F12" s="5" t="s">
        <v>4</v>
      </c>
      <c r="G12" s="5" t="s">
        <v>2</v>
      </c>
      <c r="H12" s="5" t="s">
        <v>13</v>
      </c>
      <c r="I12" s="5" t="s">
        <v>3</v>
      </c>
      <c r="J12" s="5" t="s">
        <v>4</v>
      </c>
      <c r="K12" s="5" t="s">
        <v>2</v>
      </c>
      <c r="L12" s="5" t="s">
        <v>13</v>
      </c>
      <c r="M12" s="5" t="s">
        <v>3</v>
      </c>
      <c r="N12" s="5" t="s">
        <v>4</v>
      </c>
    </row>
    <row r="13" spans="1:14">
      <c r="A13">
        <v>5</v>
      </c>
      <c r="B13">
        <v>10</v>
      </c>
      <c r="C13" s="6">
        <v>0.82650000000000001</v>
      </c>
      <c r="D13" s="6">
        <v>3.5040000000000002E-2</v>
      </c>
      <c r="E13" s="6">
        <v>0.67449000000000003</v>
      </c>
      <c r="F13" s="6">
        <f>(1-C13)/(C13*A13)</f>
        <v>4.1984271022383536E-2</v>
      </c>
      <c r="G13" s="6">
        <f>1/(1+J13*A13)</f>
        <v>0.99075624424122932</v>
      </c>
      <c r="H13" s="6">
        <f>(I13^2)/(PI()*A13*G13)</f>
        <v>3.5174545071182617E-2</v>
      </c>
      <c r="I13" s="6">
        <f>((PI()/180)*(2*PI()*A13)/(2+SQRT((((A13^2)*($B$8^2)/($B$9^2))*1+4))))*B13</f>
        <v>0.73987370391372176</v>
      </c>
      <c r="J13" s="6">
        <v>1.866E-3</v>
      </c>
      <c r="K13" s="6">
        <f>((C13-G13)/G13)*100</f>
        <v>-16.578875499999999</v>
      </c>
      <c r="L13" s="6">
        <f t="shared" ref="L13:M28" si="0">((D13-H13)/H13)*100</f>
        <v>-0.38250692627391975</v>
      </c>
      <c r="M13" s="6">
        <f t="shared" si="0"/>
        <v>-8.8371439027850975</v>
      </c>
      <c r="N13" s="6">
        <f>((F13-J13)/J13)*100</f>
        <v>2149.9609336754306</v>
      </c>
    </row>
    <row r="14" spans="1:14">
      <c r="A14">
        <v>7</v>
      </c>
      <c r="B14">
        <v>10</v>
      </c>
      <c r="C14" s="6">
        <v>0.83609999999999995</v>
      </c>
      <c r="D14" s="6">
        <v>3.2030000000000003E-2</v>
      </c>
      <c r="E14" s="6">
        <v>0.76739999999999997</v>
      </c>
      <c r="F14" s="6">
        <f t="shared" ref="F14:F29" si="1">(1-C14)/(C14*A14)</f>
        <v>2.8004169016009713E-2</v>
      </c>
      <c r="G14" s="6">
        <f t="shared" ref="G14:G29" si="2">1/(1+J14*A14)</f>
        <v>0.98710641599428273</v>
      </c>
      <c r="H14" s="6">
        <f t="shared" ref="H14:H29" si="3">(I14^2)/(PI()*A14*G14)</f>
        <v>3.1268768908036239E-2</v>
      </c>
      <c r="I14" s="6">
        <f t="shared" ref="I14:I29" si="4">((PI()/180)*(2*PI()*A14)/(2+SQRT((((A14^2)*($B$8^2)/($B$9^2))*1+4))))*B14</f>
        <v>0.82387501991818757</v>
      </c>
      <c r="J14" s="6">
        <v>1.866E-3</v>
      </c>
      <c r="K14" s="6">
        <f t="shared" ref="K14:M29" si="5">((C14-G14)/G14)*100</f>
        <v>-15.29788618000001</v>
      </c>
      <c r="L14" s="6">
        <f t="shared" si="0"/>
        <v>2.4344773348851727</v>
      </c>
      <c r="M14" s="6">
        <f t="shared" si="0"/>
        <v>-6.854804254630233</v>
      </c>
      <c r="N14" s="6">
        <f t="shared" ref="N14:N29" si="6">((F14-J14)/J14)*100</f>
        <v>1400.759325616812</v>
      </c>
    </row>
    <row r="15" spans="1:14">
      <c r="A15">
        <v>9</v>
      </c>
      <c r="B15">
        <v>10</v>
      </c>
      <c r="C15" s="6">
        <v>0.84092</v>
      </c>
      <c r="D15" s="6">
        <v>2.8580000000000001E-2</v>
      </c>
      <c r="E15" s="6">
        <v>0.82430999999999999</v>
      </c>
      <c r="F15" s="6">
        <f t="shared" si="1"/>
        <v>2.1019306896679298E-2</v>
      </c>
      <c r="G15" s="6">
        <f t="shared" si="2"/>
        <v>0.98348338011435943</v>
      </c>
      <c r="H15" s="6">
        <f t="shared" si="3"/>
        <v>2.7588714527924777E-2</v>
      </c>
      <c r="I15" s="6">
        <f t="shared" si="4"/>
        <v>0.87588166716991089</v>
      </c>
      <c r="J15" s="6">
        <v>1.866E-3</v>
      </c>
      <c r="K15" s="6">
        <f t="shared" si="5"/>
        <v>-14.495758951999999</v>
      </c>
      <c r="L15" s="6">
        <f t="shared" si="0"/>
        <v>3.59308321912521</v>
      </c>
      <c r="M15" s="6">
        <f t="shared" si="0"/>
        <v>-5.8879719833097726</v>
      </c>
      <c r="N15" s="6">
        <f t="shared" si="6"/>
        <v>1026.43659682097</v>
      </c>
    </row>
    <row r="16" spans="1:14">
      <c r="A16">
        <v>10</v>
      </c>
      <c r="B16">
        <v>10</v>
      </c>
      <c r="C16" s="6">
        <v>0.84336</v>
      </c>
      <c r="D16" s="6">
        <v>2.6939999999999999E-2</v>
      </c>
      <c r="E16" s="6">
        <v>0.8448</v>
      </c>
      <c r="F16" s="6">
        <f t="shared" si="1"/>
        <v>1.8573325744640486E-2</v>
      </c>
      <c r="G16" s="6">
        <f t="shared" si="2"/>
        <v>0.98168181728938031</v>
      </c>
      <c r="H16" s="6">
        <f t="shared" si="3"/>
        <v>2.5975030336285194E-2</v>
      </c>
      <c r="I16" s="6">
        <f t="shared" si="4"/>
        <v>0.89503154395892615</v>
      </c>
      <c r="J16" s="6">
        <v>1.866E-3</v>
      </c>
      <c r="K16" s="6">
        <f t="shared" si="5"/>
        <v>-14.090290240000014</v>
      </c>
      <c r="L16" s="6">
        <f t="shared" si="0"/>
        <v>3.7149895542828828</v>
      </c>
      <c r="M16" s="6">
        <f t="shared" si="0"/>
        <v>-5.6122652098651988</v>
      </c>
      <c r="N16" s="6">
        <f t="shared" si="6"/>
        <v>895.35507741910442</v>
      </c>
    </row>
    <row r="17" spans="1:14">
      <c r="A17">
        <v>11</v>
      </c>
      <c r="B17">
        <v>10</v>
      </c>
      <c r="C17" s="6">
        <v>0.84177999999999997</v>
      </c>
      <c r="D17" s="6">
        <v>2.5649999999999999E-2</v>
      </c>
      <c r="E17" s="6">
        <v>0.86385000000000001</v>
      </c>
      <c r="F17" s="6">
        <f t="shared" si="1"/>
        <v>1.7087168100497003E-2</v>
      </c>
      <c r="G17" s="6">
        <f t="shared" si="2"/>
        <v>0.97988684266740878</v>
      </c>
      <c r="H17" s="6">
        <f t="shared" si="3"/>
        <v>2.4512519713359486E-2</v>
      </c>
      <c r="I17" s="6">
        <f t="shared" si="4"/>
        <v>0.91107309164142403</v>
      </c>
      <c r="J17" s="6">
        <v>1.866E-3</v>
      </c>
      <c r="K17" s="6">
        <f t="shared" si="5"/>
        <v>-14.094162372000005</v>
      </c>
      <c r="L17" s="6">
        <f t="shared" si="0"/>
        <v>4.6404053925985371</v>
      </c>
      <c r="M17" s="6">
        <f t="shared" si="0"/>
        <v>-5.1832385430619068</v>
      </c>
      <c r="N17" s="6">
        <f t="shared" si="6"/>
        <v>815.71104504271193</v>
      </c>
    </row>
    <row r="18" spans="1:14">
      <c r="A18">
        <v>13</v>
      </c>
      <c r="B18">
        <v>10</v>
      </c>
      <c r="C18" s="6">
        <v>0.84206000000000003</v>
      </c>
      <c r="D18" s="6">
        <v>2.3199999999999998E-2</v>
      </c>
      <c r="E18" s="6">
        <v>0.89332</v>
      </c>
      <c r="F18" s="6">
        <f t="shared" si="1"/>
        <v>1.4427987042765083E-2</v>
      </c>
      <c r="G18" s="6">
        <f t="shared" si="2"/>
        <v>0.97631651400330766</v>
      </c>
      <c r="H18" s="6">
        <f t="shared" si="3"/>
        <v>2.1991488219801344E-2</v>
      </c>
      <c r="I18" s="6">
        <f t="shared" si="4"/>
        <v>0.93641689395347671</v>
      </c>
      <c r="J18" s="6">
        <v>1.866E-3</v>
      </c>
      <c r="K18" s="6">
        <f t="shared" si="5"/>
        <v>-13.751330851999988</v>
      </c>
      <c r="L18" s="6">
        <f t="shared" si="0"/>
        <v>5.4953615149633173</v>
      </c>
      <c r="M18" s="6">
        <f t="shared" si="0"/>
        <v>-4.6023191413735711</v>
      </c>
      <c r="N18" s="6">
        <f t="shared" si="6"/>
        <v>673.20402158440959</v>
      </c>
    </row>
    <row r="19" spans="1:14">
      <c r="A19">
        <v>15</v>
      </c>
      <c r="B19">
        <v>10</v>
      </c>
      <c r="C19" s="6">
        <v>0.84143999999999997</v>
      </c>
      <c r="D19" s="6">
        <v>2.1149999999999999E-2</v>
      </c>
      <c r="E19" s="6">
        <v>0.91586000000000001</v>
      </c>
      <c r="F19" s="6">
        <f t="shared" si="1"/>
        <v>1.2562591113646451E-2</v>
      </c>
      <c r="G19" s="6">
        <f t="shared" si="2"/>
        <v>0.97277210867810004</v>
      </c>
      <c r="H19" s="6">
        <f t="shared" si="3"/>
        <v>1.9917146617134777E-2</v>
      </c>
      <c r="I19" s="6">
        <f t="shared" si="4"/>
        <v>0.95551977857623804</v>
      </c>
      <c r="J19" s="6">
        <v>1.866E-3</v>
      </c>
      <c r="K19" s="6">
        <f t="shared" si="5"/>
        <v>-13.500809440000008</v>
      </c>
      <c r="L19" s="6">
        <f t="shared" si="0"/>
        <v>6.1899096620827905</v>
      </c>
      <c r="M19" s="6">
        <f t="shared" si="0"/>
        <v>-4.1505973466433801</v>
      </c>
      <c r="N19" s="6">
        <f t="shared" si="6"/>
        <v>573.23639408609074</v>
      </c>
    </row>
    <row r="20" spans="1:14">
      <c r="A20">
        <v>17</v>
      </c>
      <c r="B20">
        <v>10</v>
      </c>
      <c r="C20" s="6">
        <v>0.84074000000000004</v>
      </c>
      <c r="D20" s="6">
        <v>1.949E-2</v>
      </c>
      <c r="E20" s="6">
        <v>0.93552999999999997</v>
      </c>
      <c r="F20" s="6">
        <f t="shared" si="1"/>
        <v>1.1142844748813717E-2</v>
      </c>
      <c r="G20" s="6">
        <f t="shared" si="2"/>
        <v>0.96925334537792152</v>
      </c>
      <c r="H20" s="6">
        <f t="shared" si="3"/>
        <v>1.8192347096044423E-2</v>
      </c>
      <c r="I20" s="6">
        <f t="shared" si="4"/>
        <v>0.97042598723636575</v>
      </c>
      <c r="J20" s="6">
        <v>1.866E-3</v>
      </c>
      <c r="K20" s="6">
        <f t="shared" si="5"/>
        <v>-13.259004571999991</v>
      </c>
      <c r="L20" s="6">
        <f t="shared" si="0"/>
        <v>7.1329603437355633</v>
      </c>
      <c r="M20" s="6">
        <f t="shared" si="0"/>
        <v>-3.5959452544902009</v>
      </c>
      <c r="N20" s="6">
        <f t="shared" si="6"/>
        <v>497.15137989355401</v>
      </c>
    </row>
    <row r="21" spans="1:14">
      <c r="A21">
        <v>19</v>
      </c>
      <c r="B21">
        <v>10</v>
      </c>
      <c r="C21" s="6">
        <v>0.84084000000000003</v>
      </c>
      <c r="D21" s="6">
        <v>1.804E-2</v>
      </c>
      <c r="E21" s="6">
        <v>0.95152000000000003</v>
      </c>
      <c r="F21" s="6">
        <f t="shared" si="1"/>
        <v>9.9624686090851473E-3</v>
      </c>
      <c r="G21" s="6">
        <f t="shared" si="2"/>
        <v>0.96575994684457245</v>
      </c>
      <c r="H21" s="6">
        <f t="shared" si="3"/>
        <v>1.6741111475147195E-2</v>
      </c>
      <c r="I21" s="6">
        <f t="shared" si="4"/>
        <v>0.98237765583701842</v>
      </c>
      <c r="J21" s="6">
        <v>1.866E-3</v>
      </c>
      <c r="K21" s="6">
        <f t="shared" si="5"/>
        <v>-12.934885863999989</v>
      </c>
      <c r="L21" s="6">
        <f t="shared" si="0"/>
        <v>7.7586755621396675</v>
      </c>
      <c r="M21" s="6">
        <f t="shared" si="0"/>
        <v>-3.1411194720961602</v>
      </c>
      <c r="N21" s="6">
        <f t="shared" si="6"/>
        <v>433.89435204100471</v>
      </c>
    </row>
    <row r="22" spans="1:14">
      <c r="A22">
        <v>21</v>
      </c>
      <c r="B22">
        <v>10</v>
      </c>
      <c r="C22" s="6">
        <v>0.83677999999999997</v>
      </c>
      <c r="D22" s="6">
        <v>1.677E-2</v>
      </c>
      <c r="E22" s="6">
        <v>0.96216000000000002</v>
      </c>
      <c r="F22" s="6">
        <f t="shared" si="1"/>
        <v>9.2884401543786351E-3</v>
      </c>
      <c r="G22" s="6">
        <f t="shared" si="2"/>
        <v>0.96229163980269172</v>
      </c>
      <c r="H22" s="6">
        <f t="shared" si="3"/>
        <v>1.5505937556319491E-2</v>
      </c>
      <c r="I22" s="6">
        <f t="shared" si="4"/>
        <v>0.99217197429887982</v>
      </c>
      <c r="J22" s="6">
        <v>1.866E-3</v>
      </c>
      <c r="K22" s="6">
        <f t="shared" si="5"/>
        <v>-13.042993892000004</v>
      </c>
      <c r="L22" s="6">
        <f t="shared" si="0"/>
        <v>8.1521187550851213</v>
      </c>
      <c r="M22" s="6">
        <f t="shared" si="0"/>
        <v>-3.0248762388282358</v>
      </c>
      <c r="N22" s="6">
        <f t="shared" si="6"/>
        <v>397.77278426466427</v>
      </c>
    </row>
    <row r="23" spans="1:14">
      <c r="A23">
        <v>23</v>
      </c>
      <c r="B23">
        <v>10</v>
      </c>
      <c r="C23" s="6">
        <v>0.83560999999999996</v>
      </c>
      <c r="D23" s="6">
        <v>1.5610000000000001E-2</v>
      </c>
      <c r="E23" s="6">
        <v>0.97080999999999995</v>
      </c>
      <c r="F23" s="6">
        <f t="shared" si="1"/>
        <v>8.5535013993942484E-3</v>
      </c>
      <c r="G23" s="6">
        <f t="shared" si="2"/>
        <v>0.95884815488849551</v>
      </c>
      <c r="H23" s="6">
        <f t="shared" si="3"/>
        <v>1.444344673586077E-2</v>
      </c>
      <c r="I23" s="6">
        <f t="shared" si="4"/>
        <v>1.0003435929328888</v>
      </c>
      <c r="J23" s="6">
        <v>1.866E-3</v>
      </c>
      <c r="K23" s="6">
        <f t="shared" si="5"/>
        <v>-12.852729001999998</v>
      </c>
      <c r="L23" s="6">
        <f t="shared" si="0"/>
        <v>8.0766958571105114</v>
      </c>
      <c r="M23" s="6">
        <f t="shared" si="0"/>
        <v>-2.9523448884497605</v>
      </c>
      <c r="N23" s="6">
        <f t="shared" si="6"/>
        <v>358.38699889572609</v>
      </c>
    </row>
    <row r="24" spans="1:14">
      <c r="A24">
        <v>25</v>
      </c>
      <c r="B24">
        <v>10</v>
      </c>
      <c r="C24" s="6">
        <v>0.83230000000000004</v>
      </c>
      <c r="D24" s="6">
        <v>1.47E-2</v>
      </c>
      <c r="E24" s="6">
        <v>0.98011999999999999</v>
      </c>
      <c r="F24" s="6">
        <f t="shared" si="1"/>
        <v>8.0595938964315734E-3</v>
      </c>
      <c r="G24" s="6">
        <f t="shared" si="2"/>
        <v>0.95542922658004104</v>
      </c>
      <c r="H24" s="6">
        <f t="shared" si="3"/>
        <v>1.3520677728979264E-2</v>
      </c>
      <c r="I24" s="6">
        <f t="shared" si="4"/>
        <v>1.0072642784944339</v>
      </c>
      <c r="J24" s="6">
        <v>1.866E-3</v>
      </c>
      <c r="K24" s="6">
        <f t="shared" si="5"/>
        <v>-12.887320499999991</v>
      </c>
      <c r="L24" s="6">
        <f t="shared" si="0"/>
        <v>8.7223606291055908</v>
      </c>
      <c r="M24" s="6">
        <f t="shared" si="0"/>
        <v>-2.6948516962208449</v>
      </c>
      <c r="N24" s="6">
        <f t="shared" si="6"/>
        <v>331.91821524284961</v>
      </c>
    </row>
    <row r="25" spans="1:14">
      <c r="A25">
        <v>30</v>
      </c>
      <c r="B25">
        <v>10</v>
      </c>
      <c r="C25" s="6">
        <v>0.82987999999999995</v>
      </c>
      <c r="D25" s="6">
        <v>1.261E-2</v>
      </c>
      <c r="E25" s="6">
        <v>0.99302999999999997</v>
      </c>
      <c r="F25" s="6">
        <f t="shared" si="1"/>
        <v>6.8331164345045887E-3</v>
      </c>
      <c r="G25" s="6">
        <f t="shared" si="2"/>
        <v>0.94698763234152172</v>
      </c>
      <c r="H25" s="6">
        <f t="shared" si="3"/>
        <v>1.1672348859928395E-2</v>
      </c>
      <c r="I25" s="6">
        <f t="shared" si="4"/>
        <v>1.0206735179523823</v>
      </c>
      <c r="J25" s="6">
        <v>1.866E-3</v>
      </c>
      <c r="K25" s="6">
        <f t="shared" si="5"/>
        <v>-12.366331760000014</v>
      </c>
      <c r="L25" s="6">
        <f t="shared" si="0"/>
        <v>8.0330972910739131</v>
      </c>
      <c r="M25" s="6">
        <f t="shared" si="0"/>
        <v>-2.708360456714813</v>
      </c>
      <c r="N25" s="6">
        <f t="shared" si="6"/>
        <v>266.19059134536917</v>
      </c>
    </row>
    <row r="26" spans="1:14">
      <c r="A26">
        <v>35</v>
      </c>
      <c r="B26">
        <v>10</v>
      </c>
      <c r="C26" s="6">
        <v>0.82555000000000001</v>
      </c>
      <c r="D26" s="6">
        <v>1.1089999999999999E-2</v>
      </c>
      <c r="E26" s="6">
        <v>1.0033000000000001</v>
      </c>
      <c r="F26" s="6">
        <f t="shared" si="1"/>
        <v>6.0375334192789218E-3</v>
      </c>
      <c r="G26" s="6">
        <f t="shared" si="2"/>
        <v>0.93869390130572328</v>
      </c>
      <c r="H26" s="6">
        <f t="shared" si="3"/>
        <v>1.0285915015098724E-2</v>
      </c>
      <c r="I26" s="6">
        <f t="shared" si="4"/>
        <v>1.0303681426521714</v>
      </c>
      <c r="J26" s="6">
        <v>1.866E-3</v>
      </c>
      <c r="K26" s="6">
        <f t="shared" si="5"/>
        <v>-12.053332950000005</v>
      </c>
      <c r="L26" s="6">
        <f t="shared" si="0"/>
        <v>7.8173403505760701</v>
      </c>
      <c r="M26" s="6">
        <f t="shared" si="0"/>
        <v>-2.6270360594124913</v>
      </c>
      <c r="N26" s="6">
        <f t="shared" si="6"/>
        <v>223.55484562052101</v>
      </c>
    </row>
    <row r="27" spans="1:14">
      <c r="A27">
        <v>40</v>
      </c>
      <c r="B27">
        <v>10</v>
      </c>
      <c r="C27" s="6">
        <v>0.82428000000000001</v>
      </c>
      <c r="D27" s="6">
        <v>9.8399999999999998E-3</v>
      </c>
      <c r="E27" s="6">
        <v>1.0094799999999999</v>
      </c>
      <c r="F27" s="6">
        <f t="shared" si="1"/>
        <v>5.3294996845732025E-3</v>
      </c>
      <c r="G27" s="6">
        <f t="shared" si="2"/>
        <v>0.93054418223777258</v>
      </c>
      <c r="H27" s="6">
        <f t="shared" si="3"/>
        <v>9.2087202055407304E-3</v>
      </c>
      <c r="I27" s="6">
        <f t="shared" si="4"/>
        <v>1.037702994551793</v>
      </c>
      <c r="J27" s="6">
        <v>1.866E-3</v>
      </c>
      <c r="K27" s="6">
        <f t="shared" si="5"/>
        <v>-11.419574079999991</v>
      </c>
      <c r="L27" s="6">
        <f t="shared" si="0"/>
        <v>6.8552391686245304</v>
      </c>
      <c r="M27" s="6">
        <f t="shared" si="0"/>
        <v>-2.719756491016319</v>
      </c>
      <c r="N27" s="6">
        <f t="shared" si="6"/>
        <v>185.61091557198296</v>
      </c>
    </row>
    <row r="28" spans="1:14">
      <c r="A28">
        <v>45</v>
      </c>
      <c r="B28">
        <v>10</v>
      </c>
      <c r="C28" s="6">
        <v>0.82069000000000003</v>
      </c>
      <c r="D28" s="6">
        <v>8.9200000000000008E-3</v>
      </c>
      <c r="E28" s="6">
        <v>1.01702</v>
      </c>
      <c r="F28" s="6">
        <f t="shared" si="1"/>
        <v>4.8552640664156575E-3</v>
      </c>
      <c r="G28" s="6">
        <f t="shared" si="2"/>
        <v>0.92253475649695094</v>
      </c>
      <c r="H28" s="6">
        <f t="shared" si="3"/>
        <v>8.3482347255131473E-3</v>
      </c>
      <c r="I28" s="6">
        <f t="shared" si="4"/>
        <v>1.0434457814636973</v>
      </c>
      <c r="J28" s="6">
        <v>1.866E-3</v>
      </c>
      <c r="K28" s="6">
        <f t="shared" si="5"/>
        <v>-11.039666069999988</v>
      </c>
      <c r="L28" s="6">
        <f t="shared" si="0"/>
        <v>6.8489362516302315</v>
      </c>
      <c r="M28" s="6">
        <f t="shared" si="0"/>
        <v>-2.532549551988065</v>
      </c>
      <c r="N28" s="6">
        <f t="shared" si="6"/>
        <v>160.19635940062474</v>
      </c>
    </row>
    <row r="29" spans="1:14">
      <c r="A29" s="5">
        <v>50</v>
      </c>
      <c r="B29" s="5">
        <v>10</v>
      </c>
      <c r="C29" s="7">
        <v>0.81837000000000004</v>
      </c>
      <c r="D29" s="7">
        <v>8.1300000000000001E-3</v>
      </c>
      <c r="E29" s="7">
        <v>1.0222</v>
      </c>
      <c r="F29" s="7">
        <f t="shared" si="1"/>
        <v>4.4388235150359849E-3</v>
      </c>
      <c r="G29" s="7">
        <f t="shared" si="2"/>
        <v>0.91466203237903598</v>
      </c>
      <c r="H29" s="7">
        <f t="shared" si="3"/>
        <v>7.6453082906292316E-3</v>
      </c>
      <c r="I29" s="7">
        <f t="shared" si="4"/>
        <v>1.0480639086703467</v>
      </c>
      <c r="J29" s="7">
        <v>1.866E-3</v>
      </c>
      <c r="K29" s="7">
        <f t="shared" si="5"/>
        <v>-10.5276079</v>
      </c>
      <c r="L29" s="7">
        <f t="shared" si="5"/>
        <v>6.3397274635066019</v>
      </c>
      <c r="M29" s="7">
        <f t="shared" si="5"/>
        <v>-2.4677797275892868</v>
      </c>
      <c r="N29" s="7">
        <f t="shared" si="6"/>
        <v>137.87907368895952</v>
      </c>
    </row>
  </sheetData>
  <mergeCells count="6">
    <mergeCell ref="K11:N11"/>
    <mergeCell ref="A1:J3"/>
    <mergeCell ref="A11:A12"/>
    <mergeCell ref="B11:B12"/>
    <mergeCell ref="C11:F11"/>
    <mergeCell ref="G11:J11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N25"/>
  <sheetViews>
    <sheetView zoomScale="80" zoomScaleNormal="80" workbookViewId="0">
      <selection activeCell="A4" sqref="A4"/>
    </sheetView>
  </sheetViews>
  <sheetFormatPr baseColWidth="10" defaultColWidth="9.140625" defaultRowHeight="15"/>
  <cols>
    <col min="3" max="4" width="9" bestFit="1" customWidth="1"/>
    <col min="5" max="5" width="13.28515625" customWidth="1"/>
    <col min="6" max="6" width="16.28515625" bestFit="1" customWidth="1"/>
    <col min="7" max="13" width="9" bestFit="1" customWidth="1"/>
    <col min="14" max="14" width="10" bestFit="1" customWidth="1"/>
  </cols>
  <sheetData>
    <row r="1" spans="1:14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</row>
    <row r="2" spans="1:14">
      <c r="A2" s="10"/>
      <c r="B2" s="10"/>
      <c r="C2" s="10"/>
      <c r="D2" s="10"/>
      <c r="E2" s="10"/>
      <c r="F2" s="10"/>
      <c r="G2" s="10"/>
      <c r="H2" s="10"/>
      <c r="I2" s="10"/>
      <c r="J2" s="10"/>
    </row>
    <row r="3" spans="1:14">
      <c r="A3" s="10"/>
      <c r="B3" s="10"/>
      <c r="C3" s="10"/>
      <c r="D3" s="10"/>
      <c r="E3" s="10"/>
      <c r="F3" s="10"/>
      <c r="G3" s="10"/>
      <c r="H3" s="10"/>
      <c r="I3" s="10"/>
      <c r="J3" s="10"/>
    </row>
    <row r="5" spans="1:14">
      <c r="A5" s="1" t="s">
        <v>14</v>
      </c>
    </row>
    <row r="7" spans="1:14">
      <c r="A7" t="s">
        <v>9</v>
      </c>
      <c r="B7">
        <v>0.2</v>
      </c>
      <c r="D7" t="s">
        <v>18</v>
      </c>
    </row>
    <row r="8" spans="1:14">
      <c r="A8" s="2" t="s">
        <v>10</v>
      </c>
      <c r="B8">
        <f>SQRT(1-(B7)^2)</f>
        <v>0.9797958971132712</v>
      </c>
    </row>
    <row r="9" spans="1:14">
      <c r="A9" s="2" t="s">
        <v>11</v>
      </c>
      <c r="B9">
        <v>0.97440099999999996</v>
      </c>
    </row>
    <row r="11" spans="1:14">
      <c r="A11" s="17" t="s">
        <v>17</v>
      </c>
      <c r="B11" s="14" t="s">
        <v>8</v>
      </c>
      <c r="C11" s="16" t="s">
        <v>29</v>
      </c>
      <c r="D11" s="16"/>
      <c r="E11" s="16"/>
      <c r="F11" s="16"/>
      <c r="G11" s="16" t="s">
        <v>5</v>
      </c>
      <c r="H11" s="16"/>
      <c r="I11" s="16"/>
      <c r="J11" s="16"/>
      <c r="K11" s="12" t="s">
        <v>6</v>
      </c>
      <c r="L11" s="13"/>
      <c r="M11" s="13"/>
      <c r="N11" s="13"/>
    </row>
    <row r="12" spans="1:14">
      <c r="A12" s="18"/>
      <c r="B12" s="15"/>
      <c r="C12" s="5" t="s">
        <v>2</v>
      </c>
      <c r="D12" s="5" t="s">
        <v>13</v>
      </c>
      <c r="E12" s="5" t="s">
        <v>3</v>
      </c>
      <c r="F12" s="5" t="s">
        <v>4</v>
      </c>
      <c r="G12" s="5" t="s">
        <v>2</v>
      </c>
      <c r="H12" s="5" t="s">
        <v>13</v>
      </c>
      <c r="I12" s="5" t="s">
        <v>3</v>
      </c>
      <c r="J12" s="5" t="s">
        <v>4</v>
      </c>
      <c r="K12" s="5" t="s">
        <v>2</v>
      </c>
      <c r="L12" s="5" t="s">
        <v>13</v>
      </c>
      <c r="M12" s="5" t="s">
        <v>3</v>
      </c>
      <c r="N12" s="5" t="s">
        <v>4</v>
      </c>
    </row>
    <row r="13" spans="1:14" s="3" customFormat="1">
      <c r="A13">
        <v>0.05</v>
      </c>
      <c r="B13">
        <v>10</v>
      </c>
      <c r="C13" s="6">
        <v>0.81355999999999995</v>
      </c>
      <c r="D13" s="6">
        <v>3.499E-2</v>
      </c>
      <c r="E13" s="6">
        <v>0.66871999999999998</v>
      </c>
      <c r="F13" s="6">
        <f t="shared" ref="F13:F23" si="0">(1-C13)/(C13*5)</f>
        <v>4.5833128472392952E-2</v>
      </c>
      <c r="G13" s="6">
        <f t="shared" ref="G13" si="1">1/(1+J13*5)</f>
        <v>0.95800890112415271</v>
      </c>
      <c r="H13" s="6">
        <f t="shared" ref="H13" si="2">(I13^2)/(PI()*5*G13)</f>
        <v>3.6376906442858244E-2</v>
      </c>
      <c r="I13" s="6">
        <f t="shared" ref="I13" si="3">((PI()/180)*(2*PI()*5)/(2+SQRT((((5^2)*($B$8^2)/($B$9^2))*1+4))))*B13</f>
        <v>0.73987370391372176</v>
      </c>
      <c r="J13" s="6">
        <f t="shared" ref="J13" si="4">0.0524*(A13^4)-0.15*(A13^3)+0.1659*(A13^2)-0.0706*(A13)+0.0119</f>
        <v>8.7663275000000006E-3</v>
      </c>
      <c r="K13" s="6">
        <f t="shared" ref="K13:K23" si="5">((C13-G13)/G13)*100</f>
        <v>-15.078033299549997</v>
      </c>
      <c r="L13" s="6">
        <f t="shared" ref="L13:N23" si="6">((D13-H13)/H13)*100</f>
        <v>-3.8126013959895984</v>
      </c>
      <c r="M13" s="6">
        <f t="shared" si="6"/>
        <v>-9.6170067320055974</v>
      </c>
      <c r="N13" s="6">
        <f t="shared" si="6"/>
        <v>422.83157881556389</v>
      </c>
    </row>
    <row r="14" spans="1:14" s="3" customFormat="1">
      <c r="A14">
        <v>0.1</v>
      </c>
      <c r="B14">
        <v>10</v>
      </c>
      <c r="C14" s="6">
        <v>0.82635000000000003</v>
      </c>
      <c r="D14" s="6">
        <v>3.5540000000000002E-2</v>
      </c>
      <c r="E14" s="6">
        <v>0.67922000000000005</v>
      </c>
      <c r="F14" s="6">
        <f t="shared" si="0"/>
        <v>4.2028196284867175E-2</v>
      </c>
      <c r="G14" s="6">
        <f t="shared" ref="G14:G23" si="7">1/(1+J14*5)</f>
        <v>0.96920712654123309</v>
      </c>
      <c r="H14" s="6">
        <f t="shared" ref="H14:H23" si="8">(I14^2)/(PI()*5*G14)</f>
        <v>3.5956607430224184E-2</v>
      </c>
      <c r="I14" s="6">
        <f t="shared" ref="I14:I23" si="9">((PI()/180)*(2*PI()*5)/(2+SQRT((((5^2)*($B$8^2)/($B$9^2))*1+4))))*B14</f>
        <v>0.73987370391372176</v>
      </c>
      <c r="J14" s="6">
        <f t="shared" ref="J14:J23" si="10">0.0524*(A14^4)-0.15*(A14^3)+0.1659*(A14^2)-0.0706*(A14)+0.0119</f>
        <v>6.3542400000000006E-3</v>
      </c>
      <c r="K14" s="6">
        <f t="shared" si="5"/>
        <v>-14.739586887999989</v>
      </c>
      <c r="L14" s="6">
        <f t="shared" si="6"/>
        <v>-1.1586394267941773</v>
      </c>
      <c r="M14" s="6">
        <f t="shared" si="6"/>
        <v>-8.1978456043079859</v>
      </c>
      <c r="N14" s="6">
        <f t="shared" si="6"/>
        <v>561.41971793427979</v>
      </c>
    </row>
    <row r="15" spans="1:14" s="3" customFormat="1">
      <c r="A15">
        <v>0.15</v>
      </c>
      <c r="B15">
        <v>10</v>
      </c>
      <c r="C15" s="6">
        <v>0.83516000000000001</v>
      </c>
      <c r="D15" s="6">
        <v>3.5249999999999997E-2</v>
      </c>
      <c r="E15" s="6">
        <v>0.67998000000000003</v>
      </c>
      <c r="F15" s="6">
        <f t="shared" si="0"/>
        <v>3.9475070645145841E-2</v>
      </c>
      <c r="G15" s="6">
        <f t="shared" si="7"/>
        <v>0.97769378193231904</v>
      </c>
      <c r="H15" s="6">
        <f t="shared" si="8"/>
        <v>3.564449402423548E-2</v>
      </c>
      <c r="I15" s="6">
        <f t="shared" si="9"/>
        <v>0.73987370391372176</v>
      </c>
      <c r="J15" s="6">
        <f t="shared" si="10"/>
        <v>4.5630275000000022E-3</v>
      </c>
      <c r="K15" s="6">
        <f t="shared" si="5"/>
        <v>-14.57857097654999</v>
      </c>
      <c r="L15" s="6">
        <f t="shared" si="6"/>
        <v>-1.1067460347936449</v>
      </c>
      <c r="M15" s="6">
        <f t="shared" si="6"/>
        <v>-8.095125370303208</v>
      </c>
      <c r="N15" s="6">
        <f t="shared" si="6"/>
        <v>765.10700724783749</v>
      </c>
    </row>
    <row r="16" spans="1:14" s="3" customFormat="1">
      <c r="A16">
        <v>0.2</v>
      </c>
      <c r="B16">
        <v>10</v>
      </c>
      <c r="C16" s="6">
        <v>0.83950000000000002</v>
      </c>
      <c r="D16" s="6">
        <v>3.5249999999999997E-2</v>
      </c>
      <c r="E16" s="6">
        <v>0.68174999999999997</v>
      </c>
      <c r="F16" s="6">
        <f t="shared" si="0"/>
        <v>3.8237045860631327E-2</v>
      </c>
      <c r="G16" s="6">
        <f t="shared" si="7"/>
        <v>0.98376860503185848</v>
      </c>
      <c r="H16" s="6">
        <f t="shared" si="8"/>
        <v>3.5424387390864308E-2</v>
      </c>
      <c r="I16" s="6">
        <f t="shared" si="9"/>
        <v>0.73987370391372176</v>
      </c>
      <c r="J16" s="6">
        <f t="shared" si="10"/>
        <v>3.2998400000000018E-3</v>
      </c>
      <c r="K16" s="6">
        <f t="shared" si="5"/>
        <v>-14.664892160000006</v>
      </c>
      <c r="L16" s="6">
        <f t="shared" si="6"/>
        <v>-0.49228061148993774</v>
      </c>
      <c r="M16" s="6">
        <f t="shared" si="6"/>
        <v>-7.8558953516341914</v>
      </c>
      <c r="N16" s="6">
        <f t="shared" si="6"/>
        <v>1058.7545414514434</v>
      </c>
    </row>
    <row r="17" spans="1:14" s="3" customFormat="1">
      <c r="A17">
        <v>0.3</v>
      </c>
      <c r="B17">
        <v>10</v>
      </c>
      <c r="C17" s="6">
        <v>0.84038000000000002</v>
      </c>
      <c r="D17" s="6">
        <v>3.4599999999999999E-2</v>
      </c>
      <c r="E17" s="6">
        <v>0.67584</v>
      </c>
      <c r="F17" s="6">
        <f t="shared" si="0"/>
        <v>3.7987577048478063E-2</v>
      </c>
      <c r="G17" s="6">
        <f t="shared" si="7"/>
        <v>0.9899743319455212</v>
      </c>
      <c r="H17" s="6">
        <f t="shared" si="8"/>
        <v>3.5202327012996248E-2</v>
      </c>
      <c r="I17" s="6">
        <f t="shared" si="9"/>
        <v>0.73987370391372176</v>
      </c>
      <c r="J17" s="6">
        <f t="shared" si="10"/>
        <v>2.0254400000000016E-3</v>
      </c>
      <c r="K17" s="6">
        <f t="shared" si="5"/>
        <v>-15.110930366399987</v>
      </c>
      <c r="L17" s="6">
        <f t="shared" si="6"/>
        <v>-1.7110431727251389</v>
      </c>
      <c r="M17" s="6">
        <f t="shared" si="6"/>
        <v>-8.6546803292239822</v>
      </c>
      <c r="N17" s="6">
        <f t="shared" si="6"/>
        <v>1775.5222099137982</v>
      </c>
    </row>
    <row r="18" spans="1:14" s="3" customFormat="1">
      <c r="A18">
        <v>0.35699999999999998</v>
      </c>
      <c r="B18">
        <v>10</v>
      </c>
      <c r="C18" s="6">
        <v>0.84221000000000001</v>
      </c>
      <c r="D18" s="6">
        <v>3.4630000000000001E-2</v>
      </c>
      <c r="E18" s="6">
        <v>0.67686000000000002</v>
      </c>
      <c r="F18" s="6">
        <f t="shared" si="0"/>
        <v>3.7470464610964004E-2</v>
      </c>
      <c r="G18" s="6">
        <f t="shared" si="7"/>
        <v>0.99075702302057633</v>
      </c>
      <c r="H18" s="6">
        <f t="shared" si="8"/>
        <v>3.5174517422416465E-2</v>
      </c>
      <c r="I18" s="6">
        <f t="shared" si="9"/>
        <v>0.73987370391372176</v>
      </c>
      <c r="J18" s="6">
        <f t="shared" si="10"/>
        <v>1.8658413242924003E-3</v>
      </c>
      <c r="K18" s="6">
        <f t="shared" si="5"/>
        <v>-14.993284889133838</v>
      </c>
      <c r="L18" s="6">
        <f t="shared" si="6"/>
        <v>-1.548045182474763</v>
      </c>
      <c r="M18" s="6">
        <f t="shared" si="6"/>
        <v>-8.5168189625333532</v>
      </c>
      <c r="N18" s="6">
        <f t="shared" si="6"/>
        <v>1908.2342546022378</v>
      </c>
    </row>
    <row r="19" spans="1:14" s="3" customFormat="1">
      <c r="A19">
        <v>0.4</v>
      </c>
      <c r="B19">
        <v>10</v>
      </c>
      <c r="C19" s="6">
        <v>0.84379999999999999</v>
      </c>
      <c r="D19" s="6">
        <v>3.4729999999999997E-2</v>
      </c>
      <c r="E19" s="6">
        <v>0.67845</v>
      </c>
      <c r="F19" s="6">
        <f t="shared" si="0"/>
        <v>3.7022991230149321E-2</v>
      </c>
      <c r="G19" s="6">
        <f t="shared" si="7"/>
        <v>0.99036650691394668</v>
      </c>
      <c r="H19" s="6">
        <f t="shared" si="8"/>
        <v>3.5188387252929193E-2</v>
      </c>
      <c r="I19" s="6">
        <f t="shared" si="9"/>
        <v>0.73987370391372176</v>
      </c>
      <c r="J19" s="6">
        <f t="shared" si="10"/>
        <v>1.9454400000000031E-3</v>
      </c>
      <c r="K19" s="6">
        <f t="shared" si="5"/>
        <v>-14.799218864000002</v>
      </c>
      <c r="L19" s="6">
        <f t="shared" si="6"/>
        <v>-1.3026662734906624</v>
      </c>
      <c r="M19" s="6">
        <f t="shared" si="6"/>
        <v>-8.3019174203391479</v>
      </c>
      <c r="N19" s="6">
        <f t="shared" si="6"/>
        <v>1803.0651796071461</v>
      </c>
    </row>
    <row r="20" spans="1:14" s="3" customFormat="1">
      <c r="A20">
        <v>0.5</v>
      </c>
      <c r="B20">
        <v>10</v>
      </c>
      <c r="C20" s="6">
        <v>0.84530000000000005</v>
      </c>
      <c r="D20" s="6">
        <v>3.449E-2</v>
      </c>
      <c r="E20" s="6">
        <v>0.67669000000000001</v>
      </c>
      <c r="F20" s="6">
        <f t="shared" si="0"/>
        <v>3.6602389684135796E-2</v>
      </c>
      <c r="G20" s="6">
        <f t="shared" si="7"/>
        <v>0.98716683119447202</v>
      </c>
      <c r="H20" s="6">
        <f t="shared" si="8"/>
        <v>3.5302442369797772E-2</v>
      </c>
      <c r="I20" s="6">
        <f t="shared" si="9"/>
        <v>0.73987370391372176</v>
      </c>
      <c r="J20" s="6">
        <f t="shared" si="10"/>
        <v>2.6000000000000016E-3</v>
      </c>
      <c r="K20" s="6">
        <f t="shared" si="5"/>
        <v>-14.371110000000009</v>
      </c>
      <c r="L20" s="6">
        <f t="shared" si="6"/>
        <v>-2.3013772284855833</v>
      </c>
      <c r="M20" s="6">
        <f t="shared" si="6"/>
        <v>-8.539795856981792</v>
      </c>
      <c r="N20" s="6">
        <f t="shared" si="6"/>
        <v>1307.7842186206067</v>
      </c>
    </row>
    <row r="21" spans="1:14" s="3" customFormat="1">
      <c r="A21">
        <v>0.6</v>
      </c>
      <c r="B21">
        <v>10</v>
      </c>
      <c r="C21" s="6">
        <v>0.84779000000000004</v>
      </c>
      <c r="D21" s="6">
        <v>3.4270000000000002E-2</v>
      </c>
      <c r="E21" s="6">
        <v>0.67554000000000003</v>
      </c>
      <c r="F21" s="6">
        <f t="shared" si="0"/>
        <v>3.5907477087486275E-2</v>
      </c>
      <c r="G21" s="6">
        <f t="shared" si="7"/>
        <v>0.98205278887279202</v>
      </c>
      <c r="H21" s="6">
        <f t="shared" si="8"/>
        <v>3.5486279925561998E-2</v>
      </c>
      <c r="I21" s="6">
        <f t="shared" si="9"/>
        <v>0.73987370391372176</v>
      </c>
      <c r="J21" s="6">
        <f t="shared" si="10"/>
        <v>3.6550399999999983E-3</v>
      </c>
      <c r="K21" s="6">
        <f t="shared" si="5"/>
        <v>-13.671646819200001</v>
      </c>
      <c r="L21" s="6">
        <f t="shared" si="6"/>
        <v>-3.4274652854943728</v>
      </c>
      <c r="M21" s="6">
        <f t="shared" si="6"/>
        <v>-8.6952277900153376</v>
      </c>
      <c r="N21" s="6">
        <f t="shared" si="6"/>
        <v>882.40996233929843</v>
      </c>
    </row>
    <row r="22" spans="1:14" s="3" customFormat="1">
      <c r="A22">
        <v>0.8</v>
      </c>
      <c r="B22">
        <v>10</v>
      </c>
      <c r="C22" s="6">
        <v>0.85011000000000003</v>
      </c>
      <c r="D22" s="6">
        <v>3.3590000000000002E-2</v>
      </c>
      <c r="E22" s="6">
        <v>0.66973000000000005</v>
      </c>
      <c r="F22" s="6">
        <f t="shared" si="0"/>
        <v>3.5263671760125147E-2</v>
      </c>
      <c r="G22" s="6">
        <f t="shared" si="7"/>
        <v>0.96965446944773914</v>
      </c>
      <c r="H22" s="6">
        <f t="shared" si="8"/>
        <v>3.5940019115744397E-2</v>
      </c>
      <c r="I22" s="6">
        <f t="shared" si="9"/>
        <v>0.73987370391372176</v>
      </c>
      <c r="J22" s="6">
        <f t="shared" si="10"/>
        <v>6.2590400000000074E-3</v>
      </c>
      <c r="K22" s="6">
        <f t="shared" si="5"/>
        <v>-12.328563752799999</v>
      </c>
      <c r="L22" s="6">
        <f t="shared" si="6"/>
        <v>-6.5387252805185963</v>
      </c>
      <c r="M22" s="6">
        <f t="shared" si="6"/>
        <v>-9.4804969473413419</v>
      </c>
      <c r="N22" s="6">
        <f t="shared" si="6"/>
        <v>463.40384084660116</v>
      </c>
    </row>
    <row r="23" spans="1:14" s="3" customFormat="1">
      <c r="A23" s="5">
        <v>1</v>
      </c>
      <c r="B23" s="5">
        <v>10</v>
      </c>
      <c r="C23" s="7">
        <v>0.84902</v>
      </c>
      <c r="D23" s="7">
        <v>3.3140000000000003E-2</v>
      </c>
      <c r="E23" s="7">
        <v>0.66483999999999999</v>
      </c>
      <c r="F23" s="7">
        <f t="shared" si="0"/>
        <v>3.5565711055098821E-2</v>
      </c>
      <c r="G23" s="7">
        <f t="shared" si="7"/>
        <v>0.95419847328244267</v>
      </c>
      <c r="H23" s="7">
        <f t="shared" si="8"/>
        <v>3.6522171375664436E-2</v>
      </c>
      <c r="I23" s="7">
        <f t="shared" si="9"/>
        <v>0.73987370391372176</v>
      </c>
      <c r="J23" s="7">
        <f t="shared" si="10"/>
        <v>9.6000000000000044E-3</v>
      </c>
      <c r="K23" s="7">
        <f t="shared" si="5"/>
        <v>-11.022703999999992</v>
      </c>
      <c r="L23" s="7">
        <f t="shared" si="6"/>
        <v>-9.260597736305602</v>
      </c>
      <c r="M23" s="7">
        <f t="shared" si="6"/>
        <v>-10.141420558240521</v>
      </c>
      <c r="N23" s="7">
        <f t="shared" si="6"/>
        <v>270.47615682394593</v>
      </c>
    </row>
    <row r="24" spans="1:14" s="3" customFormat="1"/>
    <row r="25" spans="1:14">
      <c r="E25" t="s">
        <v>30</v>
      </c>
      <c r="F25" s="4">
        <f>MIN(F13:F23)</f>
        <v>3.5263671760125147E-2</v>
      </c>
    </row>
  </sheetData>
  <mergeCells count="6">
    <mergeCell ref="K11:N11"/>
    <mergeCell ref="A1:J3"/>
    <mergeCell ref="A11:A12"/>
    <mergeCell ref="B11:B12"/>
    <mergeCell ref="C11:F11"/>
    <mergeCell ref="G11:J1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N25"/>
  <sheetViews>
    <sheetView workbookViewId="0">
      <selection activeCell="A4" sqref="A4"/>
    </sheetView>
  </sheetViews>
  <sheetFormatPr baseColWidth="10" defaultColWidth="9.140625" defaultRowHeight="15"/>
  <cols>
    <col min="3" max="4" width="9" bestFit="1" customWidth="1"/>
    <col min="5" max="5" width="13.5703125" customWidth="1"/>
    <col min="6" max="6" width="16.28515625" bestFit="1" customWidth="1"/>
    <col min="7" max="13" width="9" bestFit="1" customWidth="1"/>
    <col min="14" max="14" width="9.5703125" bestFit="1" customWidth="1"/>
  </cols>
  <sheetData>
    <row r="1" spans="1:14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</row>
    <row r="2" spans="1:14">
      <c r="A2" s="10"/>
      <c r="B2" s="10"/>
      <c r="C2" s="10"/>
      <c r="D2" s="10"/>
      <c r="E2" s="10"/>
      <c r="F2" s="10"/>
      <c r="G2" s="10"/>
      <c r="H2" s="10"/>
      <c r="I2" s="10"/>
      <c r="J2" s="10"/>
    </row>
    <row r="3" spans="1:14">
      <c r="A3" s="10"/>
      <c r="B3" s="10"/>
      <c r="C3" s="10"/>
      <c r="D3" s="10"/>
      <c r="E3" s="10"/>
      <c r="F3" s="10"/>
      <c r="G3" s="10"/>
      <c r="H3" s="10"/>
      <c r="I3" s="10"/>
      <c r="J3" s="10"/>
    </row>
    <row r="5" spans="1:14">
      <c r="A5" s="1" t="s">
        <v>28</v>
      </c>
    </row>
    <row r="7" spans="1:14">
      <c r="A7" t="s">
        <v>9</v>
      </c>
      <c r="B7">
        <v>0.2</v>
      </c>
      <c r="D7" t="s">
        <v>24</v>
      </c>
    </row>
    <row r="8" spans="1:14">
      <c r="A8" s="2" t="s">
        <v>10</v>
      </c>
      <c r="B8">
        <f>SQRT(1-(B7)^2)</f>
        <v>0.9797958971132712</v>
      </c>
    </row>
    <row r="9" spans="1:14">
      <c r="A9" s="2" t="s">
        <v>11</v>
      </c>
      <c r="B9">
        <v>0.97440099999999996</v>
      </c>
    </row>
    <row r="11" spans="1:14">
      <c r="A11" s="17" t="s">
        <v>17</v>
      </c>
      <c r="B11" s="14" t="s">
        <v>8</v>
      </c>
      <c r="C11" s="16" t="s">
        <v>29</v>
      </c>
      <c r="D11" s="16"/>
      <c r="E11" s="16"/>
      <c r="F11" s="16"/>
      <c r="G11" s="16" t="s">
        <v>5</v>
      </c>
      <c r="H11" s="16"/>
      <c r="I11" s="16"/>
      <c r="J11" s="16"/>
      <c r="K11" s="12" t="s">
        <v>6</v>
      </c>
      <c r="L11" s="13"/>
      <c r="M11" s="13"/>
      <c r="N11" s="13"/>
    </row>
    <row r="12" spans="1:14">
      <c r="A12" s="18"/>
      <c r="B12" s="15"/>
      <c r="C12" s="5" t="s">
        <v>2</v>
      </c>
      <c r="D12" s="5" t="s">
        <v>13</v>
      </c>
      <c r="E12" s="5" t="s">
        <v>3</v>
      </c>
      <c r="F12" s="5" t="s">
        <v>4</v>
      </c>
      <c r="G12" s="5" t="s">
        <v>2</v>
      </c>
      <c r="H12" s="5" t="s">
        <v>13</v>
      </c>
      <c r="I12" s="5" t="s">
        <v>3</v>
      </c>
      <c r="J12" s="5" t="s">
        <v>4</v>
      </c>
      <c r="K12" s="5" t="s">
        <v>2</v>
      </c>
      <c r="L12" s="5" t="s">
        <v>13</v>
      </c>
      <c r="M12" s="5" t="s">
        <v>3</v>
      </c>
      <c r="N12" s="5" t="s">
        <v>4</v>
      </c>
    </row>
    <row r="13" spans="1:14">
      <c r="A13">
        <v>0.05</v>
      </c>
      <c r="B13">
        <v>10</v>
      </c>
      <c r="C13" s="6">
        <v>0.80123999999999995</v>
      </c>
      <c r="D13" s="6">
        <v>3.3689999999999998E-2</v>
      </c>
      <c r="E13" s="6">
        <v>0.71328999999999998</v>
      </c>
      <c r="F13" s="6">
        <f>(1-C13)/(C13*6)</f>
        <v>4.1344249746226691E-2</v>
      </c>
      <c r="G13" s="6">
        <f t="shared" ref="G13:G23" si="0">1/(1+J13*6)</f>
        <v>0.95003033755627686</v>
      </c>
      <c r="H13" s="6">
        <f t="shared" ref="H13:H23" si="1">(I13^2)/(PI()*6*G13)</f>
        <v>3.4623685656240522E-2</v>
      </c>
      <c r="I13" s="6">
        <f t="shared" ref="I13:I23" si="2">((PI()/180)*(2*PI()*6)/(2+SQRT((((6^2)*($B$8^2)/($B$9^2))*1+4))))*B13</f>
        <v>0.7874191028758446</v>
      </c>
      <c r="J13" s="6">
        <f t="shared" ref="J13:J23" si="3">0.0524*(A13^4)-0.15*(A13^3)+0.1659*(A13^2)-0.0706*(A13)+0.0119</f>
        <v>8.7663275000000006E-3</v>
      </c>
      <c r="K13" s="6">
        <f t="shared" ref="K13:K23" si="4">((C13-G13)/G13)*100</f>
        <v>-15.661640652340015</v>
      </c>
      <c r="L13" s="6">
        <f t="shared" ref="L13:N23" si="5">((D13-H13)/H13)*100</f>
        <v>-2.6966674360164129</v>
      </c>
      <c r="M13" s="6">
        <f t="shared" si="5"/>
        <v>-9.4141864992997046</v>
      </c>
      <c r="N13" s="6">
        <f t="shared" si="5"/>
        <v>371.62565790779189</v>
      </c>
    </row>
    <row r="14" spans="1:14">
      <c r="A14">
        <v>0.1</v>
      </c>
      <c r="B14">
        <v>10</v>
      </c>
      <c r="C14" s="6">
        <v>0.81530000000000002</v>
      </c>
      <c r="D14" s="6">
        <v>3.3980000000000003E-2</v>
      </c>
      <c r="E14" s="6">
        <v>0.72260000000000002</v>
      </c>
      <c r="F14" s="6">
        <f t="shared" ref="F14:F23" si="6">(1-C14)/(C14*6)</f>
        <v>3.7757062839854444E-2</v>
      </c>
      <c r="G14" s="6">
        <f t="shared" si="0"/>
        <v>0.96327472718518492</v>
      </c>
      <c r="H14" s="6">
        <f t="shared" si="1"/>
        <v>3.4147632905889548E-2</v>
      </c>
      <c r="I14" s="6">
        <f t="shared" si="2"/>
        <v>0.7874191028758446</v>
      </c>
      <c r="J14" s="6">
        <f t="shared" si="3"/>
        <v>6.3542400000000006E-3</v>
      </c>
      <c r="K14" s="6">
        <f t="shared" si="4"/>
        <v>-15.361632876800002</v>
      </c>
      <c r="L14" s="6">
        <f t="shared" si="5"/>
        <v>-0.49090637219727357</v>
      </c>
      <c r="M14" s="6">
        <f t="shared" si="5"/>
        <v>-8.231842819041292</v>
      </c>
      <c r="N14" s="6">
        <f t="shared" si="5"/>
        <v>494.20265586213998</v>
      </c>
    </row>
    <row r="15" spans="1:14">
      <c r="A15">
        <v>0.15</v>
      </c>
      <c r="B15">
        <v>10</v>
      </c>
      <c r="C15" s="6">
        <v>0.82528000000000001</v>
      </c>
      <c r="D15" s="6">
        <v>3.3919999999999999E-2</v>
      </c>
      <c r="E15" s="6">
        <v>0.72636999999999996</v>
      </c>
      <c r="F15" s="6">
        <f t="shared" si="6"/>
        <v>3.5284994183792169E-2</v>
      </c>
      <c r="G15" s="6">
        <f t="shared" si="0"/>
        <v>0.97335142410779185</v>
      </c>
      <c r="H15" s="6">
        <f t="shared" si="1"/>
        <v>3.3794116859275143E-2</v>
      </c>
      <c r="I15" s="6">
        <f t="shared" si="2"/>
        <v>0.7874191028758446</v>
      </c>
      <c r="J15" s="6">
        <f t="shared" si="3"/>
        <v>4.5630275000000022E-3</v>
      </c>
      <c r="K15" s="6">
        <f t="shared" si="4"/>
        <v>-15.212534798879995</v>
      </c>
      <c r="L15" s="6">
        <f t="shared" si="5"/>
        <v>0.37250016400504249</v>
      </c>
      <c r="M15" s="6">
        <f t="shared" si="5"/>
        <v>-7.7530634769817723</v>
      </c>
      <c r="N15" s="6">
        <f t="shared" si="5"/>
        <v>673.2803316173779</v>
      </c>
    </row>
    <row r="16" spans="1:14">
      <c r="A16">
        <v>0.2</v>
      </c>
      <c r="B16">
        <v>10</v>
      </c>
      <c r="C16" s="6">
        <v>0.83162000000000003</v>
      </c>
      <c r="D16" s="6">
        <v>3.3989999999999999E-2</v>
      </c>
      <c r="E16" s="6">
        <v>0.72989999999999999</v>
      </c>
      <c r="F16" s="6">
        <f t="shared" si="6"/>
        <v>3.3745380502312745E-2</v>
      </c>
      <c r="G16" s="6">
        <f t="shared" si="0"/>
        <v>0.98058535140413539</v>
      </c>
      <c r="H16" s="6">
        <f t="shared" si="1"/>
        <v>3.3544812518705433E-2</v>
      </c>
      <c r="I16" s="6">
        <f t="shared" si="2"/>
        <v>0.7874191028758446</v>
      </c>
      <c r="J16" s="6">
        <f t="shared" si="3"/>
        <v>3.2998400000000018E-3</v>
      </c>
      <c r="K16" s="6">
        <f t="shared" si="4"/>
        <v>-15.19147223551999</v>
      </c>
      <c r="L16" s="6">
        <f t="shared" si="5"/>
        <v>1.3271425531036092</v>
      </c>
      <c r="M16" s="6">
        <f t="shared" si="5"/>
        <v>-7.3047634564326627</v>
      </c>
      <c r="N16" s="6">
        <f t="shared" si="5"/>
        <v>922.63687034258407</v>
      </c>
    </row>
    <row r="17" spans="1:14">
      <c r="A17">
        <v>0.3</v>
      </c>
      <c r="B17">
        <v>10</v>
      </c>
      <c r="C17" s="6">
        <v>0.84192</v>
      </c>
      <c r="D17" s="6">
        <v>3.3649999999999999E-2</v>
      </c>
      <c r="E17" s="6">
        <v>0.73075000000000001</v>
      </c>
      <c r="F17" s="6">
        <f t="shared" si="6"/>
        <v>3.1293551247941212E-2</v>
      </c>
      <c r="G17" s="6">
        <f t="shared" si="0"/>
        <v>0.98799327342563659</v>
      </c>
      <c r="H17" s="6">
        <f t="shared" si="1"/>
        <v>3.329329526444029E-2</v>
      </c>
      <c r="I17" s="6">
        <f t="shared" si="2"/>
        <v>0.7874191028758446</v>
      </c>
      <c r="J17" s="6">
        <f t="shared" si="3"/>
        <v>2.0254400000000016E-3</v>
      </c>
      <c r="K17" s="6">
        <f t="shared" si="4"/>
        <v>-14.784844933119992</v>
      </c>
      <c r="L17" s="6">
        <f t="shared" si="5"/>
        <v>1.0714011116247086</v>
      </c>
      <c r="M17" s="6">
        <f t="shared" si="5"/>
        <v>-7.1968158594165859</v>
      </c>
      <c r="N17" s="6">
        <f t="shared" si="5"/>
        <v>1445.0248463514686</v>
      </c>
    </row>
    <row r="18" spans="1:14">
      <c r="A18">
        <v>0.35699999999999998</v>
      </c>
      <c r="B18">
        <v>10</v>
      </c>
      <c r="C18" s="6">
        <v>0.84502999999999995</v>
      </c>
      <c r="D18" s="6">
        <v>3.3680000000000002E-2</v>
      </c>
      <c r="E18" s="6">
        <v>0.73238999999999999</v>
      </c>
      <c r="F18" s="6">
        <f t="shared" si="6"/>
        <v>3.0564989803123374E-2</v>
      </c>
      <c r="G18" s="6">
        <f t="shared" si="0"/>
        <v>0.98892889362097147</v>
      </c>
      <c r="H18" s="6">
        <f t="shared" si="1"/>
        <v>3.3261796660628035E-2</v>
      </c>
      <c r="I18" s="6">
        <f t="shared" si="2"/>
        <v>0.7874191028758446</v>
      </c>
      <c r="J18" s="6">
        <f t="shared" si="3"/>
        <v>1.8658413242924003E-3</v>
      </c>
      <c r="K18" s="6">
        <f t="shared" si="4"/>
        <v>-14.550984863439931</v>
      </c>
      <c r="L18" s="6">
        <f t="shared" si="5"/>
        <v>1.257308327745849</v>
      </c>
      <c r="M18" s="6">
        <f t="shared" si="5"/>
        <v>-6.9885404957620469</v>
      </c>
      <c r="N18" s="6">
        <f t="shared" si="5"/>
        <v>1538.1344654114578</v>
      </c>
    </row>
    <row r="19" spans="1:14">
      <c r="A19">
        <v>0.4</v>
      </c>
      <c r="B19">
        <v>10</v>
      </c>
      <c r="C19" s="6">
        <v>0.84492</v>
      </c>
      <c r="D19" s="6">
        <v>3.354E-2</v>
      </c>
      <c r="E19" s="6">
        <v>0.73084000000000005</v>
      </c>
      <c r="F19" s="6">
        <f t="shared" si="6"/>
        <v>3.0590667361012482E-2</v>
      </c>
      <c r="G19" s="6">
        <f t="shared" si="0"/>
        <v>0.9884620384712588</v>
      </c>
      <c r="H19" s="6">
        <f t="shared" si="1"/>
        <v>3.3277506359589995E-2</v>
      </c>
      <c r="I19" s="6">
        <f t="shared" si="2"/>
        <v>0.7874191028758446</v>
      </c>
      <c r="J19" s="6">
        <f t="shared" si="3"/>
        <v>1.9454400000000031E-3</v>
      </c>
      <c r="K19" s="6">
        <f t="shared" si="4"/>
        <v>-14.521755301119995</v>
      </c>
      <c r="L19" s="6">
        <f t="shared" si="5"/>
        <v>0.78880201410992823</v>
      </c>
      <c r="M19" s="6">
        <f t="shared" si="5"/>
        <v>-7.185386113850174</v>
      </c>
      <c r="N19" s="6">
        <f t="shared" si="5"/>
        <v>1472.4292376538178</v>
      </c>
    </row>
    <row r="20" spans="1:14">
      <c r="A20">
        <v>0.5</v>
      </c>
      <c r="B20">
        <v>10</v>
      </c>
      <c r="C20" s="6">
        <v>0.84506000000000003</v>
      </c>
      <c r="D20" s="6">
        <v>3.3250000000000002E-2</v>
      </c>
      <c r="E20" s="6">
        <v>0.72772000000000003</v>
      </c>
      <c r="F20" s="6">
        <f t="shared" si="6"/>
        <v>3.0557987992963019E-2</v>
      </c>
      <c r="G20" s="6">
        <f t="shared" si="0"/>
        <v>0.98463962189838516</v>
      </c>
      <c r="H20" s="6">
        <f t="shared" si="1"/>
        <v>3.3406691179075076E-2</v>
      </c>
      <c r="I20" s="6">
        <f t="shared" si="2"/>
        <v>0.7874191028758446</v>
      </c>
      <c r="J20" s="6">
        <f t="shared" si="3"/>
        <v>2.6000000000000016E-3</v>
      </c>
      <c r="K20" s="6">
        <f t="shared" si="4"/>
        <v>-14.175706399999994</v>
      </c>
      <c r="L20" s="6">
        <f t="shared" si="5"/>
        <v>-0.46904130144209316</v>
      </c>
      <c r="M20" s="6">
        <f t="shared" si="5"/>
        <v>-7.5816172934856469</v>
      </c>
      <c r="N20" s="6">
        <f t="shared" si="5"/>
        <v>1075.3072304985769</v>
      </c>
    </row>
    <row r="21" spans="1:14">
      <c r="A21">
        <v>0.6</v>
      </c>
      <c r="B21">
        <v>10</v>
      </c>
      <c r="C21" s="6">
        <v>0.84382999999999997</v>
      </c>
      <c r="D21" s="6">
        <v>3.2840000000000001E-2</v>
      </c>
      <c r="E21" s="6">
        <v>0.72277999999999998</v>
      </c>
      <c r="F21" s="6">
        <f t="shared" si="6"/>
        <v>3.0845470454159418E-2</v>
      </c>
      <c r="G21" s="6">
        <f t="shared" si="0"/>
        <v>0.97854037473242783</v>
      </c>
      <c r="H21" s="6">
        <f t="shared" si="1"/>
        <v>3.3614915256240725E-2</v>
      </c>
      <c r="I21" s="6">
        <f t="shared" si="2"/>
        <v>0.7874191028758446</v>
      </c>
      <c r="J21" s="6">
        <f t="shared" si="3"/>
        <v>3.6550399999999983E-3</v>
      </c>
      <c r="K21" s="6">
        <f t="shared" si="4"/>
        <v>-13.766460558079995</v>
      </c>
      <c r="L21" s="6">
        <f t="shared" si="5"/>
        <v>-2.3052720803657492</v>
      </c>
      <c r="M21" s="6">
        <f t="shared" si="5"/>
        <v>-8.2089833279084825</v>
      </c>
      <c r="N21" s="6">
        <f t="shared" si="5"/>
        <v>743.91608447949773</v>
      </c>
    </row>
    <row r="22" spans="1:14">
      <c r="A22">
        <v>0.8</v>
      </c>
      <c r="B22">
        <v>10</v>
      </c>
      <c r="C22" s="6">
        <v>0.83875</v>
      </c>
      <c r="D22" s="6">
        <v>3.227E-2</v>
      </c>
      <c r="E22" s="6">
        <v>0.71433000000000002</v>
      </c>
      <c r="F22" s="6">
        <f t="shared" si="6"/>
        <v>3.2041728763040241E-2</v>
      </c>
      <c r="G22" s="6">
        <f t="shared" si="0"/>
        <v>0.96380503442403165</v>
      </c>
      <c r="H22" s="6">
        <f t="shared" si="1"/>
        <v>3.4128844109117713E-2</v>
      </c>
      <c r="I22" s="6">
        <f t="shared" si="2"/>
        <v>0.7874191028758446</v>
      </c>
      <c r="J22" s="6">
        <f t="shared" si="3"/>
        <v>6.2590400000000074E-3</v>
      </c>
      <c r="K22" s="6">
        <f t="shared" si="4"/>
        <v>-12.975138119999999</v>
      </c>
      <c r="L22" s="6">
        <f t="shared" si="5"/>
        <v>-5.4465486823244404</v>
      </c>
      <c r="M22" s="6">
        <f t="shared" si="5"/>
        <v>-9.2821094394212107</v>
      </c>
      <c r="N22" s="6">
        <f t="shared" si="5"/>
        <v>411.92720869398823</v>
      </c>
    </row>
    <row r="23" spans="1:14">
      <c r="A23" s="5">
        <v>1</v>
      </c>
      <c r="B23" s="5">
        <v>10</v>
      </c>
      <c r="C23" s="7">
        <v>0.82887</v>
      </c>
      <c r="D23" s="7">
        <v>3.1510000000000003E-2</v>
      </c>
      <c r="E23" s="7">
        <v>0.70165</v>
      </c>
      <c r="F23" s="7">
        <f t="shared" si="6"/>
        <v>3.4410301575236973E-2</v>
      </c>
      <c r="G23" s="7">
        <f t="shared" si="0"/>
        <v>0.94553706505294999</v>
      </c>
      <c r="H23" s="7">
        <f t="shared" si="1"/>
        <v>3.4788220353475591E-2</v>
      </c>
      <c r="I23" s="7">
        <f t="shared" si="2"/>
        <v>0.7874191028758446</v>
      </c>
      <c r="J23" s="7">
        <f t="shared" si="3"/>
        <v>9.6000000000000044E-3</v>
      </c>
      <c r="K23" s="7">
        <f t="shared" si="4"/>
        <v>-12.338708799999992</v>
      </c>
      <c r="L23" s="7">
        <f t="shared" si="5"/>
        <v>-9.4233631964104472</v>
      </c>
      <c r="M23" s="7">
        <f t="shared" si="5"/>
        <v>-10.892433592555113</v>
      </c>
      <c r="N23" s="7">
        <f t="shared" si="5"/>
        <v>258.44064140871831</v>
      </c>
    </row>
    <row r="25" spans="1:14">
      <c r="E25" t="s">
        <v>30</v>
      </c>
      <c r="F25">
        <f>MIN(F13:F23)</f>
        <v>3.0557987992963019E-2</v>
      </c>
    </row>
  </sheetData>
  <mergeCells count="6">
    <mergeCell ref="K11:N11"/>
    <mergeCell ref="A1:J3"/>
    <mergeCell ref="A11:A12"/>
    <mergeCell ref="B11:B12"/>
    <mergeCell ref="C11:F11"/>
    <mergeCell ref="G11:J1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N25"/>
  <sheetViews>
    <sheetView workbookViewId="0">
      <selection activeCell="A4" sqref="A4"/>
    </sheetView>
  </sheetViews>
  <sheetFormatPr baseColWidth="10" defaultColWidth="9.140625" defaultRowHeight="15"/>
  <cols>
    <col min="3" max="4" width="9" bestFit="1" customWidth="1"/>
    <col min="5" max="5" width="12.42578125" customWidth="1"/>
    <col min="6" max="13" width="9" bestFit="1" customWidth="1"/>
    <col min="14" max="14" width="9.5703125" bestFit="1" customWidth="1"/>
  </cols>
  <sheetData>
    <row r="1" spans="1:14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</row>
    <row r="2" spans="1:14">
      <c r="A2" s="10"/>
      <c r="B2" s="10"/>
      <c r="C2" s="10"/>
      <c r="D2" s="10"/>
      <c r="E2" s="10"/>
      <c r="F2" s="10"/>
      <c r="G2" s="10"/>
      <c r="H2" s="10"/>
      <c r="I2" s="10"/>
      <c r="J2" s="10"/>
    </row>
    <row r="3" spans="1:14">
      <c r="A3" s="10"/>
      <c r="B3" s="10"/>
      <c r="C3" s="10"/>
      <c r="D3" s="10"/>
      <c r="E3" s="10"/>
      <c r="F3" s="10"/>
      <c r="G3" s="10"/>
      <c r="H3" s="10"/>
      <c r="I3" s="10"/>
      <c r="J3" s="10"/>
    </row>
    <row r="5" spans="1:14">
      <c r="A5" s="1" t="s">
        <v>27</v>
      </c>
    </row>
    <row r="7" spans="1:14">
      <c r="A7" t="s">
        <v>9</v>
      </c>
      <c r="B7">
        <v>0.2</v>
      </c>
      <c r="D7" t="s">
        <v>23</v>
      </c>
    </row>
    <row r="8" spans="1:14">
      <c r="A8" s="2" t="s">
        <v>10</v>
      </c>
      <c r="B8">
        <f>SQRT(1-(B7)^2)</f>
        <v>0.9797958971132712</v>
      </c>
    </row>
    <row r="9" spans="1:14">
      <c r="A9" s="2" t="s">
        <v>11</v>
      </c>
      <c r="B9">
        <v>0.97440099999999996</v>
      </c>
    </row>
    <row r="11" spans="1:14">
      <c r="A11" s="17" t="s">
        <v>17</v>
      </c>
      <c r="B11" s="14" t="s">
        <v>8</v>
      </c>
      <c r="C11" s="16" t="s">
        <v>29</v>
      </c>
      <c r="D11" s="16"/>
      <c r="E11" s="16"/>
      <c r="F11" s="16"/>
      <c r="G11" s="16" t="s">
        <v>5</v>
      </c>
      <c r="H11" s="16"/>
      <c r="I11" s="16"/>
      <c r="J11" s="16"/>
      <c r="K11" s="12" t="s">
        <v>6</v>
      </c>
      <c r="L11" s="13"/>
      <c r="M11" s="13"/>
      <c r="N11" s="13"/>
    </row>
    <row r="12" spans="1:14">
      <c r="A12" s="18"/>
      <c r="B12" s="15"/>
      <c r="C12" s="5" t="s">
        <v>2</v>
      </c>
      <c r="D12" s="5" t="s">
        <v>13</v>
      </c>
      <c r="E12" s="5" t="s">
        <v>3</v>
      </c>
      <c r="F12" s="5" t="s">
        <v>4</v>
      </c>
      <c r="G12" s="5" t="s">
        <v>2</v>
      </c>
      <c r="H12" s="5" t="s">
        <v>13</v>
      </c>
      <c r="I12" s="5" t="s">
        <v>3</v>
      </c>
      <c r="J12" s="5" t="s">
        <v>4</v>
      </c>
      <c r="K12" s="5" t="s">
        <v>2</v>
      </c>
      <c r="L12" s="5" t="s">
        <v>13</v>
      </c>
      <c r="M12" s="5" t="s">
        <v>3</v>
      </c>
      <c r="N12" s="5" t="s">
        <v>4</v>
      </c>
    </row>
    <row r="13" spans="1:14">
      <c r="A13">
        <v>0.05</v>
      </c>
      <c r="B13">
        <v>10</v>
      </c>
      <c r="C13" s="6">
        <v>0.79096</v>
      </c>
      <c r="D13" s="6">
        <v>3.1390000000000001E-2</v>
      </c>
      <c r="E13" s="6">
        <v>0.76490000000000002</v>
      </c>
      <c r="F13" s="6">
        <f>(1-C13)/(C13*7.5)</f>
        <v>3.5238191564680894E-2</v>
      </c>
      <c r="G13" s="6">
        <f t="shared" ref="G13:G23" si="0">1/(1+J13*7.5)</f>
        <v>0.93830859659628674</v>
      </c>
      <c r="H13" s="6">
        <f t="shared" ref="H13:H23" si="1">(I13^2)/(PI()*7.5*G13)</f>
        <v>3.1844285855728009E-2</v>
      </c>
      <c r="I13" s="6">
        <f t="shared" ref="I13:I23" si="2">((PI()/180)*(2*PI()*7.5)/(2+SQRT((((7.5^2)*($B$8^2)/($B$9^2))*1+4))))*B13</f>
        <v>0.83906223116228174</v>
      </c>
      <c r="J13" s="6">
        <f t="shared" ref="J13:J23" si="3">0.0524*(A13^4)-0.15*(A13^3)+0.1659*(A13^2)-0.0706*(A13)+0.0119</f>
        <v>8.7663275000000006E-3</v>
      </c>
      <c r="K13" s="6">
        <f t="shared" ref="K13:K23" si="4">((C13-G13)/G13)*100</f>
        <v>-15.703639200450001</v>
      </c>
      <c r="L13" s="6">
        <f t="shared" ref="L13:N23" si="5">((D13-H13)/H13)*100</f>
        <v>-1.4265851581227815</v>
      </c>
      <c r="M13" s="6">
        <f t="shared" si="5"/>
        <v>-8.8387044974663045</v>
      </c>
      <c r="N13" s="6">
        <f t="shared" si="5"/>
        <v>301.9721093545831</v>
      </c>
    </row>
    <row r="14" spans="1:14">
      <c r="A14">
        <v>0.1</v>
      </c>
      <c r="B14">
        <v>10</v>
      </c>
      <c r="C14" s="6">
        <v>0.81037999999999999</v>
      </c>
      <c r="D14" s="6">
        <v>3.1519999999999999E-2</v>
      </c>
      <c r="E14" s="6">
        <v>0.77583000000000002</v>
      </c>
      <c r="F14" s="6">
        <f t="shared" ref="F14:F23" si="6">(1-C14)/(C14*7.5)</f>
        <v>3.1198532375757877E-2</v>
      </c>
      <c r="G14" s="6">
        <f t="shared" si="0"/>
        <v>0.95451105743789388</v>
      </c>
      <c r="H14" s="6">
        <f t="shared" si="1"/>
        <v>3.1303741259009234E-2</v>
      </c>
      <c r="I14" s="6">
        <f t="shared" si="2"/>
        <v>0.83906223116228174</v>
      </c>
      <c r="J14" s="6">
        <f t="shared" si="3"/>
        <v>6.3542400000000006E-3</v>
      </c>
      <c r="K14" s="6">
        <f t="shared" si="4"/>
        <v>-15.099988241600009</v>
      </c>
      <c r="L14" s="6">
        <f t="shared" si="5"/>
        <v>0.69083991974450121</v>
      </c>
      <c r="M14" s="6">
        <f t="shared" si="5"/>
        <v>-7.5360597597977295</v>
      </c>
      <c r="N14" s="6">
        <f t="shared" si="5"/>
        <v>390.98762992518186</v>
      </c>
    </row>
    <row r="15" spans="1:14">
      <c r="A15">
        <v>0.15</v>
      </c>
      <c r="B15">
        <v>10</v>
      </c>
      <c r="C15" s="6">
        <v>0.82140999999999997</v>
      </c>
      <c r="D15" s="6">
        <v>3.1609999999999999E-2</v>
      </c>
      <c r="E15" s="6">
        <v>0.78222000000000003</v>
      </c>
      <c r="F15" s="6">
        <f t="shared" si="6"/>
        <v>2.8989177146613754E-2</v>
      </c>
      <c r="G15" s="6">
        <f t="shared" si="0"/>
        <v>0.96690973226251387</v>
      </c>
      <c r="H15" s="6">
        <f t="shared" si="1"/>
        <v>3.0902333665607205E-2</v>
      </c>
      <c r="I15" s="6">
        <f t="shared" si="2"/>
        <v>0.83906223116228174</v>
      </c>
      <c r="J15" s="6">
        <f t="shared" si="3"/>
        <v>4.5630275000000022E-3</v>
      </c>
      <c r="K15" s="6">
        <f t="shared" si="4"/>
        <v>-15.047912685918755</v>
      </c>
      <c r="L15" s="6">
        <f t="shared" si="5"/>
        <v>2.2900093632099767</v>
      </c>
      <c r="M15" s="6">
        <f t="shared" si="5"/>
        <v>-6.7744952699805099</v>
      </c>
      <c r="N15" s="6">
        <f t="shared" si="5"/>
        <v>535.30577334047928</v>
      </c>
    </row>
    <row r="16" spans="1:14">
      <c r="A16">
        <v>0.2</v>
      </c>
      <c r="B16">
        <v>10</v>
      </c>
      <c r="C16" s="6">
        <v>0.82918999999999998</v>
      </c>
      <c r="D16" s="6">
        <v>3.1579999999999997E-2</v>
      </c>
      <c r="E16" s="6">
        <v>0.78544000000000003</v>
      </c>
      <c r="F16" s="6">
        <f t="shared" si="6"/>
        <v>2.7466161756252092E-2</v>
      </c>
      <c r="G16" s="6">
        <f t="shared" si="0"/>
        <v>0.97584891048420841</v>
      </c>
      <c r="H16" s="6">
        <f t="shared" si="1"/>
        <v>3.0619255552658278E-2</v>
      </c>
      <c r="I16" s="6">
        <f t="shared" si="2"/>
        <v>0.83906223116228174</v>
      </c>
      <c r="J16" s="6">
        <f t="shared" si="3"/>
        <v>3.2998400000000018E-3</v>
      </c>
      <c r="K16" s="6">
        <f t="shared" si="4"/>
        <v>-15.0288542528</v>
      </c>
      <c r="L16" s="6">
        <f t="shared" si="5"/>
        <v>3.1377132787877646</v>
      </c>
      <c r="M16" s="6">
        <f t="shared" si="5"/>
        <v>-6.3907335082885774</v>
      </c>
      <c r="N16" s="6">
        <f t="shared" si="5"/>
        <v>732.3482882882829</v>
      </c>
    </row>
    <row r="17" spans="1:14">
      <c r="A17">
        <v>0.3</v>
      </c>
      <c r="B17">
        <v>10</v>
      </c>
      <c r="C17" s="6">
        <v>0.83899999999999997</v>
      </c>
      <c r="D17" s="6">
        <v>3.124E-2</v>
      </c>
      <c r="E17" s="6">
        <v>0.78581000000000001</v>
      </c>
      <c r="F17" s="6">
        <f t="shared" si="6"/>
        <v>2.5586015097338106E-2</v>
      </c>
      <c r="G17" s="6">
        <f t="shared" si="0"/>
        <v>0.98503650742303805</v>
      </c>
      <c r="H17" s="6">
        <f t="shared" si="1"/>
        <v>3.0333664738038828E-2</v>
      </c>
      <c r="I17" s="6">
        <f t="shared" si="2"/>
        <v>0.83906223116228174</v>
      </c>
      <c r="J17" s="6">
        <f t="shared" si="3"/>
        <v>2.0254400000000016E-3</v>
      </c>
      <c r="K17" s="6">
        <f t="shared" si="4"/>
        <v>-14.825491879999998</v>
      </c>
      <c r="L17" s="6">
        <f t="shared" si="5"/>
        <v>2.9878858020891093</v>
      </c>
      <c r="M17" s="6">
        <f t="shared" si="5"/>
        <v>-6.3466366598954078</v>
      </c>
      <c r="N17" s="6">
        <f t="shared" si="5"/>
        <v>1163.2324382523345</v>
      </c>
    </row>
    <row r="18" spans="1:14">
      <c r="A18">
        <v>0.35699999999999998</v>
      </c>
      <c r="B18">
        <v>10</v>
      </c>
      <c r="C18" s="6">
        <v>0.84191000000000005</v>
      </c>
      <c r="D18" s="6">
        <v>3.1119999999999998E-2</v>
      </c>
      <c r="E18" s="6">
        <v>0.78569999999999995</v>
      </c>
      <c r="F18" s="6">
        <f t="shared" si="6"/>
        <v>2.5036722056593533E-2</v>
      </c>
      <c r="G18" s="6">
        <f t="shared" si="0"/>
        <v>0.98619931424124885</v>
      </c>
      <c r="H18" s="6">
        <f t="shared" si="1"/>
        <v>3.0297898953506874E-2</v>
      </c>
      <c r="I18" s="6">
        <f t="shared" si="2"/>
        <v>0.83906223116228174</v>
      </c>
      <c r="J18" s="6">
        <f t="shared" si="3"/>
        <v>1.8658413242924003E-3</v>
      </c>
      <c r="K18" s="6">
        <f t="shared" si="4"/>
        <v>-14.630847147998733</v>
      </c>
      <c r="L18" s="6">
        <f t="shared" si="5"/>
        <v>2.7133929245544888</v>
      </c>
      <c r="M18" s="6">
        <f t="shared" si="5"/>
        <v>-6.3597465337420331</v>
      </c>
      <c r="N18" s="6">
        <f t="shared" si="5"/>
        <v>1241.8462615564824</v>
      </c>
    </row>
    <row r="19" spans="1:14">
      <c r="A19">
        <v>0.4</v>
      </c>
      <c r="B19">
        <v>10</v>
      </c>
      <c r="C19" s="6">
        <v>0.84265000000000001</v>
      </c>
      <c r="D19" s="6">
        <v>3.1E-2</v>
      </c>
      <c r="E19" s="6">
        <v>0.78454000000000002</v>
      </c>
      <c r="F19" s="6">
        <f t="shared" si="6"/>
        <v>2.4897644336319944E-2</v>
      </c>
      <c r="G19" s="6">
        <f t="shared" si="0"/>
        <v>0.9856190298591313</v>
      </c>
      <c r="H19" s="6">
        <f t="shared" si="1"/>
        <v>3.0315736877736289E-2</v>
      </c>
      <c r="I19" s="6">
        <f t="shared" si="2"/>
        <v>0.83906223116228174</v>
      </c>
      <c r="J19" s="6">
        <f t="shared" si="3"/>
        <v>1.9454400000000031E-3</v>
      </c>
      <c r="K19" s="6">
        <f t="shared" si="4"/>
        <v>-14.50550623799999</v>
      </c>
      <c r="L19" s="6">
        <f t="shared" si="5"/>
        <v>2.2571218539841253</v>
      </c>
      <c r="M19" s="6">
        <f t="shared" si="5"/>
        <v>-6.4979961124881882</v>
      </c>
      <c r="N19" s="6">
        <f t="shared" si="5"/>
        <v>1179.7950251007435</v>
      </c>
    </row>
    <row r="20" spans="1:14">
      <c r="A20">
        <v>0.5</v>
      </c>
      <c r="B20">
        <v>10</v>
      </c>
      <c r="C20" s="6">
        <v>0.84267000000000003</v>
      </c>
      <c r="D20" s="6">
        <v>3.0759999999999999E-2</v>
      </c>
      <c r="E20" s="6">
        <v>0.78149999999999997</v>
      </c>
      <c r="F20" s="6">
        <f t="shared" si="6"/>
        <v>2.4893888869110481E-2</v>
      </c>
      <c r="G20" s="6">
        <f t="shared" si="0"/>
        <v>0.98087297694948494</v>
      </c>
      <c r="H20" s="6">
        <f t="shared" si="1"/>
        <v>3.0462422630731668E-2</v>
      </c>
      <c r="I20" s="6">
        <f t="shared" si="2"/>
        <v>0.83906223116228174</v>
      </c>
      <c r="J20" s="6">
        <f t="shared" si="3"/>
        <v>2.6000000000000016E-3</v>
      </c>
      <c r="K20" s="6">
        <f t="shared" si="4"/>
        <v>-14.089793499999988</v>
      </c>
      <c r="L20" s="6">
        <f t="shared" si="5"/>
        <v>0.97686704985874595</v>
      </c>
      <c r="M20" s="6">
        <f t="shared" si="5"/>
        <v>-6.8603053533402027</v>
      </c>
      <c r="N20" s="6">
        <f t="shared" si="5"/>
        <v>857.45726419655637</v>
      </c>
    </row>
    <row r="21" spans="1:14">
      <c r="A21">
        <v>0.6</v>
      </c>
      <c r="B21">
        <v>10</v>
      </c>
      <c r="C21" s="6">
        <v>0.84214999999999995</v>
      </c>
      <c r="D21" s="6">
        <v>3.0300000000000001E-2</v>
      </c>
      <c r="E21" s="6">
        <v>0.77534000000000003</v>
      </c>
      <c r="F21" s="6">
        <f t="shared" si="6"/>
        <v>2.4991588988501661E-2</v>
      </c>
      <c r="G21" s="6">
        <f t="shared" si="0"/>
        <v>0.97331861156489385</v>
      </c>
      <c r="H21" s="6">
        <f t="shared" si="1"/>
        <v>3.0698855252401555E-2</v>
      </c>
      <c r="I21" s="6">
        <f t="shared" si="2"/>
        <v>0.83906223116228174</v>
      </c>
      <c r="J21" s="6">
        <f t="shared" si="3"/>
        <v>3.6550399999999983E-3</v>
      </c>
      <c r="K21" s="6">
        <f t="shared" si="4"/>
        <v>-13.476431048000004</v>
      </c>
      <c r="L21" s="6">
        <f t="shared" si="5"/>
        <v>-1.2992512232857685</v>
      </c>
      <c r="M21" s="6">
        <f t="shared" si="5"/>
        <v>-7.5944582887508476</v>
      </c>
      <c r="N21" s="6">
        <f t="shared" si="5"/>
        <v>583.75692163428232</v>
      </c>
    </row>
    <row r="22" spans="1:14">
      <c r="A22">
        <v>0.8</v>
      </c>
      <c r="B22">
        <v>10</v>
      </c>
      <c r="C22" s="6">
        <v>0.83665999999999996</v>
      </c>
      <c r="D22" s="6">
        <v>0.03</v>
      </c>
      <c r="E22" s="6">
        <v>0.76898</v>
      </c>
      <c r="F22" s="6">
        <f t="shared" si="6"/>
        <v>2.6030486298695615E-2</v>
      </c>
      <c r="G22" s="6">
        <f t="shared" si="0"/>
        <v>0.95516202031285757</v>
      </c>
      <c r="H22" s="6">
        <f t="shared" si="1"/>
        <v>3.1282407105249217E-2</v>
      </c>
      <c r="I22" s="6">
        <f t="shared" si="2"/>
        <v>0.83906223116228174</v>
      </c>
      <c r="J22" s="6">
        <f t="shared" si="3"/>
        <v>6.2590400000000074E-3</v>
      </c>
      <c r="K22" s="6">
        <f t="shared" si="4"/>
        <v>-12.406483695200004</v>
      </c>
      <c r="L22" s="6">
        <f t="shared" si="5"/>
        <v>-4.0994514934051516</v>
      </c>
      <c r="M22" s="6">
        <f t="shared" si="5"/>
        <v>-8.3524473584280834</v>
      </c>
      <c r="N22" s="6">
        <f t="shared" si="5"/>
        <v>315.88624291737364</v>
      </c>
    </row>
    <row r="23" spans="1:14">
      <c r="A23" s="5">
        <v>1</v>
      </c>
      <c r="B23" s="5">
        <v>10</v>
      </c>
      <c r="C23" s="7">
        <v>0.82884999999999998</v>
      </c>
      <c r="D23" s="7">
        <v>2.946E-2</v>
      </c>
      <c r="E23" s="7">
        <v>0.75854999999999995</v>
      </c>
      <c r="F23" s="7">
        <f t="shared" si="6"/>
        <v>2.7532122820775776E-2</v>
      </c>
      <c r="G23" s="7">
        <f t="shared" si="0"/>
        <v>0.93283582089552231</v>
      </c>
      <c r="H23" s="7">
        <f t="shared" si="1"/>
        <v>3.2031110407203869E-2</v>
      </c>
      <c r="I23" s="7">
        <f t="shared" si="2"/>
        <v>0.83906223116228174</v>
      </c>
      <c r="J23" s="7">
        <f t="shared" si="3"/>
        <v>9.6000000000000044E-3</v>
      </c>
      <c r="K23" s="7">
        <f t="shared" si="4"/>
        <v>-11.147279999999995</v>
      </c>
      <c r="L23" s="7">
        <f t="shared" si="5"/>
        <v>-8.0269162527241651</v>
      </c>
      <c r="M23" s="7">
        <f t="shared" si="5"/>
        <v>-9.5955017604302153</v>
      </c>
      <c r="N23" s="7">
        <f t="shared" si="5"/>
        <v>186.79294604974754</v>
      </c>
    </row>
    <row r="25" spans="1:14">
      <c r="E25" t="s">
        <v>30</v>
      </c>
      <c r="F25">
        <f>MIN(F13:F23)</f>
        <v>2.4893888869110481E-2</v>
      </c>
    </row>
  </sheetData>
  <mergeCells count="6">
    <mergeCell ref="K11:N11"/>
    <mergeCell ref="A1:J3"/>
    <mergeCell ref="A11:A12"/>
    <mergeCell ref="B11:B12"/>
    <mergeCell ref="C11:F11"/>
    <mergeCell ref="G11:J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N25"/>
  <sheetViews>
    <sheetView workbookViewId="0">
      <selection activeCell="A4" sqref="A4"/>
    </sheetView>
  </sheetViews>
  <sheetFormatPr baseColWidth="10" defaultColWidth="9.140625" defaultRowHeight="15"/>
  <cols>
    <col min="5" max="5" width="12.7109375" customWidth="1"/>
  </cols>
  <sheetData>
    <row r="1" spans="1:14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</row>
    <row r="2" spans="1:14">
      <c r="A2" s="10"/>
      <c r="B2" s="10"/>
      <c r="C2" s="10"/>
      <c r="D2" s="10"/>
      <c r="E2" s="10"/>
      <c r="F2" s="10"/>
      <c r="G2" s="10"/>
      <c r="H2" s="10"/>
      <c r="I2" s="10"/>
      <c r="J2" s="10"/>
    </row>
    <row r="3" spans="1:14">
      <c r="A3" s="10"/>
      <c r="B3" s="10"/>
      <c r="C3" s="10"/>
      <c r="D3" s="10"/>
      <c r="E3" s="10"/>
      <c r="F3" s="10"/>
      <c r="G3" s="10"/>
      <c r="H3" s="10"/>
      <c r="I3" s="10"/>
      <c r="J3" s="10"/>
    </row>
    <row r="5" spans="1:14">
      <c r="A5" s="1" t="s">
        <v>16</v>
      </c>
    </row>
    <row r="7" spans="1:14">
      <c r="A7" t="s">
        <v>9</v>
      </c>
      <c r="B7">
        <v>0.2</v>
      </c>
      <c r="D7" t="s">
        <v>19</v>
      </c>
    </row>
    <row r="8" spans="1:14">
      <c r="A8" s="2" t="s">
        <v>10</v>
      </c>
      <c r="B8">
        <f>SQRT(1-(B7)^2)</f>
        <v>0.9797958971132712</v>
      </c>
    </row>
    <row r="9" spans="1:14">
      <c r="A9" s="2" t="s">
        <v>11</v>
      </c>
      <c r="B9">
        <v>0.97440099999999996</v>
      </c>
    </row>
    <row r="11" spans="1:14">
      <c r="A11" s="17" t="s">
        <v>17</v>
      </c>
      <c r="B11" s="14" t="s">
        <v>8</v>
      </c>
      <c r="C11" s="16" t="s">
        <v>29</v>
      </c>
      <c r="D11" s="16"/>
      <c r="E11" s="16"/>
      <c r="F11" s="16"/>
      <c r="G11" s="16" t="s">
        <v>5</v>
      </c>
      <c r="H11" s="16"/>
      <c r="I11" s="16"/>
      <c r="J11" s="16"/>
      <c r="K11" s="12" t="s">
        <v>6</v>
      </c>
      <c r="L11" s="13"/>
      <c r="M11" s="13"/>
      <c r="N11" s="13"/>
    </row>
    <row r="12" spans="1:14">
      <c r="A12" s="18"/>
      <c r="B12" s="15"/>
      <c r="C12" s="5" t="s">
        <v>2</v>
      </c>
      <c r="D12" s="5" t="s">
        <v>13</v>
      </c>
      <c r="E12" s="5" t="s">
        <v>3</v>
      </c>
      <c r="F12" s="5" t="s">
        <v>4</v>
      </c>
      <c r="G12" s="5" t="s">
        <v>2</v>
      </c>
      <c r="H12" s="5" t="s">
        <v>13</v>
      </c>
      <c r="I12" s="5" t="s">
        <v>3</v>
      </c>
      <c r="J12" s="5" t="s">
        <v>4</v>
      </c>
      <c r="K12" s="5" t="s">
        <v>2</v>
      </c>
      <c r="L12" s="5" t="s">
        <v>13</v>
      </c>
      <c r="M12" s="5" t="s">
        <v>3</v>
      </c>
      <c r="N12" s="5" t="s">
        <v>4</v>
      </c>
    </row>
    <row r="13" spans="1:14" s="3" customFormat="1">
      <c r="A13">
        <v>0.05</v>
      </c>
      <c r="B13">
        <v>10</v>
      </c>
      <c r="C13" s="6">
        <v>0.77219000000000004</v>
      </c>
      <c r="D13" s="6">
        <v>2.8039999999999999E-2</v>
      </c>
      <c r="E13" s="6">
        <v>0.82479999999999998</v>
      </c>
      <c r="F13" s="6">
        <f t="shared" ref="F13:F23" si="0">(1-C13)/(C13*10)</f>
        <v>2.9501806550201366E-2</v>
      </c>
      <c r="G13" s="6">
        <f t="shared" ref="G13:G23" si="1">1/(1+J13*10)</f>
        <v>0.91940219274205071</v>
      </c>
      <c r="H13" s="6">
        <f t="shared" ref="H13:H23" si="2">(I13^2)/(PI()*10*G13)</f>
        <v>2.7734559680156583E-2</v>
      </c>
      <c r="I13" s="6">
        <f t="shared" ref="I13:I23" si="3">((PI()/180)*(2*PI()*10)/(2+SQRT((((10^2)*($B$8^2)/($B$9^2))*1+4))))*B13</f>
        <v>0.89503154395892615</v>
      </c>
      <c r="J13" s="6">
        <f t="shared" ref="J13:J23" si="4">0.0524*(A13^4)-0.15*(A13^3)+0.1659*(A13^2)-0.0706*(A13)+0.0119</f>
        <v>8.7663275000000006E-3</v>
      </c>
      <c r="K13" s="6">
        <f t="shared" ref="K13:K23" si="5">((C13-G13)/G13)*100</f>
        <v>-16.011729567775003</v>
      </c>
      <c r="L13" s="6">
        <f t="shared" ref="L13:N23" si="6">((D13-H13)/H13)*100</f>
        <v>1.1012986085441676</v>
      </c>
      <c r="M13" s="6">
        <f t="shared" si="6"/>
        <v>-7.8468233251619512</v>
      </c>
      <c r="N13" s="6">
        <f t="shared" si="6"/>
        <v>236.53552813537212</v>
      </c>
    </row>
    <row r="14" spans="1:14" s="3" customFormat="1">
      <c r="A14">
        <v>0.1</v>
      </c>
      <c r="B14">
        <v>10</v>
      </c>
      <c r="C14" s="6">
        <v>0.79566999999999999</v>
      </c>
      <c r="D14" s="6">
        <v>2.777E-2</v>
      </c>
      <c r="E14" s="6">
        <v>0.83323000000000003</v>
      </c>
      <c r="F14" s="6">
        <f t="shared" si="0"/>
        <v>2.5680244322394966E-2</v>
      </c>
      <c r="G14" s="6">
        <f t="shared" si="1"/>
        <v>0.94025400397765058</v>
      </c>
      <c r="H14" s="6">
        <f t="shared" si="2"/>
        <v>2.7119496302913205E-2</v>
      </c>
      <c r="I14" s="6">
        <f t="shared" si="3"/>
        <v>0.89503154395892615</v>
      </c>
      <c r="J14" s="6">
        <f t="shared" si="4"/>
        <v>6.3542400000000006E-3</v>
      </c>
      <c r="K14" s="6">
        <f t="shared" si="5"/>
        <v>-15.377121859200004</v>
      </c>
      <c r="L14" s="6">
        <f t="shared" si="6"/>
        <v>2.3986570024050078</v>
      </c>
      <c r="M14" s="6">
        <f t="shared" si="6"/>
        <v>-6.9049570795643653</v>
      </c>
      <c r="N14" s="6">
        <f t="shared" si="6"/>
        <v>304.14344315598663</v>
      </c>
    </row>
    <row r="15" spans="1:14" s="3" customFormat="1">
      <c r="A15">
        <v>0.15</v>
      </c>
      <c r="B15">
        <v>10</v>
      </c>
      <c r="C15" s="6">
        <v>0.80969000000000002</v>
      </c>
      <c r="D15" s="6">
        <v>2.785E-2</v>
      </c>
      <c r="E15" s="6">
        <v>0.84160000000000001</v>
      </c>
      <c r="F15" s="6">
        <f t="shared" si="0"/>
        <v>2.3504057108276005E-2</v>
      </c>
      <c r="G15" s="6">
        <f t="shared" si="1"/>
        <v>0.95636098524404345</v>
      </c>
      <c r="H15" s="6">
        <f t="shared" si="2"/>
        <v>2.6662751176705895E-2</v>
      </c>
      <c r="I15" s="6">
        <f t="shared" si="3"/>
        <v>0.89503154395892615</v>
      </c>
      <c r="J15" s="6">
        <f t="shared" si="4"/>
        <v>4.5630275000000022E-3</v>
      </c>
      <c r="K15" s="6">
        <f t="shared" si="5"/>
        <v>-15.336362263525006</v>
      </c>
      <c r="L15" s="6">
        <f t="shared" si="6"/>
        <v>4.4528369012847913</v>
      </c>
      <c r="M15" s="6">
        <f t="shared" si="6"/>
        <v>-5.9697945083126767</v>
      </c>
      <c r="N15" s="6">
        <f t="shared" si="6"/>
        <v>415.09786229155958</v>
      </c>
    </row>
    <row r="16" spans="1:14" s="3" customFormat="1">
      <c r="A16">
        <v>0.2</v>
      </c>
      <c r="B16">
        <v>10</v>
      </c>
      <c r="C16" s="6">
        <v>0.81916</v>
      </c>
      <c r="D16" s="6">
        <v>2.7779999999999999E-2</v>
      </c>
      <c r="E16" s="6">
        <v>0.84545999999999999</v>
      </c>
      <c r="F16" s="6">
        <f t="shared" si="0"/>
        <v>2.2076273255530056E-2</v>
      </c>
      <c r="G16" s="6">
        <f t="shared" si="1"/>
        <v>0.96805571044446914</v>
      </c>
      <c r="H16" s="6">
        <f t="shared" si="2"/>
        <v>2.634064828042141E-2</v>
      </c>
      <c r="I16" s="6">
        <f t="shared" si="3"/>
        <v>0.89503154395892615</v>
      </c>
      <c r="J16" s="6">
        <f t="shared" si="4"/>
        <v>3.2998400000000018E-3</v>
      </c>
      <c r="K16" s="6">
        <f t="shared" si="5"/>
        <v>-15.380903065599993</v>
      </c>
      <c r="L16" s="6">
        <f t="shared" si="6"/>
        <v>5.4643746966867068</v>
      </c>
      <c r="M16" s="6">
        <f t="shared" si="6"/>
        <v>-5.5385247920604064</v>
      </c>
      <c r="N16" s="6">
        <f t="shared" si="6"/>
        <v>569.01041430887688</v>
      </c>
    </row>
    <row r="17" spans="1:14" s="3" customFormat="1">
      <c r="A17">
        <v>0.3</v>
      </c>
      <c r="B17">
        <v>10</v>
      </c>
      <c r="C17" s="6">
        <v>0.83008000000000004</v>
      </c>
      <c r="D17" s="6">
        <v>2.751E-2</v>
      </c>
      <c r="E17" s="6">
        <v>0.84702</v>
      </c>
      <c r="F17" s="6">
        <f t="shared" si="0"/>
        <v>2.0470316114109478E-2</v>
      </c>
      <c r="G17" s="6">
        <f t="shared" si="1"/>
        <v>0.98014769649608957</v>
      </c>
      <c r="H17" s="6">
        <f t="shared" si="2"/>
        <v>2.6015686284656756E-2</v>
      </c>
      <c r="I17" s="6">
        <f t="shared" si="3"/>
        <v>0.89503154395892615</v>
      </c>
      <c r="J17" s="6">
        <f t="shared" si="4"/>
        <v>2.0254400000000016E-3</v>
      </c>
      <c r="K17" s="6">
        <f t="shared" si="5"/>
        <v>-15.310722764799994</v>
      </c>
      <c r="L17" s="6">
        <f t="shared" si="6"/>
        <v>5.743895044677501</v>
      </c>
      <c r="M17" s="6">
        <f t="shared" si="6"/>
        <v>-5.3642292590672591</v>
      </c>
      <c r="N17" s="6">
        <f t="shared" si="6"/>
        <v>910.66020786147521</v>
      </c>
    </row>
    <row r="18" spans="1:14" s="3" customFormat="1">
      <c r="A18">
        <v>0.35699999999999998</v>
      </c>
      <c r="B18">
        <v>10</v>
      </c>
      <c r="C18" s="6">
        <v>0.83277999999999996</v>
      </c>
      <c r="D18" s="6">
        <v>2.742E-2</v>
      </c>
      <c r="E18" s="6">
        <v>0.84704999999999997</v>
      </c>
      <c r="F18" s="6">
        <f t="shared" si="0"/>
        <v>2.0079732942673938E-2</v>
      </c>
      <c r="G18" s="6">
        <f t="shared" si="1"/>
        <v>0.98168334644827171</v>
      </c>
      <c r="H18" s="6">
        <f t="shared" si="2"/>
        <v>2.5974989875225386E-2</v>
      </c>
      <c r="I18" s="6">
        <f t="shared" si="3"/>
        <v>0.89503154395892615</v>
      </c>
      <c r="J18" s="6">
        <f t="shared" si="4"/>
        <v>1.8658413242924003E-3</v>
      </c>
      <c r="K18" s="6">
        <f t="shared" si="5"/>
        <v>-15.168164661955785</v>
      </c>
      <c r="L18" s="6">
        <f t="shared" si="6"/>
        <v>5.5630825332981031</v>
      </c>
      <c r="M18" s="6">
        <f t="shared" si="6"/>
        <v>-5.3608774218943172</v>
      </c>
      <c r="N18" s="6">
        <f t="shared" si="6"/>
        <v>976.17580773053965</v>
      </c>
    </row>
    <row r="19" spans="1:14" s="3" customFormat="1">
      <c r="A19">
        <v>0.4</v>
      </c>
      <c r="B19">
        <v>10</v>
      </c>
      <c r="C19" s="6">
        <v>0.83365</v>
      </c>
      <c r="D19" s="6">
        <v>2.7359999999999999E-2</v>
      </c>
      <c r="E19" s="6">
        <v>0.84653</v>
      </c>
      <c r="F19" s="6">
        <f t="shared" si="0"/>
        <v>1.995441732141786E-2</v>
      </c>
      <c r="G19" s="6">
        <f t="shared" si="1"/>
        <v>0.98091685120982353</v>
      </c>
      <c r="H19" s="6">
        <f t="shared" si="2"/>
        <v>2.5995286912669023E-2</v>
      </c>
      <c r="I19" s="6">
        <f t="shared" si="3"/>
        <v>0.89503154395892615</v>
      </c>
      <c r="J19" s="6">
        <f t="shared" si="4"/>
        <v>1.9454400000000031E-3</v>
      </c>
      <c r="K19" s="6">
        <f t="shared" si="5"/>
        <v>-15.013183943999991</v>
      </c>
      <c r="L19" s="6">
        <f t="shared" si="6"/>
        <v>5.249848143302744</v>
      </c>
      <c r="M19" s="6">
        <f t="shared" si="6"/>
        <v>-5.4189759328920282</v>
      </c>
      <c r="N19" s="6">
        <f t="shared" si="6"/>
        <v>925.70201709730588</v>
      </c>
    </row>
    <row r="20" spans="1:14" s="3" customFormat="1">
      <c r="A20">
        <v>0.5</v>
      </c>
      <c r="B20">
        <v>10</v>
      </c>
      <c r="C20" s="6">
        <v>0.83338000000000001</v>
      </c>
      <c r="D20" s="6">
        <v>2.7189999999999999E-2</v>
      </c>
      <c r="E20" s="6">
        <v>0.84375</v>
      </c>
      <c r="F20" s="6">
        <f t="shared" si="0"/>
        <v>1.9993280376298925E-2</v>
      </c>
      <c r="G20" s="6">
        <f t="shared" si="1"/>
        <v>0.97465886939571145</v>
      </c>
      <c r="H20" s="6">
        <f t="shared" si="2"/>
        <v>2.6162194574272685E-2</v>
      </c>
      <c r="I20" s="6">
        <f t="shared" si="3"/>
        <v>0.89503154395892615</v>
      </c>
      <c r="J20" s="6">
        <f t="shared" si="4"/>
        <v>2.6000000000000016E-3</v>
      </c>
      <c r="K20" s="6">
        <f t="shared" si="5"/>
        <v>-14.495211999999993</v>
      </c>
      <c r="L20" s="6">
        <f t="shared" si="6"/>
        <v>3.9285902518974272</v>
      </c>
      <c r="M20" s="6">
        <f t="shared" si="6"/>
        <v>-5.7295795109182768</v>
      </c>
      <c r="N20" s="6">
        <f t="shared" si="6"/>
        <v>668.9723221653428</v>
      </c>
    </row>
    <row r="21" spans="1:14" s="3" customFormat="1">
      <c r="A21">
        <v>0.6</v>
      </c>
      <c r="B21">
        <v>10</v>
      </c>
      <c r="C21" s="6">
        <v>0.83055999999999996</v>
      </c>
      <c r="D21" s="6">
        <v>2.699E-2</v>
      </c>
      <c r="E21" s="6">
        <v>0.83926999999999996</v>
      </c>
      <c r="F21" s="6">
        <f t="shared" si="0"/>
        <v>2.0400693507994609E-2</v>
      </c>
      <c r="G21" s="6">
        <f t="shared" si="1"/>
        <v>0.96473842468248538</v>
      </c>
      <c r="H21" s="6">
        <f t="shared" si="2"/>
        <v>2.6431221492046957E-2</v>
      </c>
      <c r="I21" s="6">
        <f t="shared" si="3"/>
        <v>0.89503154395892615</v>
      </c>
      <c r="J21" s="6">
        <f t="shared" si="4"/>
        <v>3.6550399999999983E-3</v>
      </c>
      <c r="K21" s="6">
        <f t="shared" si="5"/>
        <v>-13.908269977600012</v>
      </c>
      <c r="L21" s="6">
        <f t="shared" si="6"/>
        <v>2.1140850721605045</v>
      </c>
      <c r="M21" s="6">
        <f t="shared" si="6"/>
        <v>-6.2301205287447541</v>
      </c>
      <c r="N21" s="6">
        <f t="shared" si="6"/>
        <v>458.1524007396531</v>
      </c>
    </row>
    <row r="22" spans="1:14" s="3" customFormat="1">
      <c r="A22">
        <v>0.8</v>
      </c>
      <c r="B22">
        <v>10</v>
      </c>
      <c r="C22" s="6">
        <v>0.82086999999999999</v>
      </c>
      <c r="D22" s="6">
        <v>2.6579999999999999E-2</v>
      </c>
      <c r="E22" s="6">
        <v>0.82796999999999998</v>
      </c>
      <c r="F22" s="6">
        <f t="shared" si="0"/>
        <v>2.18219693739569E-2</v>
      </c>
      <c r="G22" s="6">
        <f t="shared" si="1"/>
        <v>0.94109639989218785</v>
      </c>
      <c r="H22" s="6">
        <f t="shared" si="2"/>
        <v>2.7095221050247802E-2</v>
      </c>
      <c r="I22" s="6">
        <f t="shared" si="3"/>
        <v>0.89503154395892615</v>
      </c>
      <c r="J22" s="6">
        <f t="shared" si="4"/>
        <v>6.2590400000000074E-3</v>
      </c>
      <c r="K22" s="6">
        <f t="shared" si="5"/>
        <v>-12.775141835199989</v>
      </c>
      <c r="L22" s="6">
        <f t="shared" si="6"/>
        <v>-1.9015200108252677</v>
      </c>
      <c r="M22" s="6">
        <f t="shared" si="6"/>
        <v>-7.4926458638874163</v>
      </c>
      <c r="N22" s="6">
        <f t="shared" si="6"/>
        <v>248.64722663470556</v>
      </c>
    </row>
    <row r="23" spans="1:14" s="3" customFormat="1">
      <c r="A23" s="5">
        <v>1</v>
      </c>
      <c r="B23" s="5">
        <v>10</v>
      </c>
      <c r="C23" s="7">
        <v>0.80916999999999994</v>
      </c>
      <c r="D23" s="7">
        <v>2.631E-2</v>
      </c>
      <c r="E23" s="7">
        <v>0.81774999999999998</v>
      </c>
      <c r="F23" s="7">
        <f t="shared" si="0"/>
        <v>2.358342499104021E-2</v>
      </c>
      <c r="G23" s="7">
        <f t="shared" si="1"/>
        <v>0.91240875912408748</v>
      </c>
      <c r="H23" s="7">
        <f t="shared" si="2"/>
        <v>2.7947139623199672E-2</v>
      </c>
      <c r="I23" s="7">
        <f t="shared" si="3"/>
        <v>0.89503154395892615</v>
      </c>
      <c r="J23" s="7">
        <f t="shared" si="4"/>
        <v>9.6000000000000044E-3</v>
      </c>
      <c r="K23" s="7">
        <f t="shared" si="5"/>
        <v>-11.314967999999995</v>
      </c>
      <c r="L23" s="7">
        <f t="shared" si="6"/>
        <v>-5.8579863459108283</v>
      </c>
      <c r="M23" s="7">
        <f t="shared" si="6"/>
        <v>-8.6345050608040577</v>
      </c>
      <c r="N23" s="7">
        <f t="shared" si="6"/>
        <v>145.66067699000206</v>
      </c>
    </row>
    <row r="25" spans="1:14">
      <c r="E25" t="s">
        <v>30</v>
      </c>
      <c r="F25">
        <f>MIN(F13:F23)</f>
        <v>1.995441732141786E-2</v>
      </c>
    </row>
  </sheetData>
  <mergeCells count="6">
    <mergeCell ref="K11:N11"/>
    <mergeCell ref="A1:J3"/>
    <mergeCell ref="A11:A12"/>
    <mergeCell ref="B11:B12"/>
    <mergeCell ref="C11:F11"/>
    <mergeCell ref="G11:J1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N25"/>
  <sheetViews>
    <sheetView workbookViewId="0">
      <selection activeCell="A4" sqref="A4"/>
    </sheetView>
  </sheetViews>
  <sheetFormatPr baseColWidth="10" defaultColWidth="9.140625" defaultRowHeight="15"/>
  <cols>
    <col min="5" max="5" width="13" customWidth="1"/>
  </cols>
  <sheetData>
    <row r="1" spans="1:14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</row>
    <row r="2" spans="1:14">
      <c r="A2" s="10"/>
      <c r="B2" s="10"/>
      <c r="C2" s="10"/>
      <c r="D2" s="10"/>
      <c r="E2" s="10"/>
      <c r="F2" s="10"/>
      <c r="G2" s="10"/>
      <c r="H2" s="10"/>
      <c r="I2" s="10"/>
      <c r="J2" s="10"/>
    </row>
    <row r="3" spans="1:14">
      <c r="A3" s="10"/>
      <c r="B3" s="10"/>
      <c r="C3" s="10"/>
      <c r="D3" s="10"/>
      <c r="E3" s="10"/>
      <c r="F3" s="10"/>
      <c r="G3" s="10"/>
      <c r="H3" s="10"/>
      <c r="I3" s="10"/>
      <c r="J3" s="10"/>
    </row>
    <row r="5" spans="1:14">
      <c r="A5" s="1" t="s">
        <v>15</v>
      </c>
    </row>
    <row r="7" spans="1:14">
      <c r="A7" t="s">
        <v>9</v>
      </c>
      <c r="B7">
        <v>0.2</v>
      </c>
      <c r="D7" t="s">
        <v>20</v>
      </c>
    </row>
    <row r="8" spans="1:14">
      <c r="A8" s="2" t="s">
        <v>10</v>
      </c>
      <c r="B8">
        <f>SQRT(1-(B7)^2)</f>
        <v>0.9797958971132712</v>
      </c>
    </row>
    <row r="9" spans="1:14">
      <c r="A9" s="2" t="s">
        <v>11</v>
      </c>
      <c r="B9">
        <v>0.97440099999999996</v>
      </c>
    </row>
    <row r="11" spans="1:14">
      <c r="A11" s="17" t="s">
        <v>17</v>
      </c>
      <c r="B11" s="14" t="s">
        <v>8</v>
      </c>
      <c r="C11" s="16" t="s">
        <v>29</v>
      </c>
      <c r="D11" s="16"/>
      <c r="E11" s="16"/>
      <c r="F11" s="16"/>
      <c r="G11" s="16" t="s">
        <v>5</v>
      </c>
      <c r="H11" s="16"/>
      <c r="I11" s="16"/>
      <c r="J11" s="16"/>
      <c r="K11" s="12" t="s">
        <v>6</v>
      </c>
      <c r="L11" s="13"/>
      <c r="M11" s="13"/>
      <c r="N11" s="13"/>
    </row>
    <row r="12" spans="1:14">
      <c r="A12" s="18"/>
      <c r="B12" s="15"/>
      <c r="C12" s="5" t="s">
        <v>2</v>
      </c>
      <c r="D12" s="5" t="s">
        <v>13</v>
      </c>
      <c r="E12" s="5" t="s">
        <v>3</v>
      </c>
      <c r="F12" s="5" t="s">
        <v>4</v>
      </c>
      <c r="G12" s="5" t="s">
        <v>2</v>
      </c>
      <c r="H12" s="5" t="s">
        <v>13</v>
      </c>
      <c r="I12" s="5" t="s">
        <v>3</v>
      </c>
      <c r="J12" s="5" t="s">
        <v>4</v>
      </c>
      <c r="K12" s="5" t="s">
        <v>2</v>
      </c>
      <c r="L12" s="5" t="s">
        <v>13</v>
      </c>
      <c r="M12" s="5" t="s">
        <v>3</v>
      </c>
      <c r="N12" s="5" t="s">
        <v>4</v>
      </c>
    </row>
    <row r="13" spans="1:14">
      <c r="A13">
        <v>0.05</v>
      </c>
      <c r="B13">
        <v>10</v>
      </c>
      <c r="C13" s="6">
        <v>0.73011000000000004</v>
      </c>
      <c r="D13" s="6">
        <v>1.915E-2</v>
      </c>
      <c r="E13" s="6">
        <v>0.93720000000000003</v>
      </c>
      <c r="F13" s="6">
        <f t="shared" ref="F13:F23" si="0">(1-C13)/(C13*20)</f>
        <v>1.8482831354179503E-2</v>
      </c>
      <c r="G13" s="6">
        <f t="shared" ref="G13:G23" si="1">1/(1+J13*20)</f>
        <v>0.85082737218860571</v>
      </c>
      <c r="H13" s="6">
        <f t="shared" ref="H13:H23" si="2">(I13^2)/(PI()*20*G13)</f>
        <v>1.8241413037077853E-2</v>
      </c>
      <c r="I13" s="6">
        <f t="shared" ref="I13:I23" si="3">((PI()/180)*(2*PI()*20)/(2+SQRT((((20^2)*($B$8^2)/($B$9^2))*1+4))))*B13</f>
        <v>0.98750635544211196</v>
      </c>
      <c r="J13" s="6">
        <f t="shared" ref="J13:J23" si="4">0.0524*(A13^4)-0.15*(A13^3)+0.1659*(A13^2)-0.0706*(A13)+0.0119</f>
        <v>8.7663275000000006E-3</v>
      </c>
      <c r="K13" s="6">
        <f t="shared" ref="K13:K23" si="5">((C13-G13)/G13)*100</f>
        <v>-14.188233257949987</v>
      </c>
      <c r="L13" s="6">
        <f t="shared" ref="L13:N23" si="6">((D13-H13)/H13)*100</f>
        <v>4.9809023077068426</v>
      </c>
      <c r="M13" s="6">
        <f t="shared" si="6"/>
        <v>-5.0942816889101943</v>
      </c>
      <c r="N13" s="6">
        <f t="shared" si="6"/>
        <v>110.83893288471714</v>
      </c>
    </row>
    <row r="14" spans="1:14">
      <c r="A14">
        <v>0.1</v>
      </c>
      <c r="B14">
        <v>10</v>
      </c>
      <c r="C14" s="6">
        <v>0.76180999999999999</v>
      </c>
      <c r="D14" s="6">
        <v>1.864E-2</v>
      </c>
      <c r="E14" s="6">
        <v>0.94455999999999996</v>
      </c>
      <c r="F14" s="6">
        <f t="shared" si="0"/>
        <v>1.5633163124663632E-2</v>
      </c>
      <c r="G14" s="6">
        <f t="shared" si="1"/>
        <v>0.88724468646902166</v>
      </c>
      <c r="H14" s="6">
        <f t="shared" si="2"/>
        <v>1.7492686917191042E-2</v>
      </c>
      <c r="I14" s="6">
        <f t="shared" si="3"/>
        <v>0.98750635544211196</v>
      </c>
      <c r="J14" s="6">
        <f t="shared" si="4"/>
        <v>6.3542400000000006E-3</v>
      </c>
      <c r="K14" s="6">
        <f t="shared" si="5"/>
        <v>-14.137552851200001</v>
      </c>
      <c r="L14" s="6">
        <f t="shared" si="6"/>
        <v>6.5588156252967016</v>
      </c>
      <c r="M14" s="6">
        <f t="shared" si="6"/>
        <v>-4.3489700299584086</v>
      </c>
      <c r="N14" s="6">
        <f t="shared" si="6"/>
        <v>146.02726879475171</v>
      </c>
    </row>
    <row r="15" spans="1:14">
      <c r="A15">
        <v>0.15</v>
      </c>
      <c r="B15">
        <v>10</v>
      </c>
      <c r="C15" s="6">
        <v>0.78432000000000002</v>
      </c>
      <c r="D15" s="6">
        <v>1.8290000000000001E-2</v>
      </c>
      <c r="E15" s="6">
        <v>0.94933000000000001</v>
      </c>
      <c r="F15" s="6">
        <f t="shared" si="0"/>
        <v>1.3749490004079965E-2</v>
      </c>
      <c r="G15" s="6">
        <f t="shared" si="1"/>
        <v>0.9163714385166768</v>
      </c>
      <c r="H15" s="6">
        <f t="shared" si="2"/>
        <v>1.6936684042080687E-2</v>
      </c>
      <c r="I15" s="6">
        <f t="shared" si="3"/>
        <v>0.98750635544211196</v>
      </c>
      <c r="J15" s="6">
        <f t="shared" si="4"/>
        <v>4.5630275000000022E-3</v>
      </c>
      <c r="K15" s="6">
        <f t="shared" si="5"/>
        <v>-14.41025254239999</v>
      </c>
      <c r="L15" s="6">
        <f t="shared" si="6"/>
        <v>7.9904422527862078</v>
      </c>
      <c r="M15" s="6">
        <f t="shared" si="6"/>
        <v>-3.8659351640344828</v>
      </c>
      <c r="N15" s="6">
        <f t="shared" si="6"/>
        <v>201.32384703094507</v>
      </c>
    </row>
    <row r="16" spans="1:14">
      <c r="A16">
        <v>0.2</v>
      </c>
      <c r="B16">
        <v>10</v>
      </c>
      <c r="C16" s="6">
        <v>0.79844000000000004</v>
      </c>
      <c r="D16" s="6">
        <v>1.8069999999999999E-2</v>
      </c>
      <c r="E16" s="6">
        <v>0.95211000000000001</v>
      </c>
      <c r="F16" s="6">
        <f t="shared" si="0"/>
        <v>1.2622113120585138E-2</v>
      </c>
      <c r="G16" s="6">
        <f t="shared" si="1"/>
        <v>0.93808911996733957</v>
      </c>
      <c r="H16" s="6">
        <f t="shared" si="2"/>
        <v>1.6544583226681359E-2</v>
      </c>
      <c r="I16" s="6">
        <f t="shared" si="3"/>
        <v>0.98750635544211196</v>
      </c>
      <c r="J16" s="6">
        <f t="shared" si="4"/>
        <v>3.2998400000000018E-3</v>
      </c>
      <c r="K16" s="6">
        <f t="shared" si="5"/>
        <v>-14.886551500800001</v>
      </c>
      <c r="L16" s="6">
        <f t="shared" si="6"/>
        <v>9.2200374734046413</v>
      </c>
      <c r="M16" s="6">
        <f t="shared" si="6"/>
        <v>-3.5844179885064951</v>
      </c>
      <c r="N16" s="6">
        <f t="shared" si="6"/>
        <v>282.5068221666848</v>
      </c>
    </row>
    <row r="17" spans="1:14" s="3" customFormat="1">
      <c r="A17">
        <v>0.3</v>
      </c>
      <c r="B17">
        <v>10</v>
      </c>
      <c r="C17" s="6">
        <v>0.81355999999999995</v>
      </c>
      <c r="D17" s="6">
        <v>1.78E-2</v>
      </c>
      <c r="E17" s="6">
        <v>0.95377999999999996</v>
      </c>
      <c r="F17" s="6">
        <f t="shared" si="0"/>
        <v>1.1458282118098238E-2</v>
      </c>
      <c r="G17" s="6">
        <f t="shared" si="1"/>
        <v>0.96106827736584255</v>
      </c>
      <c r="H17" s="6">
        <f t="shared" si="2"/>
        <v>1.6149001985460321E-2</v>
      </c>
      <c r="I17" s="6">
        <f t="shared" si="3"/>
        <v>0.98750635544211196</v>
      </c>
      <c r="J17" s="6">
        <f t="shared" si="4"/>
        <v>2.0254400000000016E-3</v>
      </c>
      <c r="K17" s="6">
        <f t="shared" si="5"/>
        <v>-15.348366067200004</v>
      </c>
      <c r="L17" s="6">
        <f t="shared" si="6"/>
        <v>10.223529701873513</v>
      </c>
      <c r="M17" s="6">
        <f t="shared" si="6"/>
        <v>-3.4153051528476017</v>
      </c>
      <c r="N17" s="6">
        <f t="shared" si="6"/>
        <v>465.71817077268287</v>
      </c>
    </row>
    <row r="18" spans="1:14" s="3" customFormat="1">
      <c r="A18">
        <v>0.35699999999999998</v>
      </c>
      <c r="B18">
        <v>10</v>
      </c>
      <c r="C18" s="6">
        <v>0.81669999999999998</v>
      </c>
      <c r="D18" s="6">
        <v>1.771E-2</v>
      </c>
      <c r="E18" s="6">
        <v>0.95323000000000002</v>
      </c>
      <c r="F18" s="6">
        <f t="shared" si="0"/>
        <v>1.1221990939145342E-2</v>
      </c>
      <c r="G18" s="6">
        <f t="shared" si="1"/>
        <v>0.96402562309505035</v>
      </c>
      <c r="H18" s="6">
        <f t="shared" si="2"/>
        <v>1.6099461619614713E-2</v>
      </c>
      <c r="I18" s="6">
        <f t="shared" si="3"/>
        <v>0.98750635544211196</v>
      </c>
      <c r="J18" s="6">
        <f t="shared" si="4"/>
        <v>1.8658413242924003E-3</v>
      </c>
      <c r="K18" s="6">
        <f t="shared" si="5"/>
        <v>-15.282334780900783</v>
      </c>
      <c r="L18" s="6">
        <f t="shared" si="6"/>
        <v>10.003678498311363</v>
      </c>
      <c r="M18" s="6">
        <f t="shared" si="6"/>
        <v>-3.4710009969268736</v>
      </c>
      <c r="N18" s="6">
        <f t="shared" si="6"/>
        <v>501.44401311302067</v>
      </c>
    </row>
    <row r="19" spans="1:14" s="3" customFormat="1">
      <c r="A19">
        <v>0.4</v>
      </c>
      <c r="B19">
        <v>10</v>
      </c>
      <c r="C19" s="6">
        <v>0.81720999999999999</v>
      </c>
      <c r="D19" s="6">
        <v>1.7649999999999999E-2</v>
      </c>
      <c r="E19" s="6">
        <v>0.95206999999999997</v>
      </c>
      <c r="F19" s="6">
        <f t="shared" si="0"/>
        <v>1.1183783849928415E-2</v>
      </c>
      <c r="G19" s="6">
        <f t="shared" si="1"/>
        <v>0.96254839693339789</v>
      </c>
      <c r="H19" s="6">
        <f t="shared" si="2"/>
        <v>1.6124169515829369E-2</v>
      </c>
      <c r="I19" s="6">
        <f t="shared" si="3"/>
        <v>0.98750635544211196</v>
      </c>
      <c r="J19" s="6">
        <f t="shared" si="4"/>
        <v>1.9454400000000031E-3</v>
      </c>
      <c r="K19" s="6">
        <f t="shared" si="5"/>
        <v>-15.099333955200009</v>
      </c>
      <c r="L19" s="6">
        <f t="shared" si="6"/>
        <v>9.4630020025074533</v>
      </c>
      <c r="M19" s="6">
        <f t="shared" si="6"/>
        <v>-3.5884685953486284</v>
      </c>
      <c r="N19" s="6">
        <f t="shared" si="6"/>
        <v>474.87169226130834</v>
      </c>
    </row>
    <row r="20" spans="1:14">
      <c r="A20">
        <v>0.5</v>
      </c>
      <c r="B20">
        <v>10</v>
      </c>
      <c r="C20" s="6">
        <v>0.81374000000000002</v>
      </c>
      <c r="D20" s="6">
        <v>1.7610000000000001E-2</v>
      </c>
      <c r="E20" s="6">
        <v>0.94877999999999996</v>
      </c>
      <c r="F20" s="6">
        <f t="shared" si="0"/>
        <v>1.1444687492319413E-2</v>
      </c>
      <c r="G20" s="6">
        <f t="shared" si="1"/>
        <v>0.9505703422053231</v>
      </c>
      <c r="H20" s="6">
        <f t="shared" si="2"/>
        <v>1.6327348782349808E-2</v>
      </c>
      <c r="I20" s="6">
        <f t="shared" si="3"/>
        <v>0.98750635544211196</v>
      </c>
      <c r="J20" s="6">
        <f t="shared" si="4"/>
        <v>2.6000000000000016E-3</v>
      </c>
      <c r="K20" s="6">
        <f t="shared" si="5"/>
        <v>-14.39455199999999</v>
      </c>
      <c r="L20" s="6">
        <f t="shared" si="6"/>
        <v>7.8558450287824071</v>
      </c>
      <c r="M20" s="6">
        <f t="shared" si="6"/>
        <v>-3.9216310081137657</v>
      </c>
      <c r="N20" s="6">
        <f t="shared" si="6"/>
        <v>340.18028816613099</v>
      </c>
    </row>
    <row r="21" spans="1:14">
      <c r="A21">
        <v>0.6</v>
      </c>
      <c r="B21">
        <v>10</v>
      </c>
      <c r="C21" s="6">
        <v>0.80566000000000004</v>
      </c>
      <c r="D21" s="6">
        <v>1.7639999999999999E-2</v>
      </c>
      <c r="E21" s="6">
        <v>0.94510000000000005</v>
      </c>
      <c r="F21" s="6">
        <f t="shared" si="0"/>
        <v>1.2060918998088522E-2</v>
      </c>
      <c r="G21" s="6">
        <f t="shared" si="1"/>
        <v>0.93187890643637583</v>
      </c>
      <c r="H21" s="6">
        <f t="shared" si="2"/>
        <v>1.6654839391842778E-2</v>
      </c>
      <c r="I21" s="6">
        <f t="shared" si="3"/>
        <v>0.98750635544211196</v>
      </c>
      <c r="J21" s="6">
        <f t="shared" si="4"/>
        <v>3.6550399999999983E-3</v>
      </c>
      <c r="K21" s="6">
        <f t="shared" si="5"/>
        <v>-13.544560947199999</v>
      </c>
      <c r="L21" s="6">
        <f t="shared" si="6"/>
        <v>5.9151612632165884</v>
      </c>
      <c r="M21" s="6">
        <f t="shared" si="6"/>
        <v>-4.2942868375896532</v>
      </c>
      <c r="N21" s="6">
        <f t="shared" si="6"/>
        <v>229.9804926372496</v>
      </c>
    </row>
    <row r="22" spans="1:14">
      <c r="A22">
        <v>0.8</v>
      </c>
      <c r="B22">
        <v>10</v>
      </c>
      <c r="C22" s="6">
        <v>0.78481999999999996</v>
      </c>
      <c r="D22" s="6">
        <v>1.771E-2</v>
      </c>
      <c r="E22" s="6">
        <v>0.93449000000000004</v>
      </c>
      <c r="F22" s="6">
        <f t="shared" si="0"/>
        <v>1.370887592059326E-2</v>
      </c>
      <c r="G22" s="6">
        <f t="shared" si="1"/>
        <v>0.88874605752248881</v>
      </c>
      <c r="H22" s="6">
        <f t="shared" si="2"/>
        <v>1.746313627833021E-2</v>
      </c>
      <c r="I22" s="6">
        <f t="shared" si="3"/>
        <v>0.98750635544211196</v>
      </c>
      <c r="J22" s="6">
        <f t="shared" si="4"/>
        <v>6.2590400000000074E-3</v>
      </c>
      <c r="K22" s="6">
        <f t="shared" si="5"/>
        <v>-11.693560454400002</v>
      </c>
      <c r="L22" s="6">
        <f t="shared" si="6"/>
        <v>1.4136276424534349</v>
      </c>
      <c r="M22" s="6">
        <f t="shared" si="6"/>
        <v>-5.3687103024644545</v>
      </c>
      <c r="N22" s="6">
        <f t="shared" si="6"/>
        <v>119.02521665612049</v>
      </c>
    </row>
    <row r="23" spans="1:14">
      <c r="A23" s="5">
        <v>1</v>
      </c>
      <c r="B23" s="5">
        <v>10</v>
      </c>
      <c r="C23" s="7">
        <v>0.75831000000000004</v>
      </c>
      <c r="D23" s="7">
        <v>1.7940000000000001E-2</v>
      </c>
      <c r="E23" s="7">
        <v>0.92456000000000005</v>
      </c>
      <c r="F23" s="7">
        <f t="shared" si="0"/>
        <v>1.5936094736980915E-2</v>
      </c>
      <c r="G23" s="7">
        <f t="shared" si="1"/>
        <v>0.83892617449664419</v>
      </c>
      <c r="H23" s="7">
        <f t="shared" si="2"/>
        <v>1.8500189875057957E-2</v>
      </c>
      <c r="I23" s="7">
        <f t="shared" si="3"/>
        <v>0.98750635544211196</v>
      </c>
      <c r="J23" s="7">
        <f t="shared" si="4"/>
        <v>9.6000000000000044E-3</v>
      </c>
      <c r="K23" s="7">
        <f t="shared" si="5"/>
        <v>-9.6094479999999844</v>
      </c>
      <c r="L23" s="7">
        <f t="shared" si="6"/>
        <v>-3.0280223005343658</v>
      </c>
      <c r="M23" s="7">
        <f t="shared" si="6"/>
        <v>-6.3742734510230559</v>
      </c>
      <c r="N23" s="7">
        <f t="shared" si="6"/>
        <v>66.000986843551118</v>
      </c>
    </row>
    <row r="25" spans="1:14">
      <c r="E25" t="s">
        <v>30</v>
      </c>
      <c r="F25">
        <f>MIN(F13:F23)</f>
        <v>1.1183783849928415E-2</v>
      </c>
    </row>
  </sheetData>
  <mergeCells count="6">
    <mergeCell ref="K11:N11"/>
    <mergeCell ref="A1:J3"/>
    <mergeCell ref="A11:A12"/>
    <mergeCell ref="B11:B12"/>
    <mergeCell ref="C11:F11"/>
    <mergeCell ref="G11:J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(c)</vt:lpstr>
      <vt:lpstr>Information</vt:lpstr>
      <vt:lpstr>Case 1</vt:lpstr>
      <vt:lpstr>Case 2</vt:lpstr>
      <vt:lpstr>Case 3</vt:lpstr>
      <vt:lpstr>Case 4</vt:lpstr>
      <vt:lpstr>Case 5</vt:lpstr>
      <vt:lpstr>Case 6</vt:lpstr>
      <vt:lpstr>Case 7</vt:lpstr>
      <vt:lpstr>Case 8</vt:lpstr>
      <vt:lpstr>Case 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Floris Mariën</dc:creator>
  <cp:lastModifiedBy>Dieter SCHOLZ</cp:lastModifiedBy>
  <dcterms:created xsi:type="dcterms:W3CDTF">2021-05-28T09:18:13Z</dcterms:created>
  <dcterms:modified xsi:type="dcterms:W3CDTF">2021-09-21T14:43:52Z</dcterms:modified>
</cp:coreProperties>
</file>