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Override PartName="/xl/embeddings/oleObject10.bin" ContentType="application/vnd.openxmlformats-officedocument.oleObject"/>
  <Override PartName="/xl/embeddings/oleObject11.bin" ContentType="application/vnd.openxmlformats-officedocument.oleObject"/>
  <Default Extension="rels" ContentType="application/vnd.openxmlformats-package.relationships+xml"/>
  <Default Extension="jpeg" ContentType="image/jpe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Default Extension="tiff" ContentType="image/tif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embeddings/oleObject9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jpeg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465" windowWidth="19440" windowHeight="15600"/>
  </bookViews>
  <sheets>
    <sheet name="1.) Preliminary Sizing I" sheetId="2" r:id="rId1"/>
    <sheet name="2.) Max. Glide Ratio in Cruise" sheetId="17" r:id="rId2"/>
    <sheet name="3.) Preliminary Sizing II" sheetId="3" r:id="rId3"/>
    <sheet name="Matching Chart " sheetId="4" r:id="rId4"/>
    <sheet name="Tabelle5" sheetId="5" state="hidden" r:id="rId5"/>
    <sheet name="Tabelle6" sheetId="6" state="hidden" r:id="rId6"/>
    <sheet name="Tabelle7" sheetId="7" state="hidden" r:id="rId7"/>
    <sheet name="Tabelle8" sheetId="8" state="hidden" r:id="rId8"/>
    <sheet name="Tabelle9" sheetId="9" state="hidden" r:id="rId9"/>
    <sheet name="Tabelle10" sheetId="10" state="hidden" r:id="rId10"/>
    <sheet name="Tabelle11" sheetId="11" state="hidden" r:id="rId11"/>
    <sheet name="Tabelle12" sheetId="12" state="hidden" r:id="rId12"/>
    <sheet name="Tabelle13" sheetId="13" state="hidden" r:id="rId13"/>
    <sheet name="Tabelle14" sheetId="14" state="hidden" r:id="rId14"/>
    <sheet name="Tabelle15" sheetId="15" state="hidden" r:id="rId15"/>
    <sheet name="Tabelle16" sheetId="16" state="hidden" r:id="rId16"/>
  </sheets>
  <definedNames>
    <definedName name="_xlnm._FilterDatabase" localSheetId="2" hidden="1">'3.) Preliminary Sizing II'!$A$67:$E$69</definedName>
    <definedName name="a">'3.) Preliminary Sizing II'!#REF!</definedName>
    <definedName name="BPR">'3.) Preliminary Sizing II'!$C$6</definedName>
    <definedName name="CL">'3.) Preliminary Sizing II'!$G$8</definedName>
    <definedName name="CL_m">'3.) Preliminary Sizing II'!$C$11</definedName>
    <definedName name="e">'3.) Preliminary Sizing II'!$C$18</definedName>
    <definedName name="g">'3.) Preliminary Sizing II'!$C$16</definedName>
    <definedName name="gamma">'3.) Preliminary Sizing II'!$C$15</definedName>
    <definedName name="L_D">'3.) Preliminary Sizing II'!$G$9</definedName>
    <definedName name="L_D_max">'3.) Preliminary Sizing II'!$C$7</definedName>
    <definedName name="M">'3.) Preliminary Sizing II'!$C$12</definedName>
    <definedName name="p0">'3.) Preliminary Sizing II'!$C$17</definedName>
    <definedName name="V_CR">'3.) Preliminary Sizing II'!#REF!</definedName>
  </definedNames>
  <calcPr calcId="125725" iterate="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3"/>
  <c r="G9"/>
  <c r="C44"/>
  <c r="C45"/>
  <c r="C61"/>
  <c r="C46"/>
  <c r="C50"/>
  <c r="C51"/>
  <c r="C62"/>
  <c r="C63"/>
  <c r="C64"/>
  <c r="C90"/>
  <c r="C91"/>
  <c r="D90"/>
  <c r="D91"/>
  <c r="E90"/>
  <c r="E91"/>
  <c r="F90"/>
  <c r="F91"/>
  <c r="G90"/>
  <c r="G91"/>
  <c r="H90"/>
  <c r="H91"/>
  <c r="I90"/>
  <c r="I91"/>
  <c r="J90"/>
  <c r="J91"/>
  <c r="K90"/>
  <c r="K91"/>
  <c r="L90"/>
  <c r="L91"/>
  <c r="M90"/>
  <c r="M91"/>
  <c r="N90"/>
  <c r="N91"/>
  <c r="O90"/>
  <c r="O91"/>
  <c r="P90"/>
  <c r="C78"/>
  <c r="C81"/>
  <c r="C79"/>
  <c r="C84"/>
  <c r="K23"/>
  <c r="K25"/>
  <c r="K27"/>
  <c r="K28"/>
  <c r="K29"/>
  <c r="K30"/>
  <c r="K44"/>
  <c r="K45"/>
  <c r="K61"/>
  <c r="K46"/>
  <c r="K50"/>
  <c r="K51"/>
  <c r="K62"/>
  <c r="K63"/>
  <c r="K64"/>
  <c r="K79"/>
  <c r="B94"/>
  <c r="B95"/>
  <c r="C94"/>
  <c r="C95"/>
  <c r="D94"/>
  <c r="D95"/>
  <c r="E94"/>
  <c r="E95"/>
  <c r="F94"/>
  <c r="F95"/>
  <c r="G94"/>
  <c r="G95"/>
  <c r="H94"/>
  <c r="H95"/>
  <c r="I94"/>
  <c r="I95"/>
  <c r="J94"/>
  <c r="J95"/>
  <c r="K94"/>
  <c r="K95"/>
  <c r="L94"/>
  <c r="L95"/>
  <c r="M94"/>
  <c r="M95"/>
  <c r="N94"/>
  <c r="N95"/>
  <c r="O94"/>
  <c r="O95"/>
  <c r="P94"/>
  <c r="K78"/>
  <c r="K81"/>
  <c r="K84"/>
  <c r="N23"/>
  <c r="N25"/>
  <c r="N27"/>
  <c r="N28"/>
  <c r="N29"/>
  <c r="N30"/>
  <c r="N44"/>
  <c r="N45"/>
  <c r="N61"/>
  <c r="N46"/>
  <c r="N50"/>
  <c r="N51"/>
  <c r="N62"/>
  <c r="N63"/>
  <c r="N64"/>
  <c r="N79"/>
  <c r="B98"/>
  <c r="B99"/>
  <c r="C98"/>
  <c r="C99"/>
  <c r="D98"/>
  <c r="D99"/>
  <c r="E98"/>
  <c r="E99"/>
  <c r="F98"/>
  <c r="F99"/>
  <c r="G98"/>
  <c r="G99"/>
  <c r="H98"/>
  <c r="H99"/>
  <c r="I98"/>
  <c r="I99"/>
  <c r="J98"/>
  <c r="J99"/>
  <c r="K98"/>
  <c r="K99"/>
  <c r="L98"/>
  <c r="L99"/>
  <c r="M98"/>
  <c r="M99"/>
  <c r="N98"/>
  <c r="N99"/>
  <c r="O98"/>
  <c r="O99"/>
  <c r="P98"/>
  <c r="N78"/>
  <c r="N81"/>
  <c r="N84"/>
  <c r="Q23"/>
  <c r="Q25"/>
  <c r="Q27"/>
  <c r="Q28"/>
  <c r="Q29"/>
  <c r="Q30"/>
  <c r="Q44"/>
  <c r="Q45"/>
  <c r="Q61"/>
  <c r="Q46"/>
  <c r="Q50"/>
  <c r="Q51"/>
  <c r="Q62"/>
  <c r="Q63"/>
  <c r="Q64"/>
  <c r="Q79"/>
  <c r="B102"/>
  <c r="B103"/>
  <c r="C102"/>
  <c r="C103"/>
  <c r="D102"/>
  <c r="D103"/>
  <c r="E102"/>
  <c r="E103"/>
  <c r="F102"/>
  <c r="F103"/>
  <c r="G102"/>
  <c r="G103"/>
  <c r="H102"/>
  <c r="H103"/>
  <c r="I102"/>
  <c r="I103"/>
  <c r="J102"/>
  <c r="J103"/>
  <c r="K102"/>
  <c r="K103"/>
  <c r="L102"/>
  <c r="L103"/>
  <c r="M102"/>
  <c r="M103"/>
  <c r="N102"/>
  <c r="N103"/>
  <c r="O102"/>
  <c r="O103"/>
  <c r="P102"/>
  <c r="Q78"/>
  <c r="Q81"/>
  <c r="Q84"/>
  <c r="T23"/>
  <c r="T25"/>
  <c r="T27"/>
  <c r="T28"/>
  <c r="T29"/>
  <c r="T30"/>
  <c r="T44"/>
  <c r="T45"/>
  <c r="T61"/>
  <c r="T46"/>
  <c r="T50"/>
  <c r="T51"/>
  <c r="T62"/>
  <c r="T63"/>
  <c r="T64"/>
  <c r="B106"/>
  <c r="B107"/>
  <c r="C106"/>
  <c r="C107"/>
  <c r="D106"/>
  <c r="D107"/>
  <c r="E106"/>
  <c r="E107"/>
  <c r="F106"/>
  <c r="F107"/>
  <c r="G106"/>
  <c r="G107"/>
  <c r="H106"/>
  <c r="H107"/>
  <c r="I106"/>
  <c r="I107"/>
  <c r="J106"/>
  <c r="J107"/>
  <c r="K106"/>
  <c r="K107"/>
  <c r="L106"/>
  <c r="L107"/>
  <c r="M106"/>
  <c r="M107"/>
  <c r="N106"/>
  <c r="N107"/>
  <c r="O106"/>
  <c r="O107"/>
  <c r="P106"/>
  <c r="T78"/>
  <c r="B91"/>
  <c r="T80"/>
  <c r="Q80"/>
  <c r="N80"/>
  <c r="K80"/>
  <c r="T79"/>
  <c r="P91"/>
  <c r="C66"/>
  <c r="K69"/>
  <c r="T67"/>
  <c r="Q67"/>
  <c r="N67"/>
  <c r="K67"/>
  <c r="K49"/>
  <c r="T48"/>
  <c r="Q48"/>
  <c r="N48"/>
  <c r="K48"/>
  <c r="T41"/>
  <c r="Q41"/>
  <c r="N41"/>
  <c r="K41"/>
  <c r="K26"/>
  <c r="C69"/>
  <c r="C67"/>
  <c r="C156"/>
  <c r="T69"/>
  <c r="C25"/>
  <c r="D120"/>
  <c r="D121"/>
  <c r="J121"/>
  <c r="G8"/>
  <c r="C27"/>
  <c r="C28"/>
  <c r="C29"/>
  <c r="C30"/>
  <c r="D122"/>
  <c r="D126"/>
  <c r="J126"/>
  <c r="Q69"/>
  <c r="N69"/>
  <c r="C18" i="17"/>
  <c r="C80" i="3"/>
  <c r="C7"/>
  <c r="C33" i="2"/>
  <c r="C35"/>
  <c r="C8" i="3"/>
  <c r="C10"/>
  <c r="C11"/>
  <c r="C140"/>
  <c r="C119"/>
  <c r="D119"/>
  <c r="J119"/>
  <c r="E131"/>
  <c r="E132"/>
  <c r="E133"/>
  <c r="E134"/>
  <c r="E119"/>
  <c r="F135"/>
  <c r="C57" i="2"/>
  <c r="C55"/>
  <c r="C34" i="3"/>
  <c r="C36"/>
  <c r="F38"/>
  <c r="C41"/>
  <c r="C48"/>
  <c r="C73"/>
  <c r="C76"/>
  <c r="C20" i="17"/>
  <c r="C21"/>
  <c r="C25"/>
  <c r="C26" i="3"/>
  <c r="C38"/>
  <c r="F39"/>
  <c r="C49"/>
  <c r="N49"/>
  <c r="Q49"/>
  <c r="T49"/>
  <c r="C72"/>
  <c r="C43" i="2"/>
  <c r="C42"/>
  <c r="E120" i="3"/>
  <c r="E121"/>
  <c r="E122"/>
  <c r="E123"/>
  <c r="E124"/>
  <c r="E125"/>
  <c r="E126"/>
  <c r="E127"/>
  <c r="E128"/>
  <c r="E129"/>
  <c r="E130"/>
  <c r="B119"/>
  <c r="C8" i="17"/>
  <c r="C79" i="2"/>
  <c r="C73"/>
  <c r="C74"/>
  <c r="C75"/>
  <c r="C51"/>
  <c r="C67"/>
  <c r="C62"/>
  <c r="C61"/>
  <c r="C53"/>
  <c r="C78"/>
  <c r="C69"/>
  <c r="C44"/>
  <c r="C34"/>
  <c r="C13"/>
  <c r="C17"/>
  <c r="C18"/>
  <c r="C20"/>
  <c r="C22"/>
  <c r="C23"/>
  <c r="C27"/>
  <c r="C29"/>
  <c r="C30"/>
  <c r="C40"/>
  <c r="C72"/>
  <c r="J6" i="3"/>
  <c r="B120"/>
  <c r="C120"/>
  <c r="B121"/>
  <c r="C121"/>
  <c r="B122"/>
  <c r="C122"/>
  <c r="B123"/>
  <c r="C123"/>
  <c r="B124"/>
  <c r="C124"/>
  <c r="B125"/>
  <c r="C125"/>
  <c r="B126"/>
  <c r="C126"/>
  <c r="B127"/>
  <c r="C127"/>
  <c r="B128"/>
  <c r="C128"/>
  <c r="B129"/>
  <c r="C129"/>
  <c r="B130"/>
  <c r="C130"/>
  <c r="B131"/>
  <c r="C131"/>
  <c r="B132"/>
  <c r="C132"/>
  <c r="B133"/>
  <c r="C133"/>
  <c r="B134"/>
  <c r="C134"/>
  <c r="H120"/>
  <c r="H122"/>
  <c r="H124"/>
  <c r="H126"/>
  <c r="H128"/>
  <c r="H130"/>
  <c r="H132"/>
  <c r="H134"/>
  <c r="H119"/>
  <c r="H121"/>
  <c r="H123"/>
  <c r="H125"/>
  <c r="H127"/>
  <c r="H129"/>
  <c r="H131"/>
  <c r="H133"/>
  <c r="F136"/>
  <c r="D134"/>
  <c r="J134"/>
  <c r="D132"/>
  <c r="J132"/>
  <c r="D130"/>
  <c r="J130"/>
  <c r="D128"/>
  <c r="J128"/>
  <c r="D124"/>
  <c r="J124"/>
  <c r="J122"/>
  <c r="J120"/>
  <c r="D123"/>
  <c r="J123"/>
  <c r="D125"/>
  <c r="J125"/>
  <c r="D127"/>
  <c r="J127"/>
  <c r="D129"/>
  <c r="J129"/>
  <c r="D131"/>
  <c r="J131"/>
  <c r="D133"/>
  <c r="J133"/>
  <c r="G119"/>
  <c r="G121"/>
  <c r="G123"/>
  <c r="G125"/>
  <c r="G127"/>
  <c r="G129"/>
  <c r="G131"/>
  <c r="G133"/>
  <c r="G120"/>
  <c r="G122"/>
  <c r="G124"/>
  <c r="G126"/>
  <c r="G128"/>
  <c r="G130"/>
  <c r="G132"/>
  <c r="G134"/>
  <c r="T81"/>
  <c r="C45" i="2"/>
  <c r="N26" i="3"/>
  <c r="Q26"/>
  <c r="T26"/>
  <c r="P95"/>
  <c r="K66"/>
  <c r="P99"/>
  <c r="N66"/>
  <c r="Q66"/>
  <c r="P107"/>
  <c r="T66"/>
  <c r="T84"/>
  <c r="P103"/>
  <c r="F119"/>
  <c r="I119"/>
  <c r="F120"/>
  <c r="I120"/>
  <c r="F121"/>
  <c r="I121"/>
  <c r="F122"/>
  <c r="I122"/>
  <c r="F123"/>
  <c r="I123"/>
  <c r="F124"/>
  <c r="I124"/>
  <c r="F125"/>
  <c r="I125"/>
  <c r="F126"/>
  <c r="I126"/>
  <c r="F127"/>
  <c r="I127"/>
  <c r="F128"/>
  <c r="I128"/>
  <c r="F129"/>
  <c r="I129"/>
  <c r="F130"/>
  <c r="I130"/>
  <c r="F131"/>
  <c r="I131"/>
  <c r="F132"/>
  <c r="I132"/>
  <c r="F133"/>
  <c r="I133"/>
  <c r="F134"/>
  <c r="I134"/>
  <c r="C141"/>
  <c r="C144"/>
  <c r="C145"/>
  <c r="C146"/>
  <c r="C147"/>
  <c r="C148"/>
  <c r="C149"/>
  <c r="C150"/>
  <c r="C152"/>
  <c r="C154"/>
  <c r="C157"/>
  <c r="C158"/>
  <c r="C160"/>
  <c r="C163"/>
  <c r="F163"/>
  <c r="E164"/>
  <c r="E165"/>
</calcChain>
</file>

<file path=xl/sharedStrings.xml><?xml version="1.0" encoding="utf-8"?>
<sst xmlns="http://schemas.openxmlformats.org/spreadsheetml/2006/main" count="726" uniqueCount="362">
  <si>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 xml:space="preserve"> / T</t>
    </r>
    <r>
      <rPr>
        <vertAlign val="subscript"/>
        <sz val="10"/>
        <rFont val="Arial"/>
        <family val="2"/>
      </rPr>
      <t>TO</t>
    </r>
  </si>
  <si>
    <t>BPR</t>
  </si>
  <si>
    <t>a</t>
  </si>
  <si>
    <t>m</t>
  </si>
  <si>
    <t>m/s</t>
  </si>
  <si>
    <t>kt / m/s</t>
  </si>
  <si>
    <t>kt</t>
  </si>
  <si>
    <t>kg/m³</t>
  </si>
  <si>
    <t>kg/m²</t>
  </si>
  <si>
    <t>m³/kg</t>
  </si>
  <si>
    <t>A</t>
  </si>
  <si>
    <t>Parameter</t>
  </si>
  <si>
    <r>
      <t>C</t>
    </r>
    <r>
      <rPr>
        <vertAlign val="subscript"/>
        <sz val="10"/>
        <rFont val="Arial"/>
        <family val="2"/>
      </rPr>
      <t>L</t>
    </r>
  </si>
  <si>
    <t>g</t>
  </si>
  <si>
    <t>m/s²</t>
  </si>
  <si>
    <t>Pa</t>
  </si>
  <si>
    <t>h [km]</t>
  </si>
  <si>
    <t>h [ft]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</si>
  <si>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</si>
  <si>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t>p(h) [Pa]</t>
  </si>
  <si>
    <t>Gl.(5.27)</t>
  </si>
  <si>
    <t>Gl. (5.32/5.33)</t>
  </si>
  <si>
    <t>Gl. (5.34)</t>
  </si>
  <si>
    <t>K</t>
  </si>
  <si>
    <t>R</t>
  </si>
  <si>
    <t>kg/N/s</t>
  </si>
  <si>
    <t>FAR Part 121</t>
  </si>
  <si>
    <t>domestic</t>
  </si>
  <si>
    <t>s</t>
  </si>
  <si>
    <t>Phase</t>
  </si>
  <si>
    <t>transport jet</t>
  </si>
  <si>
    <t>business jet</t>
  </si>
  <si>
    <t>engine start</t>
  </si>
  <si>
    <t>taxi</t>
  </si>
  <si>
    <t>take-off</t>
  </si>
  <si>
    <t>climb</t>
  </si>
  <si>
    <t>descent</t>
  </si>
  <si>
    <t>landing</t>
  </si>
  <si>
    <t>kg</t>
  </si>
  <si>
    <t>m²</t>
  </si>
  <si>
    <t>N</t>
  </si>
  <si>
    <t>lb</t>
  </si>
  <si>
    <t>m³</t>
  </si>
  <si>
    <t>check:</t>
  </si>
  <si>
    <t>?</t>
  </si>
  <si>
    <t>&gt;</t>
  </si>
  <si>
    <t>1m=3,281 ft</t>
  </si>
  <si>
    <r>
      <t>C</t>
    </r>
    <r>
      <rPr>
        <vertAlign val="subscript"/>
        <sz val="10"/>
        <rFont val="Arial"/>
        <family val="2"/>
      </rPr>
      <t>D,0</t>
    </r>
  </si>
  <si>
    <r>
      <t>M</t>
    </r>
    <r>
      <rPr>
        <vertAlign val="subscript"/>
        <sz val="10"/>
        <rFont val="Arial"/>
        <family val="2"/>
      </rPr>
      <t>CR</t>
    </r>
  </si>
  <si>
    <r>
      <t>p</t>
    </r>
    <r>
      <rPr>
        <vertAlign val="subscript"/>
        <sz val="10"/>
        <rFont val="Arial"/>
        <family val="2"/>
      </rPr>
      <t>0</t>
    </r>
  </si>
  <si>
    <r>
      <t>k</t>
    </r>
    <r>
      <rPr>
        <vertAlign val="subscript"/>
        <sz val="10"/>
        <rFont val="Arial"/>
        <family val="2"/>
      </rPr>
      <t>APP</t>
    </r>
  </si>
  <si>
    <r>
      <t>s</t>
    </r>
    <r>
      <rPr>
        <vertAlign val="subscript"/>
        <sz val="10"/>
        <rFont val="Arial"/>
        <family val="2"/>
      </rPr>
      <t>LFL</t>
    </r>
  </si>
  <si>
    <r>
      <t>V</t>
    </r>
    <r>
      <rPr>
        <vertAlign val="subscript"/>
        <sz val="10"/>
        <rFont val="Arial"/>
        <family val="2"/>
      </rPr>
      <t>APP</t>
    </r>
  </si>
  <si>
    <r>
      <t>k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</si>
  <si>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L,max,L</t>
    </r>
  </si>
  <si>
    <r>
      <t>k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</si>
  <si>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L,max,TO</t>
    </r>
  </si>
  <si>
    <r>
      <t>s</t>
    </r>
    <r>
      <rPr>
        <vertAlign val="subscript"/>
        <sz val="10"/>
        <rFont val="Arial"/>
        <family val="2"/>
      </rPr>
      <t>TOFL</t>
    </r>
  </si>
  <si>
    <r>
      <t>n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</si>
  <si>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D,P</t>
    </r>
  </si>
  <si>
    <r>
      <t>sin(</t>
    </r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>)</t>
    </r>
  </si>
  <si>
    <r>
      <t>T</t>
    </r>
    <r>
      <rPr>
        <vertAlign val="subscript"/>
        <sz val="10"/>
        <rFont val="Arial"/>
        <family val="2"/>
      </rPr>
      <t>Stratosphäre</t>
    </r>
  </si>
  <si>
    <r>
      <t>T</t>
    </r>
    <r>
      <rPr>
        <vertAlign val="subscript"/>
        <sz val="10"/>
        <rFont val="Arial"/>
        <family val="2"/>
      </rPr>
      <t>Troposphäre</t>
    </r>
  </si>
  <si>
    <r>
      <t>V</t>
    </r>
    <r>
      <rPr>
        <vertAlign val="subscript"/>
        <sz val="10"/>
        <rFont val="Arial"/>
        <family val="2"/>
      </rPr>
      <t>CR</t>
    </r>
  </si>
  <si>
    <r>
      <t>h</t>
    </r>
    <r>
      <rPr>
        <vertAlign val="subscript"/>
        <sz val="10"/>
        <rFont val="Arial"/>
        <family val="2"/>
      </rPr>
      <t>CR</t>
    </r>
  </si>
  <si>
    <r>
      <t>(T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)</t>
    </r>
    <r>
      <rPr>
        <vertAlign val="subscript"/>
        <sz val="10"/>
        <rFont val="Arial"/>
        <family val="2"/>
      </rPr>
      <t>CR</t>
    </r>
  </si>
  <si>
    <r>
      <t>T(h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</si>
  <si>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to_alternate</t>
    </r>
  </si>
  <si>
    <r>
      <t>s</t>
    </r>
    <r>
      <rPr>
        <vertAlign val="subscript"/>
        <sz val="10"/>
        <rFont val="Arial"/>
        <family val="2"/>
      </rPr>
      <t>res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</si>
  <si>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*g)</t>
    </r>
  </si>
  <si>
    <r>
      <t>0,8 * C</t>
    </r>
    <r>
      <rPr>
        <vertAlign val="subscript"/>
        <sz val="10"/>
        <rFont val="Arial"/>
        <family val="2"/>
      </rPr>
      <t>L,max,L</t>
    </r>
  </si>
  <si>
    <r>
      <t>C</t>
    </r>
    <r>
      <rPr>
        <vertAlign val="subscript"/>
        <sz val="10"/>
        <rFont val="Arial"/>
        <family val="2"/>
      </rPr>
      <t>L,TO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</si>
  <si>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D,flap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</si>
  <si>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D,slat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</si>
  <si>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D,gear</t>
    </r>
  </si>
  <si>
    <r>
      <t>E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</si>
  <si>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L,L</t>
    </r>
  </si>
  <si>
    <r>
      <t>E</t>
    </r>
    <r>
      <rPr>
        <vertAlign val="subscript"/>
        <sz val="10"/>
        <rFont val="Arial"/>
        <family val="2"/>
      </rPr>
      <t>L</t>
    </r>
  </si>
  <si>
    <t>FAR Part 25</t>
  </si>
  <si>
    <r>
      <t>k</t>
    </r>
    <r>
      <rPr>
        <vertAlign val="subscript"/>
        <sz val="10"/>
        <rFont val="Arial"/>
        <family val="2"/>
      </rPr>
      <t>E</t>
    </r>
  </si>
  <si>
    <t>???</t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</si>
  <si>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</si>
  <si>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= 6,0 ... 6,2</t>
    </r>
  </si>
  <si>
    <r>
      <t>E</t>
    </r>
    <r>
      <rPr>
        <vertAlign val="subscript"/>
        <sz val="10"/>
        <rFont val="Arial"/>
        <family val="2"/>
      </rPr>
      <t>max</t>
    </r>
  </si>
  <si>
    <t>E</t>
  </si>
  <si>
    <r>
      <t>SFC</t>
    </r>
    <r>
      <rPr>
        <vertAlign val="subscript"/>
        <sz val="10"/>
        <rFont val="Arial"/>
        <family val="2"/>
      </rPr>
      <t>CR</t>
    </r>
  </si>
  <si>
    <r>
      <t>B</t>
    </r>
    <r>
      <rPr>
        <vertAlign val="subscript"/>
        <sz val="10"/>
        <rFont val="Arial"/>
        <family val="2"/>
      </rPr>
      <t>s</t>
    </r>
  </si>
  <si>
    <r>
      <t>M</t>
    </r>
    <r>
      <rPr>
        <vertAlign val="subscript"/>
        <sz val="10"/>
        <rFont val="Arial"/>
        <family val="2"/>
      </rPr>
      <t>ff,CR</t>
    </r>
  </si>
  <si>
    <r>
      <t>M</t>
    </r>
    <r>
      <rPr>
        <vertAlign val="subscript"/>
        <sz val="10"/>
        <rFont val="Arial"/>
        <family val="2"/>
      </rPr>
      <t>ff,RES</t>
    </r>
  </si>
  <si>
    <r>
      <t>t</t>
    </r>
    <r>
      <rPr>
        <vertAlign val="subscript"/>
        <sz val="10"/>
        <rFont val="Arial"/>
        <family val="2"/>
      </rPr>
      <t>loiter</t>
    </r>
  </si>
  <si>
    <r>
      <t>SFC</t>
    </r>
    <r>
      <rPr>
        <vertAlign val="subscript"/>
        <sz val="10"/>
        <rFont val="Arial"/>
        <family val="2"/>
      </rPr>
      <t>loiter</t>
    </r>
  </si>
  <si>
    <r>
      <t>B</t>
    </r>
    <r>
      <rPr>
        <vertAlign val="subscript"/>
        <sz val="10"/>
        <rFont val="Arial"/>
        <family val="2"/>
      </rPr>
      <t>t</t>
    </r>
  </si>
  <si>
    <r>
      <t>M</t>
    </r>
    <r>
      <rPr>
        <vertAlign val="subscript"/>
        <sz val="10"/>
        <rFont val="Arial"/>
        <family val="2"/>
      </rPr>
      <t>ff,loiter</t>
    </r>
  </si>
  <si>
    <t>international</t>
  </si>
  <si>
    <r>
      <t>M</t>
    </r>
    <r>
      <rPr>
        <vertAlign val="subscript"/>
        <sz val="10"/>
        <rFont val="Arial"/>
        <family val="2"/>
      </rPr>
      <t>ff,taxi</t>
    </r>
  </si>
  <si>
    <r>
      <t>M</t>
    </r>
    <r>
      <rPr>
        <vertAlign val="subscript"/>
        <sz val="10"/>
        <rFont val="Arial"/>
        <family val="2"/>
      </rPr>
      <t>ff,engine</t>
    </r>
  </si>
  <si>
    <r>
      <t>M</t>
    </r>
    <r>
      <rPr>
        <vertAlign val="subscript"/>
        <sz val="10"/>
        <rFont val="Arial"/>
        <family val="2"/>
      </rPr>
      <t>ff,TO</t>
    </r>
  </si>
  <si>
    <r>
      <t>M</t>
    </r>
    <r>
      <rPr>
        <vertAlign val="subscript"/>
        <sz val="10"/>
        <rFont val="Arial"/>
        <family val="2"/>
      </rPr>
      <t>ff,CLB</t>
    </r>
  </si>
  <si>
    <r>
      <t>M</t>
    </r>
    <r>
      <rPr>
        <vertAlign val="subscript"/>
        <sz val="10"/>
        <rFont val="Arial"/>
        <family val="2"/>
      </rPr>
      <t>ff,DES</t>
    </r>
  </si>
  <si>
    <r>
      <t>M</t>
    </r>
    <r>
      <rPr>
        <vertAlign val="subscript"/>
        <sz val="10"/>
        <rFont val="Arial"/>
        <family val="2"/>
      </rPr>
      <t>ff,L</t>
    </r>
  </si>
  <si>
    <r>
      <t>M</t>
    </r>
    <r>
      <rPr>
        <vertAlign val="subscript"/>
        <sz val="10"/>
        <rFont val="Arial"/>
        <family val="2"/>
      </rPr>
      <t>ff,std</t>
    </r>
  </si>
  <si>
    <r>
      <t>M</t>
    </r>
    <r>
      <rPr>
        <vertAlign val="subscript"/>
        <sz val="10"/>
        <rFont val="Arial"/>
        <family val="2"/>
      </rPr>
      <t>ff,res</t>
    </r>
  </si>
  <si>
    <r>
      <t>M</t>
    </r>
    <r>
      <rPr>
        <vertAlign val="subscript"/>
        <sz val="10"/>
        <rFont val="Arial"/>
        <family val="2"/>
      </rPr>
      <t>ff</t>
    </r>
  </si>
  <si>
    <r>
      <t>m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</si>
  <si>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</si>
  <si>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PAX</t>
    </r>
  </si>
  <si>
    <t>in kg</t>
  </si>
  <si>
    <r>
      <t>n</t>
    </r>
    <r>
      <rPr>
        <vertAlign val="subscript"/>
        <sz val="10"/>
        <rFont val="Arial"/>
        <family val="2"/>
      </rPr>
      <t>PAX</t>
    </r>
  </si>
  <si>
    <r>
      <t>m</t>
    </r>
    <r>
      <rPr>
        <vertAlign val="subscript"/>
        <sz val="10"/>
        <rFont val="Arial"/>
        <family val="2"/>
      </rPr>
      <t>PL</t>
    </r>
  </si>
  <si>
    <r>
      <t>m</t>
    </r>
    <r>
      <rPr>
        <vertAlign val="subscript"/>
        <sz val="10"/>
        <rFont val="Arial"/>
        <family val="2"/>
      </rPr>
      <t>cargo</t>
    </r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</si>
  <si>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</si>
  <si>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ML</t>
    </r>
  </si>
  <si>
    <r>
      <t>m</t>
    </r>
    <r>
      <rPr>
        <vertAlign val="subscript"/>
        <sz val="10"/>
        <rFont val="Arial"/>
        <family val="2"/>
      </rPr>
      <t>OE</t>
    </r>
  </si>
  <si>
    <r>
      <t>S</t>
    </r>
    <r>
      <rPr>
        <vertAlign val="subscript"/>
        <sz val="10"/>
        <rFont val="Arial"/>
        <family val="2"/>
      </rPr>
      <t>w</t>
    </r>
  </si>
  <si>
    <r>
      <t>T</t>
    </r>
    <r>
      <rPr>
        <vertAlign val="subscript"/>
        <sz val="10"/>
        <rFont val="Arial"/>
        <family val="2"/>
      </rPr>
      <t>TO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</si>
  <si>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</t>
    </r>
  </si>
  <si>
    <r>
      <t xml:space="preserve">r </t>
    </r>
    <r>
      <rPr>
        <vertAlign val="subscript"/>
        <sz val="10"/>
        <rFont val="Arial"/>
        <family val="2"/>
      </rPr>
      <t>F</t>
    </r>
  </si>
  <si>
    <r>
      <t>m</t>
    </r>
    <r>
      <rPr>
        <vertAlign val="subscript"/>
        <sz val="10"/>
        <rFont val="Arial"/>
        <family val="2"/>
      </rPr>
      <t>MPL</t>
    </r>
  </si>
  <si>
    <r>
      <t>m</t>
    </r>
    <r>
      <rPr>
        <vertAlign val="subscript"/>
        <sz val="10"/>
        <rFont val="Arial"/>
        <family val="2"/>
      </rPr>
      <t>MZF</t>
    </r>
  </si>
  <si>
    <r>
      <t>m</t>
    </r>
    <r>
      <rPr>
        <vertAlign val="subscript"/>
        <sz val="10"/>
        <rFont val="Arial"/>
        <family val="2"/>
      </rPr>
      <t>F,res</t>
    </r>
  </si>
  <si>
    <t>e</t>
  </si>
  <si>
    <r>
      <t>m</t>
    </r>
    <r>
      <rPr>
        <vertAlign val="subscript"/>
        <sz val="10"/>
        <rFont val="Arial"/>
        <family val="2"/>
      </rPr>
      <t xml:space="preserve">ML          </t>
    </r>
  </si>
  <si>
    <t>NM</t>
  </si>
  <si>
    <t>NM -&gt; m</t>
  </si>
  <si>
    <t>m/NM</t>
  </si>
  <si>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=</t>
    </r>
  </si>
  <si>
    <t>f(BPR,h)</t>
  </si>
  <si>
    <t xml:space="preserve">   Prof. Dr.-Ing. Dieter Scholz, MSME</t>
  </si>
  <si>
    <t xml:space="preserve">   HAW Hamburg</t>
  </si>
  <si>
    <r>
      <t xml:space="preserve">   </t>
    </r>
    <r>
      <rPr>
        <u/>
        <sz val="10"/>
        <color indexed="12"/>
        <rFont val="Arial"/>
        <family val="2"/>
      </rPr>
      <t>http://www.ProfScholz.de</t>
    </r>
  </si>
  <si>
    <r>
      <t>m</t>
    </r>
    <r>
      <rPr>
        <vertAlign val="subscript"/>
        <sz val="10"/>
        <rFont val="Arial"/>
        <family val="2"/>
      </rPr>
      <t>F</t>
    </r>
  </si>
  <si>
    <t>m -&gt; ft</t>
  </si>
  <si>
    <t>m/ft</t>
  </si>
  <si>
    <t>ft</t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</si>
  <si>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L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</si>
  <si>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TO</t>
    </r>
  </si>
  <si>
    <r>
      <t xml:space="preserve">   </t>
    </r>
    <r>
      <rPr>
        <b/>
        <sz val="10"/>
        <color indexed="12"/>
        <rFont val="Arial"/>
        <family val="2"/>
      </rPr>
      <t>Bold blue</t>
    </r>
    <r>
      <rPr>
        <sz val="10"/>
        <rFont val="Arial"/>
        <family val="2"/>
      </rPr>
      <t xml:space="preserve"> values represent input data.</t>
    </r>
  </si>
  <si>
    <t xml:space="preserve">   Author:</t>
  </si>
  <si>
    <r>
      <t xml:space="preserve">   Results are marked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>. Don't change these cells!</t>
    </r>
  </si>
  <si>
    <t xml:space="preserve">   Interim values, constants, ... are in black!</t>
  </si>
  <si>
    <r>
      <t xml:space="preserve">   "</t>
    </r>
    <r>
      <rPr>
        <b/>
        <sz val="10"/>
        <rFont val="Arial"/>
        <family val="2"/>
      </rPr>
      <t>&lt;&lt;&lt;&lt;</t>
    </r>
    <r>
      <rPr>
        <sz val="10"/>
        <rFont val="Arial"/>
        <family val="2"/>
      </rPr>
      <t>" marks special input or user action</t>
    </r>
    <r>
      <rPr>
        <sz val="10"/>
        <rFont val="Arial"/>
        <family val="2"/>
      </rPr>
      <t>.</t>
    </r>
  </si>
  <si>
    <t>Approach</t>
  </si>
  <si>
    <t>Factor</t>
  </si>
  <si>
    <t>Conversion factor</t>
  </si>
  <si>
    <t>Given: landing field length</t>
  </si>
  <si>
    <t>Landing field length</t>
  </si>
  <si>
    <t>Approach speed</t>
  </si>
  <si>
    <t>Given: approach speed</t>
  </si>
  <si>
    <t>Landing</t>
  </si>
  <si>
    <t>Temperature above ISA (288,15K)</t>
  </si>
  <si>
    <t>Relative density</t>
  </si>
  <si>
    <t>Wing loading at max. landing mass</t>
  </si>
  <si>
    <t>Take-off</t>
  </si>
  <si>
    <t>Take-off field length</t>
  </si>
  <si>
    <t>Temperatur above ISA (288,15K)</t>
  </si>
  <si>
    <r>
      <t>Exprience value for C</t>
    </r>
    <r>
      <rPr>
        <vertAlign val="subscript"/>
        <sz val="10"/>
        <rFont val="Arial"/>
        <family val="2"/>
      </rPr>
      <t>L,max,TO</t>
    </r>
  </si>
  <si>
    <t>Thrust-to-weight ratio</t>
  </si>
  <si>
    <t>2nd Segment</t>
  </si>
  <si>
    <t>Calculation of glide ratio</t>
  </si>
  <si>
    <t>Aspect ratio</t>
  </si>
  <si>
    <t>Lift coefficient, take-off</t>
  </si>
  <si>
    <t>Lift-independent drag coefficient, clean</t>
  </si>
  <si>
    <t>Lift-independent drag coefficient, slats</t>
  </si>
  <si>
    <t>Lift-independent drag coefficient, flaps</t>
  </si>
  <si>
    <t>Profile drag coefficient</t>
  </si>
  <si>
    <t>Oswald efficiency factor; landing configuration</t>
  </si>
  <si>
    <t>Glide ratio in take-off configuration</t>
  </si>
  <si>
    <t>Number of engines</t>
  </si>
  <si>
    <t>Climb gradient</t>
  </si>
  <si>
    <t>Missed approach</t>
  </si>
  <si>
    <t>Calculation of the glide ratio</t>
  </si>
  <si>
    <t>Lift coefficient, landing</t>
  </si>
  <si>
    <t>Choose: Certification basis</t>
  </si>
  <si>
    <t>&lt;&lt;&lt;&lt; Choose according to task</t>
  </si>
  <si>
    <t>Lift-independent drag coefficient, landing gear</t>
  </si>
  <si>
    <t>Glide ratio in landing configuration</t>
  </si>
  <si>
    <r>
      <t>Estimation of k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by means of 1.), 2.) or 3.)</t>
    </r>
  </si>
  <si>
    <t>1.)  From theory</t>
  </si>
  <si>
    <r>
      <t>Oswald efficiency factor for k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</si>
  <si>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f,eqv</t>
    </r>
  </si>
  <si>
    <t>Equivalent surface friction coefficient</t>
  </si>
  <si>
    <t>3.) From own statistics</t>
  </si>
  <si>
    <t>Relative wetted area</t>
  </si>
  <si>
    <t>Max. glide ratio</t>
  </si>
  <si>
    <r>
      <t>k</t>
    </r>
    <r>
      <rPr>
        <vertAlign val="subscript"/>
        <sz val="10"/>
        <rFont val="Arial"/>
        <family val="2"/>
      </rPr>
      <t>E    chosen</t>
    </r>
  </si>
  <si>
    <t>or</t>
  </si>
  <si>
    <r>
      <t>E</t>
    </r>
    <r>
      <rPr>
        <vertAlign val="subscript"/>
        <sz val="10"/>
        <rFont val="Arial"/>
        <family val="2"/>
      </rPr>
      <t>max chosen</t>
    </r>
  </si>
  <si>
    <t>(from sheet 1)</t>
  </si>
  <si>
    <t>1.) Peliminary Sizing I</t>
  </si>
  <si>
    <t>3.) Preliminary Sizing II</t>
  </si>
  <si>
    <t>Value</t>
  </si>
  <si>
    <t>By-pass ratio</t>
  </si>
  <si>
    <t>Oswald eff. factor, clean</t>
  </si>
  <si>
    <r>
      <t>Lift coefficient at E</t>
    </r>
    <r>
      <rPr>
        <vertAlign val="subscript"/>
        <sz val="10"/>
        <rFont val="Arial"/>
        <family val="2"/>
      </rPr>
      <t>max</t>
    </r>
  </si>
  <si>
    <t>Jet, Theory, Optimum:</t>
  </si>
  <si>
    <t>Constants</t>
  </si>
  <si>
    <t>Ratio of specific heats, air</t>
  </si>
  <si>
    <t>Earth acceleration</t>
  </si>
  <si>
    <t>Air pressure, ISA, standard</t>
  </si>
  <si>
    <t>Euler number</t>
  </si>
  <si>
    <t>Altitude</t>
  </si>
  <si>
    <t>Cruise</t>
  </si>
  <si>
    <t>Missed appr.</t>
  </si>
  <si>
    <t>Remarks:</t>
  </si>
  <si>
    <t>from sheet 1.)</t>
  </si>
  <si>
    <t>Repeat</t>
  </si>
  <si>
    <t>for plot</t>
  </si>
  <si>
    <t>Thrust ratio</t>
  </si>
  <si>
    <t>Cruise altitude</t>
  </si>
  <si>
    <r>
      <t>Temperature, h</t>
    </r>
    <r>
      <rPr>
        <vertAlign val="subscript"/>
        <sz val="10"/>
        <rFont val="Arial"/>
        <family val="2"/>
      </rPr>
      <t>CR</t>
    </r>
  </si>
  <si>
    <r>
      <t>Speed of sound, h</t>
    </r>
    <r>
      <rPr>
        <vertAlign val="subscript"/>
        <sz val="10"/>
        <rFont val="Arial"/>
        <family val="2"/>
      </rPr>
      <t>CR</t>
    </r>
  </si>
  <si>
    <t>Design range</t>
  </si>
  <si>
    <t>Distance to alternate</t>
  </si>
  <si>
    <r>
      <t>Chose:</t>
    </r>
    <r>
      <rPr>
        <sz val="10"/>
        <rFont val="Arial"/>
        <family val="2"/>
      </rPr>
      <t xml:space="preserve"> FAR Part121-Reserves?</t>
    </r>
  </si>
  <si>
    <t>Extra-fuel for long range</t>
  </si>
  <si>
    <t>Spec.fuel consumption, cruise</t>
  </si>
  <si>
    <t>typical value</t>
  </si>
  <si>
    <t>Extra time:</t>
  </si>
  <si>
    <t>Extra flight distance</t>
  </si>
  <si>
    <t>Breguet-Factor, cruise</t>
  </si>
  <si>
    <t>Fuel-Fraction, cruise</t>
  </si>
  <si>
    <t>Fuel-Fraction, extra fliht distance</t>
  </si>
  <si>
    <t>Loiter time</t>
  </si>
  <si>
    <t>Spec.fuel consumption, loiter</t>
  </si>
  <si>
    <t>Breguet-Factor, flight time</t>
  </si>
  <si>
    <t>Fuel-Fraction, loiter</t>
  </si>
  <si>
    <t>Fuel-Fraction, engine start</t>
  </si>
  <si>
    <t>Fuel-Fraction, taxi</t>
  </si>
  <si>
    <t>Fuel-Fraction, take-off</t>
  </si>
  <si>
    <t>Fuel-Fraction, climb</t>
  </si>
  <si>
    <t>Fuel-Fraction, descent</t>
  </si>
  <si>
    <t>Fuel-Fraction, landing</t>
  </si>
  <si>
    <t>Fuel-Fraction, standard flight</t>
  </si>
  <si>
    <t>Fuel-Fraction, all reserves</t>
  </si>
  <si>
    <t>Fuel-Fraction, total</t>
  </si>
  <si>
    <t>Realtive operating empty mass</t>
  </si>
  <si>
    <t>from statistics (if given)</t>
  </si>
  <si>
    <r>
      <t>Choose</t>
    </r>
    <r>
      <rPr>
        <sz val="10"/>
        <rFont val="Arial"/>
        <family val="2"/>
      </rPr>
      <t>: type of a/c</t>
    </r>
  </si>
  <si>
    <t>long range</t>
  </si>
  <si>
    <t>Mass: Passengers, including baggage</t>
  </si>
  <si>
    <t>Number of passengers</t>
  </si>
  <si>
    <t>Cargo mass</t>
  </si>
  <si>
    <t>Payload</t>
  </si>
  <si>
    <t>Max. landing mass</t>
  </si>
  <si>
    <t>Operating empty mass</t>
  </si>
  <si>
    <t>Mission fuel fraction</t>
  </si>
  <si>
    <t>Mission fuel fraction, standard flight</t>
  </si>
  <si>
    <t>Wing area</t>
  </si>
  <si>
    <t>Take-off thrust</t>
  </si>
  <si>
    <t>T-O thrust of ONE engine</t>
  </si>
  <si>
    <t>Fuel mass, needed</t>
  </si>
  <si>
    <t>Fuel density</t>
  </si>
  <si>
    <t>Fuel volume, needed</t>
  </si>
  <si>
    <t>Max. Payload</t>
  </si>
  <si>
    <t>Max. zero-fuel mass</t>
  </si>
  <si>
    <t>Fuel mass, all reserves</t>
  </si>
  <si>
    <t>Check of assumptions</t>
  </si>
  <si>
    <t>(check with tank geometry later on)</t>
  </si>
  <si>
    <t>one engine</t>
  </si>
  <si>
    <t>all engines together</t>
  </si>
  <si>
    <r>
      <t>M</t>
    </r>
    <r>
      <rPr>
        <vertAlign val="subscript"/>
        <sz val="10"/>
        <rFont val="Arial"/>
        <family val="2"/>
      </rPr>
      <t>ff</t>
    </r>
    <r>
      <rPr>
        <sz val="10"/>
        <rFont val="Arial"/>
        <family val="2"/>
      </rPr>
      <t xml:space="preserve"> per flight phases [Roskam]</t>
    </r>
  </si>
  <si>
    <t>Short- and Medium Range</t>
  </si>
  <si>
    <t>Long Range</t>
  </si>
  <si>
    <t>Cruise speed</t>
  </si>
  <si>
    <t>Max. glide ratio, cruise</t>
  </si>
  <si>
    <t>Zero-lift drag coefficient</t>
  </si>
  <si>
    <t>Mach number, cruise</t>
  </si>
  <si>
    <t>2.) Max. Glide Ratio in Curise</t>
  </si>
  <si>
    <t>Calculation of thrust-to-weight ratio</t>
  </si>
  <si>
    <t>Max. lift coefficient, take-off</t>
  </si>
  <si>
    <t>Slope</t>
  </si>
  <si>
    <t>Max. lift coefficient, landing</t>
  </si>
  <si>
    <t>&lt;&lt;&lt;&lt; Read design point from matching chart!</t>
  </si>
  <si>
    <r>
      <t xml:space="preserve">&lt;&lt;&lt;&lt; </t>
    </r>
    <r>
      <rPr>
        <sz val="10"/>
        <rFont val="Arial"/>
        <family val="2"/>
      </rPr>
      <t>Given data is correct when take-off and landing is sizing the aircraft at the same time.</t>
    </r>
  </si>
  <si>
    <t>Temperature, troposphere</t>
  </si>
  <si>
    <t>Reserve flight distance:</t>
  </si>
  <si>
    <t>&lt;&lt;&lt;&lt; Copy</t>
  </si>
  <si>
    <t>&lt;&lt;&lt;&lt; values</t>
  </si>
  <si>
    <t>&lt;&lt;&lt;&lt; from</t>
  </si>
  <si>
    <t>&lt;&lt;&lt;&lt; table</t>
  </si>
  <si>
    <t>&lt;&lt;&lt;&lt; on the</t>
  </si>
  <si>
    <t>&lt;&lt;&lt;&lt; right !</t>
  </si>
  <si>
    <t>yes</t>
  </si>
  <si>
    <t>no</t>
  </si>
  <si>
    <r>
      <t xml:space="preserve">(m/s²) </t>
    </r>
    <r>
      <rPr>
        <vertAlign val="superscript"/>
        <sz val="10"/>
        <color indexed="12"/>
        <rFont val="Arial"/>
        <family val="2"/>
      </rPr>
      <t>0.5</t>
    </r>
  </si>
  <si>
    <t>Zero-fuel mass</t>
  </si>
  <si>
    <r>
      <t>m</t>
    </r>
    <r>
      <rPr>
        <vertAlign val="subscript"/>
        <sz val="10"/>
        <rFont val="Arial"/>
        <family val="2"/>
      </rPr>
      <t>ZF</t>
    </r>
  </si>
  <si>
    <r>
      <t>m</t>
    </r>
    <r>
      <rPr>
        <vertAlign val="subscript"/>
        <sz val="10"/>
        <rFont val="Arial"/>
        <family val="2"/>
      </rPr>
      <t>ZF</t>
    </r>
    <r>
      <rPr>
        <sz val="10"/>
        <rFont val="Arial"/>
        <family val="2"/>
      </rPr>
      <t xml:space="preserve"> + m</t>
    </r>
    <r>
      <rPr>
        <vertAlign val="subscript"/>
        <sz val="10"/>
        <rFont val="Arial"/>
        <family val="2"/>
      </rPr>
      <t>F,res</t>
    </r>
  </si>
  <si>
    <r>
      <t>C</t>
    </r>
    <r>
      <rPr>
        <vertAlign val="subscript"/>
        <sz val="10"/>
        <rFont val="Arial"/>
        <family val="2"/>
      </rPr>
      <t>L,md</t>
    </r>
  </si>
  <si>
    <r>
      <t>V/V</t>
    </r>
    <r>
      <rPr>
        <vertAlign val="subscript"/>
        <sz val="10"/>
        <rFont val="Arial"/>
        <family val="2"/>
      </rPr>
      <t>md</t>
    </r>
  </si>
  <si>
    <r>
      <t>C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/C</t>
    </r>
    <r>
      <rPr>
        <vertAlign val="subscript"/>
        <sz val="10"/>
        <rFont val="Arial"/>
        <family val="2"/>
      </rPr>
      <t>L,md</t>
    </r>
  </si>
  <si>
    <t>CS-25</t>
  </si>
  <si>
    <t>(from part 2)</t>
  </si>
  <si>
    <t>(from part 1)</t>
  </si>
  <si>
    <r>
      <t>m</t>
    </r>
    <r>
      <rPr>
        <vertAlign val="subscript"/>
        <sz val="10"/>
        <rFont val="Arial"/>
        <family val="2"/>
      </rPr>
      <t>F,req</t>
    </r>
  </si>
  <si>
    <r>
      <t>V</t>
    </r>
    <r>
      <rPr>
        <vertAlign val="subscript"/>
        <sz val="10"/>
        <rFont val="Arial"/>
        <family val="2"/>
      </rPr>
      <t>F,req</t>
    </r>
  </si>
  <si>
    <r>
      <t>m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</si>
  <si>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/(m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*g)</t>
    </r>
  </si>
  <si>
    <t>Value for calculating Missed Approach (different in Cruise)</t>
  </si>
  <si>
    <t>Value for calculating 2nd Segment (different in Cruise)</t>
  </si>
  <si>
    <r>
      <t xml:space="preserve">   Values based on experience are </t>
    </r>
    <r>
      <rPr>
        <sz val="10"/>
        <color indexed="12"/>
        <rFont val="Arial"/>
        <family val="2"/>
      </rPr>
      <t>light blue</t>
    </r>
    <r>
      <rPr>
        <sz val="10"/>
        <rFont val="Arial"/>
        <family val="2"/>
      </rPr>
      <t>. Usually you should</t>
    </r>
  </si>
  <si>
    <t xml:space="preserve">       not change these values!</t>
  </si>
  <si>
    <t xml:space="preserve">  Example data: See Examination SS05</t>
  </si>
  <si>
    <t>Calculations for flight phases Approach, Landing, Take-Off, 2nd Segment and Missed Approach</t>
  </si>
  <si>
    <r>
      <t>Estimation of max. glide ratio in Cruise, E</t>
    </r>
    <r>
      <rPr>
        <b/>
        <vertAlign val="subscript"/>
        <sz val="10"/>
        <rFont val="Arial"/>
        <family val="2"/>
      </rPr>
      <t>max</t>
    </r>
  </si>
  <si>
    <t>2.) According to RAYMER</t>
  </si>
  <si>
    <t>short / medium or</t>
  </si>
  <si>
    <t>Cubic Wing loading at max. take-off mass</t>
  </si>
  <si>
    <t>short</t>
  </si>
  <si>
    <t>medium</t>
  </si>
  <si>
    <t>long</t>
  </si>
  <si>
    <t>ultra-long</t>
  </si>
  <si>
    <t>acc. to eq. (3.15)</t>
  </si>
  <si>
    <t>Mass ratio, landing - take-off</t>
  </si>
  <si>
    <r>
      <t>m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m </t>
    </r>
    <r>
      <rPr>
        <vertAlign val="subscript"/>
        <sz val="10"/>
        <rFont val="Arial"/>
        <family val="2"/>
      </rPr>
      <t>TO</t>
    </r>
  </si>
  <si>
    <t>iteration 1</t>
  </si>
  <si>
    <t>acc. to eq. (Raymer)</t>
  </si>
  <si>
    <t>Max. Take-off mass related with (Raymer)</t>
  </si>
  <si>
    <t>iteration 2</t>
  </si>
  <si>
    <t>iteration 3</t>
  </si>
  <si>
    <t>iteration 4</t>
  </si>
  <si>
    <t>iteration 5</t>
  </si>
  <si>
    <t>iteration 6</t>
  </si>
  <si>
    <t>iteration 7</t>
  </si>
  <si>
    <t>Max. Take-off mass</t>
  </si>
  <si>
    <t>Cubic Wing loading</t>
  </si>
  <si>
    <t>kg/m3</t>
  </si>
  <si>
    <r>
      <t>Mass ratio, landing</t>
    </r>
    <r>
      <rPr>
        <vertAlign val="superscript"/>
        <sz val="10"/>
        <rFont val="Arial"/>
        <family val="2"/>
      </rPr>
      <t>3/2</t>
    </r>
    <r>
      <rPr>
        <sz val="10"/>
        <rFont val="Arial"/>
        <family val="2"/>
      </rPr>
      <t xml:space="preserve"> - take-off</t>
    </r>
  </si>
  <si>
    <t>range</t>
  </si>
  <si>
    <r>
      <t>m</t>
    </r>
    <r>
      <rPr>
        <vertAlign val="subscript"/>
        <sz val="10"/>
        <rFont val="Arial"/>
        <family val="2"/>
      </rPr>
      <t>ML</t>
    </r>
    <r>
      <rPr>
        <vertAlign val="superscript"/>
        <sz val="10"/>
        <rFont val="Arial"/>
        <family val="2"/>
      </rPr>
      <t>3/2</t>
    </r>
    <r>
      <rPr>
        <sz val="10"/>
        <rFont val="Arial"/>
        <family val="2"/>
      </rPr>
      <t xml:space="preserve"> / m </t>
    </r>
    <r>
      <rPr>
        <vertAlign val="subscript"/>
        <sz val="10"/>
        <rFont val="Arial"/>
        <family val="2"/>
      </rPr>
      <t>TO</t>
    </r>
  </si>
  <si>
    <r>
      <t>m</t>
    </r>
    <r>
      <rPr>
        <vertAlign val="subscript"/>
        <sz val="10"/>
        <rFont val="Arial"/>
        <family val="2"/>
      </rPr>
      <t>MTO</t>
    </r>
    <r>
      <rPr>
        <vertAlign val="superscript"/>
        <sz val="10"/>
        <rFont val="Arial"/>
        <family val="2"/>
      </rPr>
      <t>3/2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</si>
  <si>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vertAlign val="superscript"/>
        <sz val="10"/>
        <rFont val="Arial"/>
        <family val="2"/>
      </rPr>
      <t>3/2</t>
    </r>
    <r>
      <rPr>
        <sz val="10"/>
        <rFont val="Arial"/>
        <family val="2"/>
      </rPr>
      <t xml:space="preserve"> [kg/m²]</t>
    </r>
  </si>
  <si>
    <r>
      <t>Thrust-to-weight ratio @ landing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>W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</si>
  <si>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vertAlign val="superscript"/>
        <sz val="10"/>
        <rFont val="Arial"/>
        <family val="2"/>
      </rPr>
      <t>3/2</t>
    </r>
  </si>
  <si>
    <t>IT1</t>
  </si>
  <si>
    <t>IT2</t>
  </si>
  <si>
    <t>IT3</t>
  </si>
  <si>
    <t>iteration 8</t>
  </si>
  <si>
    <t>iteration 9</t>
  </si>
  <si>
    <t>iteration 10</t>
  </si>
  <si>
    <t>iteration 11</t>
  </si>
  <si>
    <t>iteration 12</t>
  </si>
  <si>
    <t>iteration 13</t>
  </si>
  <si>
    <t>iteration 14</t>
  </si>
  <si>
    <t>iteration 15</t>
  </si>
  <si>
    <t>IT4</t>
  </si>
  <si>
    <t>IT5</t>
  </si>
  <si>
    <r>
      <t>&lt;&lt;&lt;&lt; Here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 xml:space="preserve"> is required. Itearation process is needed (from part 3)</t>
    </r>
  </si>
  <si>
    <r>
      <t>&lt;&lt;&lt;&lt; Final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 xml:space="preserve"> value</t>
    </r>
  </si>
  <si>
    <r>
      <t>m</t>
    </r>
    <r>
      <rPr>
        <b/>
        <u/>
        <vertAlign val="subscript"/>
        <sz val="10"/>
        <rFont val="Arial"/>
        <family val="2"/>
      </rPr>
      <t>OE</t>
    </r>
    <r>
      <rPr>
        <b/>
        <u/>
        <sz val="10"/>
        <rFont val="Arial"/>
        <family val="2"/>
      </rPr>
      <t>/m</t>
    </r>
    <r>
      <rPr>
        <b/>
        <u/>
        <vertAlign val="subscript"/>
        <sz val="10"/>
        <rFont val="Arial"/>
        <family val="2"/>
      </rPr>
      <t>MTO</t>
    </r>
    <r>
      <rPr>
        <b/>
        <u/>
        <sz val="10"/>
        <rFont val="Arial"/>
        <family val="2"/>
      </rPr>
      <t xml:space="preserve"> iteration</t>
    </r>
  </si>
  <si>
    <t>&lt;&lt;&lt;&lt; Estimate value for starting iteration (0,1-0,3)</t>
  </si>
  <si>
    <r>
      <t>m</t>
    </r>
    <r>
      <rPr>
        <b/>
        <u/>
        <vertAlign val="subscript"/>
        <sz val="10"/>
        <rFont val="Arial"/>
        <family val="2"/>
      </rPr>
      <t>MTO</t>
    </r>
    <r>
      <rPr>
        <b/>
        <u/>
        <sz val="10"/>
        <rFont val="Arial"/>
        <family val="2"/>
      </rPr>
      <t xml:space="preserve"> iteration</t>
    </r>
  </si>
  <si>
    <r>
      <t>Calculations for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>, fuel mass, operating empty mass, cruise, matching chart</t>
    </r>
  </si>
  <si>
    <r>
      <t>and aircraft parameters m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>, S</t>
    </r>
    <r>
      <rPr>
        <b/>
        <vertAlign val="subscript"/>
        <sz val="10"/>
        <rFont val="Arial"/>
        <family val="2"/>
      </rPr>
      <t>W</t>
    </r>
    <r>
      <rPr>
        <b/>
        <sz val="10"/>
        <rFont val="Arial"/>
        <family val="2"/>
      </rPr>
      <t>, T</t>
    </r>
    <r>
      <rPr>
        <b/>
        <vertAlign val="subscript"/>
        <sz val="10"/>
        <rFont val="Arial"/>
        <family val="2"/>
      </rPr>
      <t>TO</t>
    </r>
    <r>
      <rPr>
        <b/>
        <sz val="10"/>
        <rFont val="Arial"/>
        <family val="2"/>
      </rPr>
      <t>, …</t>
    </r>
  </si>
  <si>
    <t>Matching Chart</t>
  </si>
  <si>
    <r>
      <t>Max. Take-off mass related with 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from statistics</t>
    </r>
  </si>
  <si>
    <t>&lt;&lt;&lt;&lt; From IT1</t>
  </si>
  <si>
    <t>&lt;&lt;&lt;&lt; From IT5</t>
  </si>
  <si>
    <t>Max. Take-off mass related with (4.17)</t>
  </si>
  <si>
    <t xml:space="preserve">   Modified by student Alfonso Láinez Muñiz</t>
  </si>
  <si>
    <t>with Cubinc Wing Loading</t>
  </si>
  <si>
    <t>Preliminary Sizing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</si>
</sst>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0.0000000"/>
    <numFmt numFmtId="167" formatCode="0.00000"/>
  </numFmts>
  <fonts count="23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vertAlign val="superscript"/>
      <sz val="10"/>
      <color indexed="12"/>
      <name val="Arial"/>
      <family val="2"/>
    </font>
    <font>
      <u/>
      <sz val="10"/>
      <color theme="11"/>
      <name val="Arial"/>
      <family val="2"/>
    </font>
    <font>
      <vertAlign val="superscript"/>
      <sz val="10"/>
      <name val="Arial"/>
      <family val="2"/>
    </font>
    <font>
      <b/>
      <sz val="10"/>
      <color rgb="FFFF0000"/>
      <name val="Arial"/>
      <family val="2"/>
    </font>
    <font>
      <b/>
      <u/>
      <vertAlign val="subscript"/>
      <sz val="10"/>
      <name val="Arial"/>
      <family val="2"/>
    </font>
    <font>
      <b/>
      <sz val="10"/>
      <color theme="1"/>
      <name val="Arial"/>
      <family val="2"/>
    </font>
    <font>
      <b/>
      <sz val="16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73">
    <xf numFmtId="0" fontId="0" fillId="0" borderId="0" xfId="0"/>
    <xf numFmtId="0" fontId="0" fillId="0" borderId="1" xfId="0" applyBorder="1"/>
    <xf numFmtId="0" fontId="4" fillId="0" borderId="0" xfId="0" applyFont="1"/>
    <xf numFmtId="0" fontId="0" fillId="0" borderId="1" xfId="0" applyBorder="1" applyAlignment="1">
      <alignment horizontal="right"/>
    </xf>
    <xf numFmtId="0" fontId="5" fillId="0" borderId="0" xfId="0" applyFont="1"/>
    <xf numFmtId="2" fontId="0" fillId="0" borderId="0" xfId="0" applyNumberFormat="1"/>
    <xf numFmtId="1" fontId="0" fillId="0" borderId="0" xfId="0" applyNumberFormat="1"/>
    <xf numFmtId="1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0" xfId="0" applyBorder="1"/>
    <xf numFmtId="2" fontId="0" fillId="0" borderId="0" xfId="0" applyNumberFormat="1" applyBorder="1"/>
    <xf numFmtId="1" fontId="0" fillId="0" borderId="0" xfId="0" applyNumberFormat="1" applyBorder="1"/>
    <xf numFmtId="0" fontId="1" fillId="0" borderId="0" xfId="0" applyFont="1"/>
    <xf numFmtId="0" fontId="7" fillId="0" borderId="0" xfId="0" applyFont="1"/>
    <xf numFmtId="164" fontId="0" fillId="0" borderId="0" xfId="0" applyNumberFormat="1"/>
    <xf numFmtId="165" fontId="0" fillId="0" borderId="0" xfId="0" applyNumberFormat="1"/>
    <xf numFmtId="0" fontId="8" fillId="0" borderId="0" xfId="0" applyFont="1"/>
    <xf numFmtId="0" fontId="2" fillId="0" borderId="0" xfId="0" applyFont="1"/>
    <xf numFmtId="0" fontId="0" fillId="0" borderId="0" xfId="0" quotePrefix="1"/>
    <xf numFmtId="164" fontId="6" fillId="0" borderId="0" xfId="0" applyNumberFormat="1" applyFont="1"/>
    <xf numFmtId="0" fontId="0" fillId="0" borderId="0" xfId="0" applyAlignment="1">
      <alignment horizontal="center"/>
    </xf>
    <xf numFmtId="0" fontId="6" fillId="0" borderId="0" xfId="0" applyFont="1"/>
    <xf numFmtId="0" fontId="9" fillId="0" borderId="0" xfId="0" applyFo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2" xfId="0" applyBorder="1"/>
    <xf numFmtId="1" fontId="0" fillId="0" borderId="3" xfId="0" applyNumberFormat="1" applyBorder="1"/>
    <xf numFmtId="0" fontId="0" fillId="0" borderId="4" xfId="0" applyBorder="1" applyAlignment="1">
      <alignment horizontal="right"/>
    </xf>
    <xf numFmtId="164" fontId="0" fillId="0" borderId="5" xfId="0" applyNumberFormat="1" applyBorder="1"/>
    <xf numFmtId="0" fontId="0" fillId="0" borderId="5" xfId="0" applyBorder="1"/>
    <xf numFmtId="0" fontId="0" fillId="0" borderId="4" xfId="0" applyBorder="1"/>
    <xf numFmtId="2" fontId="0" fillId="0" borderId="5" xfId="0" applyNumberFormat="1" applyBorder="1"/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0" fillId="0" borderId="6" xfId="0" applyBorder="1"/>
    <xf numFmtId="0" fontId="0" fillId="0" borderId="9" xfId="0" applyBorder="1" applyAlignment="1">
      <alignment horizontal="right"/>
    </xf>
    <xf numFmtId="0" fontId="0" fillId="0" borderId="10" xfId="0" applyBorder="1"/>
    <xf numFmtId="1" fontId="9" fillId="0" borderId="0" xfId="0" applyNumberFormat="1" applyFont="1"/>
    <xf numFmtId="0" fontId="0" fillId="0" borderId="7" xfId="0" applyBorder="1" applyAlignment="1">
      <alignment horizontal="right"/>
    </xf>
    <xf numFmtId="164" fontId="0" fillId="0" borderId="2" xfId="0" applyNumberFormat="1" applyBorder="1"/>
    <xf numFmtId="0" fontId="0" fillId="0" borderId="8" xfId="0" applyBorder="1"/>
    <xf numFmtId="0" fontId="0" fillId="0" borderId="12" xfId="0" applyBorder="1"/>
    <xf numFmtId="0" fontId="0" fillId="0" borderId="8" xfId="0" applyBorder="1" applyAlignment="1">
      <alignment horizontal="right"/>
    </xf>
    <xf numFmtId="164" fontId="9" fillId="0" borderId="0" xfId="0" applyNumberFormat="1" applyFont="1" applyAlignment="1">
      <alignment horizontal="right"/>
    </xf>
    <xf numFmtId="164" fontId="9" fillId="0" borderId="0" xfId="0" applyNumberFormat="1" applyFont="1"/>
    <xf numFmtId="1" fontId="12" fillId="0" borderId="0" xfId="0" applyNumberFormat="1" applyFont="1"/>
    <xf numFmtId="0" fontId="12" fillId="0" borderId="0" xfId="0" applyFont="1"/>
    <xf numFmtId="2" fontId="9" fillId="0" borderId="0" xfId="0" applyNumberFormat="1" applyFont="1"/>
    <xf numFmtId="164" fontId="12" fillId="0" borderId="0" xfId="0" applyNumberFormat="1" applyFont="1"/>
    <xf numFmtId="166" fontId="12" fillId="0" borderId="0" xfId="0" applyNumberFormat="1" applyFont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2" fontId="0" fillId="0" borderId="14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0" fontId="8" fillId="0" borderId="15" xfId="0" applyFont="1" applyBorder="1" applyAlignment="1">
      <alignment horizontal="right"/>
    </xf>
    <xf numFmtId="1" fontId="12" fillId="0" borderId="0" xfId="0" applyNumberFormat="1" applyFont="1" applyAlignment="1">
      <alignment horizontal="right"/>
    </xf>
    <xf numFmtId="1" fontId="6" fillId="0" borderId="0" xfId="0" applyNumberFormat="1" applyFont="1"/>
    <xf numFmtId="0" fontId="10" fillId="0" borderId="0" xfId="0" applyFont="1"/>
    <xf numFmtId="165" fontId="6" fillId="0" borderId="0" xfId="0" applyNumberFormat="1" applyFont="1"/>
    <xf numFmtId="165" fontId="12" fillId="0" borderId="0" xfId="0" applyNumberFormat="1" applyFont="1"/>
    <xf numFmtId="165" fontId="9" fillId="0" borderId="0" xfId="0" applyNumberFormat="1" applyFont="1"/>
    <xf numFmtId="164" fontId="10" fillId="0" borderId="0" xfId="0" applyNumberFormat="1" applyFont="1"/>
    <xf numFmtId="0" fontId="5" fillId="0" borderId="4" xfId="0" applyFont="1" applyBorder="1" applyAlignment="1">
      <alignment horizontal="right"/>
    </xf>
    <xf numFmtId="0" fontId="14" fillId="0" borderId="0" xfId="0" applyFont="1"/>
    <xf numFmtId="2" fontId="12" fillId="0" borderId="0" xfId="0" applyNumberFormat="1" applyFont="1"/>
    <xf numFmtId="0" fontId="9" fillId="0" borderId="0" xfId="0" applyFont="1" applyAlignment="1">
      <alignment horizontal="right"/>
    </xf>
    <xf numFmtId="2" fontId="6" fillId="0" borderId="0" xfId="0" applyNumberFormat="1" applyFont="1"/>
    <xf numFmtId="0" fontId="0" fillId="0" borderId="0" xfId="0" applyFill="1" applyBorder="1"/>
    <xf numFmtId="0" fontId="0" fillId="0" borderId="4" xfId="0" applyFill="1" applyBorder="1"/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Border="1"/>
    <xf numFmtId="0" fontId="8" fillId="0" borderId="0" xfId="0" applyFont="1" applyBorder="1"/>
    <xf numFmtId="0" fontId="0" fillId="0" borderId="16" xfId="0" applyBorder="1"/>
    <xf numFmtId="0" fontId="8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6" fillId="0" borderId="21" xfId="0" applyFont="1" applyBorder="1"/>
    <xf numFmtId="0" fontId="0" fillId="0" borderId="22" xfId="0" applyBorder="1"/>
    <xf numFmtId="0" fontId="0" fillId="0" borderId="23" xfId="0" applyBorder="1"/>
    <xf numFmtId="0" fontId="0" fillId="0" borderId="0" xfId="0" applyAlignment="1">
      <alignment horizontal="right"/>
    </xf>
    <xf numFmtId="0" fontId="0" fillId="0" borderId="17" xfId="0" applyBorder="1"/>
    <xf numFmtId="0" fontId="8" fillId="0" borderId="19" xfId="0" applyFont="1" applyBorder="1"/>
    <xf numFmtId="0" fontId="5" fillId="0" borderId="0" xfId="0" applyFont="1" applyFill="1" applyBorder="1"/>
    <xf numFmtId="0" fontId="0" fillId="0" borderId="9" xfId="0" applyBorder="1"/>
    <xf numFmtId="164" fontId="0" fillId="0" borderId="1" xfId="0" applyNumberFormat="1" applyBorder="1"/>
    <xf numFmtId="0" fontId="15" fillId="0" borderId="19" xfId="1" applyFont="1" applyBorder="1" applyAlignment="1" applyProtection="1"/>
    <xf numFmtId="0" fontId="0" fillId="0" borderId="7" xfId="0" applyBorder="1"/>
    <xf numFmtId="2" fontId="10" fillId="0" borderId="0" xfId="0" applyNumberFormat="1" applyFont="1"/>
    <xf numFmtId="164" fontId="10" fillId="0" borderId="2" xfId="0" applyNumberFormat="1" applyFont="1" applyBorder="1"/>
    <xf numFmtId="164" fontId="6" fillId="0" borderId="2" xfId="0" applyNumberFormat="1" applyFont="1" applyBorder="1"/>
    <xf numFmtId="0" fontId="2" fillId="0" borderId="7" xfId="0" applyFont="1" applyBorder="1" applyAlignment="1">
      <alignment horizontal="right"/>
    </xf>
    <xf numFmtId="0" fontId="2" fillId="0" borderId="19" xfId="0" applyFont="1" applyBorder="1"/>
    <xf numFmtId="0" fontId="2" fillId="0" borderId="21" xfId="0" applyFont="1" applyBorder="1"/>
    <xf numFmtId="0" fontId="0" fillId="0" borderId="0" xfId="0" applyFont="1"/>
    <xf numFmtId="0" fontId="0" fillId="0" borderId="0" xfId="0" applyFill="1"/>
    <xf numFmtId="2" fontId="0" fillId="0" borderId="0" xfId="0" applyNumberFormat="1" applyFont="1"/>
    <xf numFmtId="0" fontId="0" fillId="0" borderId="0" xfId="0" applyFont="1" applyAlignment="1">
      <alignment wrapText="1"/>
    </xf>
    <xf numFmtId="164" fontId="0" fillId="0" borderId="0" xfId="0" applyNumberFormat="1" applyFont="1" applyFill="1"/>
    <xf numFmtId="2" fontId="0" fillId="0" borderId="1" xfId="0" applyNumberFormat="1" applyBorder="1"/>
    <xf numFmtId="2" fontId="0" fillId="0" borderId="1" xfId="0" applyNumberFormat="1" applyFill="1" applyBorder="1"/>
    <xf numFmtId="2" fontId="0" fillId="0" borderId="2" xfId="0" applyNumberFormat="1" applyBorder="1"/>
    <xf numFmtId="1" fontId="0" fillId="0" borderId="0" xfId="0" applyNumberFormat="1" applyFill="1"/>
    <xf numFmtId="1" fontId="12" fillId="0" borderId="0" xfId="0" applyNumberFormat="1" applyFont="1" applyFill="1"/>
    <xf numFmtId="0" fontId="1" fillId="0" borderId="0" xfId="0" applyFont="1" applyFill="1"/>
    <xf numFmtId="164" fontId="2" fillId="0" borderId="0" xfId="0" applyNumberFormat="1" applyFont="1" applyFill="1"/>
    <xf numFmtId="0" fontId="12" fillId="0" borderId="0" xfId="0" applyFont="1" applyFill="1"/>
    <xf numFmtId="2" fontId="2" fillId="0" borderId="0" xfId="0" applyNumberFormat="1" applyFont="1" applyFill="1"/>
    <xf numFmtId="0" fontId="2" fillId="0" borderId="0" xfId="0" applyFont="1" applyFill="1"/>
    <xf numFmtId="1" fontId="2" fillId="0" borderId="0" xfId="0" applyNumberFormat="1" applyFont="1" applyFill="1"/>
    <xf numFmtId="1" fontId="9" fillId="0" borderId="0" xfId="0" applyNumberFormat="1" applyFont="1" applyFill="1"/>
    <xf numFmtId="0" fontId="9" fillId="0" borderId="0" xfId="0" applyFont="1" applyFill="1"/>
    <xf numFmtId="0" fontId="6" fillId="0" borderId="0" xfId="0" applyFont="1" applyFill="1"/>
    <xf numFmtId="0" fontId="10" fillId="0" borderId="0" xfId="0" applyFont="1" applyFill="1"/>
    <xf numFmtId="0" fontId="8" fillId="0" borderId="0" xfId="0" applyFont="1" applyFill="1"/>
    <xf numFmtId="164" fontId="9" fillId="0" borderId="0" xfId="0" applyNumberFormat="1" applyFont="1" applyFill="1" applyAlignment="1">
      <alignment horizontal="right"/>
    </xf>
    <xf numFmtId="0" fontId="0" fillId="0" borderId="15" xfId="0" applyFill="1" applyBorder="1"/>
    <xf numFmtId="0" fontId="0" fillId="0" borderId="6" xfId="0" applyFill="1" applyBorder="1" applyAlignment="1">
      <alignment horizontal="right"/>
    </xf>
    <xf numFmtId="0" fontId="0" fillId="0" borderId="7" xfId="0" applyFill="1" applyBorder="1"/>
    <xf numFmtId="1" fontId="12" fillId="0" borderId="0" xfId="0" applyNumberFormat="1" applyFont="1" applyFill="1" applyAlignment="1">
      <alignment horizontal="right"/>
    </xf>
    <xf numFmtId="0" fontId="0" fillId="0" borderId="10" xfId="0" applyFill="1" applyBorder="1"/>
    <xf numFmtId="0" fontId="0" fillId="0" borderId="14" xfId="0" applyFill="1" applyBorder="1"/>
    <xf numFmtId="0" fontId="0" fillId="0" borderId="11" xfId="0" applyFill="1" applyBorder="1"/>
    <xf numFmtId="9" fontId="6" fillId="0" borderId="0" xfId="0" applyNumberFormat="1" applyFont="1" applyFill="1" applyAlignment="1">
      <alignment horizontal="left"/>
    </xf>
    <xf numFmtId="9" fontId="10" fillId="0" borderId="0" xfId="0" applyNumberFormat="1" applyFont="1" applyFill="1"/>
    <xf numFmtId="0" fontId="0" fillId="0" borderId="9" xfId="0" applyFill="1" applyBorder="1"/>
    <xf numFmtId="0" fontId="0" fillId="0" borderId="1" xfId="0" applyFill="1" applyBorder="1"/>
    <xf numFmtId="0" fontId="0" fillId="0" borderId="2" xfId="0" applyFill="1" applyBorder="1"/>
    <xf numFmtId="1" fontId="6" fillId="0" borderId="0" xfId="0" applyNumberFormat="1" applyFont="1" applyFill="1" applyAlignment="1">
      <alignment horizontal="right"/>
    </xf>
    <xf numFmtId="11" fontId="9" fillId="0" borderId="0" xfId="0" applyNumberFormat="1" applyFont="1" applyFill="1"/>
    <xf numFmtId="11" fontId="6" fillId="0" borderId="0" xfId="0" applyNumberFormat="1" applyFont="1" applyFill="1"/>
    <xf numFmtId="11" fontId="0" fillId="0" borderId="0" xfId="0" applyNumberFormat="1" applyFill="1"/>
    <xf numFmtId="164" fontId="0" fillId="0" borderId="0" xfId="0" applyNumberFormat="1" applyFill="1"/>
    <xf numFmtId="0" fontId="0" fillId="0" borderId="3" xfId="0" applyFill="1" applyBorder="1"/>
    <xf numFmtId="0" fontId="0" fillId="0" borderId="8" xfId="0" applyFill="1" applyBorder="1"/>
    <xf numFmtId="0" fontId="0" fillId="0" borderId="6" xfId="0" applyFill="1" applyBorder="1" applyAlignment="1">
      <alignment horizontal="centerContinuous"/>
    </xf>
    <xf numFmtId="0" fontId="0" fillId="0" borderId="7" xfId="0" applyFill="1" applyBorder="1" applyAlignment="1">
      <alignment horizontal="centerContinuous"/>
    </xf>
    <xf numFmtId="0" fontId="0" fillId="0" borderId="8" xfId="0" applyFill="1" applyBorder="1" applyAlignment="1">
      <alignment horizontal="right"/>
    </xf>
    <xf numFmtId="0" fontId="0" fillId="0" borderId="7" xfId="0" applyFill="1" applyBorder="1" applyAlignment="1">
      <alignment horizontal="right"/>
    </xf>
    <xf numFmtId="164" fontId="9" fillId="0" borderId="0" xfId="0" applyNumberFormat="1" applyFont="1" applyFill="1" applyBorder="1"/>
    <xf numFmtId="0" fontId="0" fillId="0" borderId="12" xfId="0" applyFill="1" applyBorder="1"/>
    <xf numFmtId="164" fontId="0" fillId="0" borderId="12" xfId="0" applyNumberFormat="1" applyFill="1" applyBorder="1"/>
    <xf numFmtId="164" fontId="0" fillId="0" borderId="11" xfId="0" applyNumberFormat="1" applyFill="1" applyBorder="1"/>
    <xf numFmtId="0" fontId="0" fillId="0" borderId="5" xfId="0" applyFill="1" applyBorder="1"/>
    <xf numFmtId="164" fontId="0" fillId="0" borderId="5" xfId="0" applyNumberFormat="1" applyFill="1" applyBorder="1"/>
    <xf numFmtId="164" fontId="8" fillId="0" borderId="3" xfId="0" applyNumberFormat="1" applyFont="1" applyFill="1" applyBorder="1"/>
    <xf numFmtId="164" fontId="0" fillId="0" borderId="3" xfId="0" applyNumberFormat="1" applyFill="1" applyBorder="1"/>
    <xf numFmtId="164" fontId="0" fillId="0" borderId="4" xfId="0" applyNumberFormat="1" applyFill="1" applyBorder="1"/>
    <xf numFmtId="164" fontId="0" fillId="0" borderId="2" xfId="0" applyNumberFormat="1" applyFill="1" applyBorder="1"/>
    <xf numFmtId="164" fontId="9" fillId="0" borderId="0" xfId="0" applyNumberFormat="1" applyFont="1" applyFill="1"/>
    <xf numFmtId="165" fontId="6" fillId="0" borderId="0" xfId="0" applyNumberFormat="1" applyFont="1" applyFill="1" applyAlignment="1">
      <alignment horizontal="right"/>
    </xf>
    <xf numFmtId="165" fontId="10" fillId="0" borderId="2" xfId="0" applyNumberFormat="1" applyFont="1" applyFill="1" applyBorder="1"/>
    <xf numFmtId="0" fontId="10" fillId="0" borderId="2" xfId="0" applyFont="1" applyFill="1" applyBorder="1"/>
    <xf numFmtId="0" fontId="19" fillId="0" borderId="0" xfId="0" applyFont="1" applyFill="1"/>
    <xf numFmtId="0" fontId="0" fillId="0" borderId="0" xfId="0" applyFill="1" applyBorder="1" applyAlignment="1">
      <alignment horizontal="right"/>
    </xf>
    <xf numFmtId="11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ont="1" applyFill="1"/>
    <xf numFmtId="0" fontId="0" fillId="0" borderId="0" xfId="0" applyFont="1" applyFill="1" applyAlignment="1">
      <alignment wrapText="1"/>
    </xf>
    <xf numFmtId="164" fontId="12" fillId="0" borderId="0" xfId="0" applyNumberFormat="1" applyFont="1" applyFill="1"/>
    <xf numFmtId="0" fontId="7" fillId="0" borderId="0" xfId="0" applyFont="1" applyFill="1"/>
    <xf numFmtId="0" fontId="9" fillId="2" borderId="0" xfId="0" applyFont="1" applyFill="1"/>
    <xf numFmtId="164" fontId="21" fillId="2" borderId="0" xfId="0" applyNumberFormat="1" applyFont="1" applyFill="1"/>
    <xf numFmtId="1" fontId="12" fillId="2" borderId="0" xfId="0" applyNumberFormat="1" applyFont="1" applyFill="1"/>
    <xf numFmtId="1" fontId="19" fillId="0" borderId="0" xfId="0" applyNumberFormat="1" applyFont="1" applyFill="1"/>
    <xf numFmtId="167" fontId="0" fillId="0" borderId="0" xfId="0" applyNumberFormat="1" applyFill="1"/>
    <xf numFmtId="0" fontId="1" fillId="0" borderId="19" xfId="0" applyFont="1" applyBorder="1"/>
    <xf numFmtId="0" fontId="22" fillId="0" borderId="0" xfId="0" applyFont="1"/>
  </cellXfs>
  <cellStyles count="5">
    <cellStyle name="Besuchter Hyperlink" xfId="2" builtinId="9" hidden="1"/>
    <cellStyle name="Besuchter Hyperlink" xfId="3" builtinId="9" hidden="1"/>
    <cellStyle name="Besuchter Hyperlink" xfId="4" builtinId="9" hidden="1"/>
    <cellStyle name="Hyperlink" xfId="1" builtinId="8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B4C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10" Type="http://schemas.openxmlformats.org/officeDocument/2006/relationships/worksheet" Target="worksheets/sheet9.xml"/><Relationship Id="rId19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Matching Chart</a:t>
            </a:r>
          </a:p>
        </c:rich>
      </c:tx>
      <c:layout>
        <c:manualLayout>
          <c:xMode val="edge"/>
          <c:yMode val="edge"/>
          <c:x val="0.43645833333333306"/>
          <c:y val="2.020202020202020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0375272036562"/>
          <c:y val="6.2227040206302105E-2"/>
          <c:w val="0.83099124312042016"/>
          <c:h val="0.83852115331044907"/>
        </c:manualLayout>
      </c:layout>
      <c:scatterChart>
        <c:scatterStyle val="lineMarker"/>
        <c:ser>
          <c:idx val="0"/>
          <c:order val="0"/>
          <c:tx>
            <c:strRef>
              <c:f>'3.) Preliminary Sizing II'!$G$117</c:f>
              <c:strCache>
                <c:ptCount val="1"/>
                <c:pt idx="0">
                  <c:v>2nd Segment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'3.) Preliminary Sizing II'!$F$119:$F$136</c:f>
              <c:numCache>
                <c:formatCode>0</c:formatCode>
                <c:ptCount val="18"/>
                <c:pt idx="0">
                  <c:v>177.19092571695771</c:v>
                </c:pt>
                <c:pt idx="1">
                  <c:v>148.01709855550826</c:v>
                </c:pt>
                <c:pt idx="2">
                  <c:v>123.12827455521699</c:v>
                </c:pt>
                <c:pt idx="3">
                  <c:v>101.97458415220478</c:v>
                </c:pt>
                <c:pt idx="4">
                  <c:v>84.066055069518356</c:v>
                </c:pt>
                <c:pt idx="5">
                  <c:v>68.967303212488957</c:v>
                </c:pt>
                <c:pt idx="6">
                  <c:v>56.292581291854908</c:v>
                </c:pt>
                <c:pt idx="7">
                  <c:v>45.701169045158743</c:v>
                </c:pt>
                <c:pt idx="8">
                  <c:v>36.893089276686666</c:v>
                </c:pt>
                <c:pt idx="9">
                  <c:v>29.605134287005846</c:v>
                </c:pt>
                <c:pt idx="10">
                  <c:v>23.607187614985982</c:v>
                </c:pt>
                <c:pt idx="11">
                  <c:v>18.69882636810814</c:v>
                </c:pt>
                <c:pt idx="12">
                  <c:v>14.748586606392507</c:v>
                </c:pt>
                <c:pt idx="13">
                  <c:v>11.641743949524134</c:v>
                </c:pt>
                <c:pt idx="14">
                  <c:v>9.1893688394207516</c:v>
                </c:pt>
                <c:pt idx="15">
                  <c:v>7.253595340444587</c:v>
                </c:pt>
                <c:pt idx="16">
                  <c:v>31.769783981656172</c:v>
                </c:pt>
                <c:pt idx="17">
                  <c:v>31.869783981656173</c:v>
                </c:pt>
              </c:numCache>
            </c:numRef>
          </c:xVal>
          <c:yVal>
            <c:numRef>
              <c:f>'3.) Preliminary Sizing II'!$G$119:$G$136</c:f>
              <c:numCache>
                <c:formatCode>0.000</c:formatCode>
                <c:ptCount val="18"/>
                <c:pt idx="0">
                  <c:v>0.23064223875828477</c:v>
                </c:pt>
                <c:pt idx="1">
                  <c:v>0.23064223875828477</c:v>
                </c:pt>
                <c:pt idx="2">
                  <c:v>0.23064223875828477</c:v>
                </c:pt>
                <c:pt idx="3">
                  <c:v>0.23064223875828477</c:v>
                </c:pt>
                <c:pt idx="4">
                  <c:v>0.23064223875828477</c:v>
                </c:pt>
                <c:pt idx="5">
                  <c:v>0.23064223875828477</c:v>
                </c:pt>
                <c:pt idx="6">
                  <c:v>0.23064223875828477</c:v>
                </c:pt>
                <c:pt idx="7">
                  <c:v>0.23064223875828477</c:v>
                </c:pt>
                <c:pt idx="8">
                  <c:v>0.23064223875828477</c:v>
                </c:pt>
                <c:pt idx="9">
                  <c:v>0.23064223875828477</c:v>
                </c:pt>
                <c:pt idx="10">
                  <c:v>0.23064223875828477</c:v>
                </c:pt>
                <c:pt idx="11">
                  <c:v>0.23064223875828477</c:v>
                </c:pt>
                <c:pt idx="12">
                  <c:v>0.23064223875828477</c:v>
                </c:pt>
                <c:pt idx="13">
                  <c:v>0.23064223875828477</c:v>
                </c:pt>
                <c:pt idx="14">
                  <c:v>0.23064223875828477</c:v>
                </c:pt>
                <c:pt idx="15">
                  <c:v>0.23064223875828477</c:v>
                </c:pt>
              </c:numCache>
            </c:numRef>
          </c:yVal>
        </c:ser>
        <c:ser>
          <c:idx val="1"/>
          <c:order val="1"/>
          <c:tx>
            <c:strRef>
              <c:f>'3.) Preliminary Sizing II'!$H$117</c:f>
              <c:strCache>
                <c:ptCount val="1"/>
                <c:pt idx="0">
                  <c:v>Missed appr.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'3.) Preliminary Sizing II'!$F$119:$F$136</c:f>
              <c:numCache>
                <c:formatCode>0</c:formatCode>
                <c:ptCount val="18"/>
                <c:pt idx="0">
                  <c:v>177.19092571695771</c:v>
                </c:pt>
                <c:pt idx="1">
                  <c:v>148.01709855550826</c:v>
                </c:pt>
                <c:pt idx="2">
                  <c:v>123.12827455521699</c:v>
                </c:pt>
                <c:pt idx="3">
                  <c:v>101.97458415220478</c:v>
                </c:pt>
                <c:pt idx="4">
                  <c:v>84.066055069518356</c:v>
                </c:pt>
                <c:pt idx="5">
                  <c:v>68.967303212488957</c:v>
                </c:pt>
                <c:pt idx="6">
                  <c:v>56.292581291854908</c:v>
                </c:pt>
                <c:pt idx="7">
                  <c:v>45.701169045158743</c:v>
                </c:pt>
                <c:pt idx="8">
                  <c:v>36.893089276686666</c:v>
                </c:pt>
                <c:pt idx="9">
                  <c:v>29.605134287005846</c:v>
                </c:pt>
                <c:pt idx="10">
                  <c:v>23.607187614985982</c:v>
                </c:pt>
                <c:pt idx="11">
                  <c:v>18.69882636810814</c:v>
                </c:pt>
                <c:pt idx="12">
                  <c:v>14.748586606392507</c:v>
                </c:pt>
                <c:pt idx="13">
                  <c:v>11.641743949524134</c:v>
                </c:pt>
                <c:pt idx="14">
                  <c:v>9.1893688394207516</c:v>
                </c:pt>
                <c:pt idx="15">
                  <c:v>7.253595340444587</c:v>
                </c:pt>
                <c:pt idx="16">
                  <c:v>31.769783981656172</c:v>
                </c:pt>
                <c:pt idx="17">
                  <c:v>31.869783981656173</c:v>
                </c:pt>
              </c:numCache>
            </c:numRef>
          </c:xVal>
          <c:yVal>
            <c:numRef>
              <c:f>'3.) Preliminary Sizing II'!$H$119:$H$136</c:f>
              <c:numCache>
                <c:formatCode>0.000</c:formatCode>
                <c:ptCount val="18"/>
                <c:pt idx="0">
                  <c:v>0.19172786937678182</c:v>
                </c:pt>
                <c:pt idx="1">
                  <c:v>0.19172786937678182</c:v>
                </c:pt>
                <c:pt idx="2">
                  <c:v>0.19172786937678182</c:v>
                </c:pt>
                <c:pt idx="3">
                  <c:v>0.19172786937678182</c:v>
                </c:pt>
                <c:pt idx="4">
                  <c:v>0.19172786937678182</c:v>
                </c:pt>
                <c:pt idx="5">
                  <c:v>0.19172786937678182</c:v>
                </c:pt>
                <c:pt idx="6">
                  <c:v>0.19172786937678182</c:v>
                </c:pt>
                <c:pt idx="7">
                  <c:v>0.19172786937678182</c:v>
                </c:pt>
                <c:pt idx="8">
                  <c:v>0.19172786937678182</c:v>
                </c:pt>
                <c:pt idx="9">
                  <c:v>0.19172786937678182</c:v>
                </c:pt>
                <c:pt idx="10">
                  <c:v>0.19172786937678182</c:v>
                </c:pt>
                <c:pt idx="11">
                  <c:v>0.19172786937678182</c:v>
                </c:pt>
                <c:pt idx="12">
                  <c:v>0.19172786937678182</c:v>
                </c:pt>
                <c:pt idx="13">
                  <c:v>0.19172786937678182</c:v>
                </c:pt>
                <c:pt idx="14">
                  <c:v>0.19172786937678182</c:v>
                </c:pt>
                <c:pt idx="15">
                  <c:v>0.19172786937678182</c:v>
                </c:pt>
              </c:numCache>
            </c:numRef>
          </c:yVal>
        </c:ser>
        <c:ser>
          <c:idx val="2"/>
          <c:order val="2"/>
          <c:tx>
            <c:strRef>
              <c:f>'3.) Preliminary Sizing II'!$I$117</c:f>
              <c:strCache>
                <c:ptCount val="1"/>
                <c:pt idx="0">
                  <c:v>Take-off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triangle"/>
            <c:size val="9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'3.) Preliminary Sizing II'!$F$119:$F$136</c:f>
              <c:numCache>
                <c:formatCode>0</c:formatCode>
                <c:ptCount val="18"/>
                <c:pt idx="0">
                  <c:v>177.19092571695771</c:v>
                </c:pt>
                <c:pt idx="1">
                  <c:v>148.01709855550826</c:v>
                </c:pt>
                <c:pt idx="2">
                  <c:v>123.12827455521699</c:v>
                </c:pt>
                <c:pt idx="3">
                  <c:v>101.97458415220478</c:v>
                </c:pt>
                <c:pt idx="4">
                  <c:v>84.066055069518356</c:v>
                </c:pt>
                <c:pt idx="5">
                  <c:v>68.967303212488957</c:v>
                </c:pt>
                <c:pt idx="6">
                  <c:v>56.292581291854908</c:v>
                </c:pt>
                <c:pt idx="7">
                  <c:v>45.701169045158743</c:v>
                </c:pt>
                <c:pt idx="8">
                  <c:v>36.893089276686666</c:v>
                </c:pt>
                <c:pt idx="9">
                  <c:v>29.605134287005846</c:v>
                </c:pt>
                <c:pt idx="10">
                  <c:v>23.607187614985982</c:v>
                </c:pt>
                <c:pt idx="11">
                  <c:v>18.69882636810814</c:v>
                </c:pt>
                <c:pt idx="12">
                  <c:v>14.748586606392507</c:v>
                </c:pt>
                <c:pt idx="13">
                  <c:v>11.641743949524134</c:v>
                </c:pt>
                <c:pt idx="14">
                  <c:v>9.1893688394207516</c:v>
                </c:pt>
                <c:pt idx="15">
                  <c:v>7.253595340444587</c:v>
                </c:pt>
                <c:pt idx="16">
                  <c:v>31.769783981656172</c:v>
                </c:pt>
                <c:pt idx="17">
                  <c:v>31.869783981656173</c:v>
                </c:pt>
              </c:numCache>
            </c:numRef>
          </c:xVal>
          <c:yVal>
            <c:numRef>
              <c:f>'3.) Preliminary Sizing II'!$I$119:$I$136</c:f>
              <c:numCache>
                <c:formatCode>0.00</c:formatCode>
                <c:ptCount val="18"/>
                <c:pt idx="0">
                  <c:v>0.74226495940061177</c:v>
                </c:pt>
                <c:pt idx="1">
                  <c:v>0.65837383903569036</c:v>
                </c:pt>
                <c:pt idx="2">
                  <c:v>0.58233090154386313</c:v>
                </c:pt>
                <c:pt idx="3">
                  <c:v>0.51356167059154723</c:v>
                </c:pt>
                <c:pt idx="4">
                  <c:v>0.4515214841363151</c:v>
                </c:pt>
                <c:pt idx="5">
                  <c:v>0.395694612443521</c:v>
                </c:pt>
                <c:pt idx="6">
                  <c:v>0.34559338155083014</c:v>
                </c:pt>
                <c:pt idx="7">
                  <c:v>0.30075730228090869</c:v>
                </c:pt>
                <c:pt idx="8">
                  <c:v>0.26075220490695072</c:v>
                </c:pt>
                <c:pt idx="9">
                  <c:v>0.22516937958048491</c:v>
                </c:pt>
                <c:pt idx="10">
                  <c:v>0.19362472263599287</c:v>
                </c:pt>
                <c:pt idx="11">
                  <c:v>0.16575788889236315</c:v>
                </c:pt>
                <c:pt idx="12">
                  <c:v>0.14150275956349156</c:v>
                </c:pt>
                <c:pt idx="13">
                  <c:v>0.12085835247082134</c:v>
                </c:pt>
                <c:pt idx="14">
                  <c:v>0.10322584101554079</c:v>
                </c:pt>
                <c:pt idx="15">
                  <c:v>8.8165807621266981E-2</c:v>
                </c:pt>
              </c:numCache>
            </c:numRef>
          </c:yVal>
        </c:ser>
        <c:ser>
          <c:idx val="3"/>
          <c:order val="3"/>
          <c:tx>
            <c:strRef>
              <c:f>'3.) Preliminary Sizing II'!$J$117</c:f>
              <c:strCache>
                <c:ptCount val="1"/>
                <c:pt idx="0">
                  <c:v>Cruise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x"/>
            <c:size val="9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'3.) Preliminary Sizing II'!$F$119:$F$136</c:f>
              <c:numCache>
                <c:formatCode>0</c:formatCode>
                <c:ptCount val="18"/>
                <c:pt idx="0">
                  <c:v>177.19092571695771</c:v>
                </c:pt>
                <c:pt idx="1">
                  <c:v>148.01709855550826</c:v>
                </c:pt>
                <c:pt idx="2">
                  <c:v>123.12827455521699</c:v>
                </c:pt>
                <c:pt idx="3">
                  <c:v>101.97458415220478</c:v>
                </c:pt>
                <c:pt idx="4">
                  <c:v>84.066055069518356</c:v>
                </c:pt>
                <c:pt idx="5">
                  <c:v>68.967303212488957</c:v>
                </c:pt>
                <c:pt idx="6">
                  <c:v>56.292581291854908</c:v>
                </c:pt>
                <c:pt idx="7">
                  <c:v>45.701169045158743</c:v>
                </c:pt>
                <c:pt idx="8">
                  <c:v>36.893089276686666</c:v>
                </c:pt>
                <c:pt idx="9">
                  <c:v>29.605134287005846</c:v>
                </c:pt>
                <c:pt idx="10">
                  <c:v>23.607187614985982</c:v>
                </c:pt>
                <c:pt idx="11">
                  <c:v>18.69882636810814</c:v>
                </c:pt>
                <c:pt idx="12">
                  <c:v>14.748586606392507</c:v>
                </c:pt>
                <c:pt idx="13">
                  <c:v>11.641743949524134</c:v>
                </c:pt>
                <c:pt idx="14">
                  <c:v>9.1893688394207516</c:v>
                </c:pt>
                <c:pt idx="15">
                  <c:v>7.253595340444587</c:v>
                </c:pt>
                <c:pt idx="16">
                  <c:v>31.769783981656172</c:v>
                </c:pt>
                <c:pt idx="17">
                  <c:v>31.869783981656173</c:v>
                </c:pt>
              </c:numCache>
            </c:numRef>
          </c:xVal>
          <c:yVal>
            <c:numRef>
              <c:f>'3.) Preliminary Sizing II'!$J$119:$J$136</c:f>
              <c:numCache>
                <c:formatCode>0.00</c:formatCode>
                <c:ptCount val="18"/>
                <c:pt idx="0">
                  <c:v>0.11902028365237356</c:v>
                </c:pt>
                <c:pt idx="1">
                  <c:v>0.12626131303262586</c:v>
                </c:pt>
                <c:pt idx="2">
                  <c:v>0.13444048620041912</c:v>
                </c:pt>
                <c:pt idx="3">
                  <c:v>0.14375274983871583</c:v>
                </c:pt>
                <c:pt idx="4">
                  <c:v>0.1544510837382774</c:v>
                </c:pt>
                <c:pt idx="5">
                  <c:v>0.16686983176191958</c:v>
                </c:pt>
                <c:pt idx="6">
                  <c:v>0.18146027261450431</c:v>
                </c:pt>
                <c:pt idx="7">
                  <c:v>0.19884663959998933</c:v>
                </c:pt>
                <c:pt idx="8">
                  <c:v>0.21991775774435085</c:v>
                </c:pt>
                <c:pt idx="9">
                  <c:v>0.2459838495073324</c:v>
                </c:pt>
                <c:pt idx="10">
                  <c:v>0.27905984893715313</c:v>
                </c:pt>
                <c:pt idx="11">
                  <c:v>0.32241279905604625</c:v>
                </c:pt>
                <c:pt idx="12">
                  <c:v>0.38171333741638824</c:v>
                </c:pt>
                <c:pt idx="13">
                  <c:v>0.46774432034459756</c:v>
                </c:pt>
                <c:pt idx="14">
                  <c:v>0.60383801355124433</c:v>
                </c:pt>
                <c:pt idx="15">
                  <c:v>0.85162450523356292</c:v>
                </c:pt>
              </c:numCache>
            </c:numRef>
          </c:yVal>
        </c:ser>
        <c:ser>
          <c:idx val="4"/>
          <c:order val="4"/>
          <c:tx>
            <c:strRef>
              <c:f>'3.) Preliminary Sizing II'!$K$117</c:f>
              <c:strCache>
                <c:ptCount val="1"/>
                <c:pt idx="0">
                  <c:v>Landing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star"/>
            <c:size val="9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'3.) Preliminary Sizing II'!$F$119:$F$136</c:f>
              <c:numCache>
                <c:formatCode>0</c:formatCode>
                <c:ptCount val="18"/>
                <c:pt idx="0">
                  <c:v>177.19092571695771</c:v>
                </c:pt>
                <c:pt idx="1">
                  <c:v>148.01709855550826</c:v>
                </c:pt>
                <c:pt idx="2">
                  <c:v>123.12827455521699</c:v>
                </c:pt>
                <c:pt idx="3">
                  <c:v>101.97458415220478</c:v>
                </c:pt>
                <c:pt idx="4">
                  <c:v>84.066055069518356</c:v>
                </c:pt>
                <c:pt idx="5">
                  <c:v>68.967303212488957</c:v>
                </c:pt>
                <c:pt idx="6">
                  <c:v>56.292581291854908</c:v>
                </c:pt>
                <c:pt idx="7">
                  <c:v>45.701169045158743</c:v>
                </c:pt>
                <c:pt idx="8">
                  <c:v>36.893089276686666</c:v>
                </c:pt>
                <c:pt idx="9">
                  <c:v>29.605134287005846</c:v>
                </c:pt>
                <c:pt idx="10">
                  <c:v>23.607187614985982</c:v>
                </c:pt>
                <c:pt idx="11">
                  <c:v>18.69882636810814</c:v>
                </c:pt>
                <c:pt idx="12">
                  <c:v>14.748586606392507</c:v>
                </c:pt>
                <c:pt idx="13">
                  <c:v>11.641743949524134</c:v>
                </c:pt>
                <c:pt idx="14">
                  <c:v>9.1893688394207516</c:v>
                </c:pt>
                <c:pt idx="15">
                  <c:v>7.253595340444587</c:v>
                </c:pt>
                <c:pt idx="16">
                  <c:v>31.769783981656172</c:v>
                </c:pt>
                <c:pt idx="17">
                  <c:v>31.869783981656173</c:v>
                </c:pt>
              </c:numCache>
            </c:numRef>
          </c:xVal>
          <c:yVal>
            <c:numRef>
              <c:f>'3.) Preliminary Sizing II'!$K$119:$K$136</c:f>
              <c:numCache>
                <c:formatCode>General</c:formatCode>
                <c:ptCount val="18"/>
                <c:pt idx="16">
                  <c:v>0</c:v>
                </c:pt>
                <c:pt idx="17">
                  <c:v>0.5</c:v>
                </c:pt>
              </c:numCache>
            </c:numRef>
          </c:yVal>
        </c:ser>
        <c:dLbls/>
        <c:axId val="123311232"/>
        <c:axId val="123313152"/>
      </c:scatterChart>
      <c:valAx>
        <c:axId val="123311232"/>
        <c:scaling>
          <c:orientation val="minMax"/>
          <c:max val="6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Cubic Wing loading in kg/m³</a:t>
                </a:r>
              </a:p>
            </c:rich>
          </c:tx>
          <c:layout>
            <c:manualLayout>
              <c:xMode val="edge"/>
              <c:yMode val="edge"/>
              <c:x val="0.39062500000000006"/>
              <c:y val="0.94276094276094291"/>
            </c:manualLayout>
          </c:layout>
          <c:spPr>
            <a:noFill/>
            <a:ln w="25400">
              <a:noFill/>
            </a:ln>
          </c:spPr>
        </c:title>
        <c:numFmt formatCode="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313152"/>
        <c:crosses val="autoZero"/>
        <c:crossBetween val="midCat"/>
      </c:valAx>
      <c:valAx>
        <c:axId val="1233131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Thrust-to-weight ratio [-]</a:t>
                </a:r>
              </a:p>
            </c:rich>
          </c:tx>
          <c:layout>
            <c:manualLayout>
              <c:xMode val="edge"/>
              <c:yMode val="edge"/>
              <c:x val="1.1458333333333301E-2"/>
              <c:y val="0.37205387205387208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3112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304869830640217"/>
          <c:y val="0.11025840781578199"/>
          <c:w val="0.17373311893524102"/>
          <c:h val="0.125302978971842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tif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2.emf"/><Relationship Id="rId2" Type="http://schemas.openxmlformats.org/officeDocument/2006/relationships/image" Target="../media/image11.emf"/><Relationship Id="rId1" Type="http://schemas.openxmlformats.org/officeDocument/2006/relationships/image" Target="../media/image10.emf"/><Relationship Id="rId5" Type="http://schemas.openxmlformats.org/officeDocument/2006/relationships/image" Target="../media/image14.emf"/><Relationship Id="rId4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20320</xdr:colOff>
      <xdr:row>28</xdr:row>
      <xdr:rowOff>91440</xdr:rowOff>
    </xdr:from>
    <xdr:to>
      <xdr:col>8</xdr:col>
      <xdr:colOff>274320</xdr:colOff>
      <xdr:row>32</xdr:row>
      <xdr:rowOff>40156</xdr:rowOff>
    </xdr:to>
    <xdr:sp macro="" textlink="">
      <xdr:nvSpPr>
        <xdr:cNvPr id="10" name="Line 16"/>
        <xdr:cNvSpPr>
          <a:spLocks noChangeShapeType="1"/>
        </xdr:cNvSpPr>
      </xdr:nvSpPr>
      <xdr:spPr bwMode="auto">
        <a:xfrm flipH="1">
          <a:off x="4897120" y="5049520"/>
          <a:ext cx="5293360" cy="69039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  <xdr:txBody>
        <a:bodyPr/>
        <a:lstStyle/>
        <a:p>
          <a:endParaRPr lang="es-ES_tradnl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725622</xdr:colOff>
      <xdr:row>114</xdr:row>
      <xdr:rowOff>0</xdr:rowOff>
    </xdr:from>
    <xdr:to>
      <xdr:col>3</xdr:col>
      <xdr:colOff>725622</xdr:colOff>
      <xdr:row>115</xdr:row>
      <xdr:rowOff>135378</xdr:rowOff>
    </xdr:to>
    <xdr:sp macro="" textlink="">
      <xdr:nvSpPr>
        <xdr:cNvPr id="3149" name="Line 11"/>
        <xdr:cNvSpPr>
          <a:spLocks noChangeShapeType="1"/>
        </xdr:cNvSpPr>
      </xdr:nvSpPr>
      <xdr:spPr bwMode="auto">
        <a:xfrm>
          <a:off x="5285381" y="11071991"/>
          <a:ext cx="0" cy="35567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  <xdr:txBody>
        <a:bodyPr/>
        <a:lstStyle/>
        <a:p>
          <a:endParaRPr lang="es-ES_tradnl"/>
        </a:p>
      </xdr:txBody>
    </xdr:sp>
    <xdr:clientData/>
  </xdr:twoCellAnchor>
  <xdr:twoCellAnchor>
    <xdr:from>
      <xdr:col>5</xdr:col>
      <xdr:colOff>581989</xdr:colOff>
      <xdr:row>114</xdr:row>
      <xdr:rowOff>7383</xdr:rowOff>
    </xdr:from>
    <xdr:to>
      <xdr:col>5</xdr:col>
      <xdr:colOff>858837</xdr:colOff>
      <xdr:row>115</xdr:row>
      <xdr:rowOff>112158</xdr:rowOff>
    </xdr:to>
    <xdr:sp macro="" textlink="">
      <xdr:nvSpPr>
        <xdr:cNvPr id="3150" name="Line 12"/>
        <xdr:cNvSpPr>
          <a:spLocks noChangeShapeType="1"/>
        </xdr:cNvSpPr>
      </xdr:nvSpPr>
      <xdr:spPr bwMode="auto">
        <a:xfrm flipH="1">
          <a:off x="7101815" y="20172325"/>
          <a:ext cx="276848" cy="267217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  <xdr:txBody>
        <a:bodyPr/>
        <a:lstStyle/>
        <a:p>
          <a:endParaRPr lang="es-ES_tradnl"/>
        </a:p>
      </xdr:txBody>
    </xdr:sp>
    <xdr:clientData/>
  </xdr:twoCellAnchor>
  <xdr:twoCellAnchor editAs="oneCell">
    <xdr:from>
      <xdr:col>5</xdr:col>
      <xdr:colOff>832068</xdr:colOff>
      <xdr:row>110</xdr:row>
      <xdr:rowOff>55127</xdr:rowOff>
    </xdr:from>
    <xdr:to>
      <xdr:col>8</xdr:col>
      <xdr:colOff>188787</xdr:colOff>
      <xdr:row>113</xdr:row>
      <xdr:rowOff>124443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51894" y="19570301"/>
          <a:ext cx="2487416" cy="556642"/>
        </a:xfrm>
        <a:prstGeom prst="rect">
          <a:avLst/>
        </a:prstGeom>
        <a:ln w="9525">
          <a:solidFill>
            <a:schemeClr val="tx1"/>
          </a:solidFill>
        </a:ln>
      </xdr:spPr>
    </xdr:pic>
    <xdr:clientData/>
  </xdr:twoCellAnchor>
  <xdr:twoCellAnchor>
    <xdr:from>
      <xdr:col>3</xdr:col>
      <xdr:colOff>9525</xdr:colOff>
      <xdr:row>38</xdr:row>
      <xdr:rowOff>9525</xdr:rowOff>
    </xdr:from>
    <xdr:to>
      <xdr:col>5</xdr:col>
      <xdr:colOff>628650</xdr:colOff>
      <xdr:row>39</xdr:row>
      <xdr:rowOff>152400</xdr:rowOff>
    </xdr:to>
    <xdr:sp macro="" textlink="">
      <xdr:nvSpPr>
        <xdr:cNvPr id="12" name="Line 16"/>
        <xdr:cNvSpPr>
          <a:spLocks noChangeShapeType="1"/>
        </xdr:cNvSpPr>
      </xdr:nvSpPr>
      <xdr:spPr bwMode="auto">
        <a:xfrm flipH="1">
          <a:off x="4416425" y="3806825"/>
          <a:ext cx="2270125" cy="307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  <xdr:txBody>
        <a:bodyPr/>
        <a:lstStyle/>
        <a:p>
          <a:endParaRPr lang="es-ES_tradnl"/>
        </a:p>
      </xdr:txBody>
    </xdr:sp>
    <xdr:clientData/>
  </xdr:twoCellAnchor>
  <xdr:twoCellAnchor>
    <xdr:from>
      <xdr:col>3</xdr:col>
      <xdr:colOff>19050</xdr:colOff>
      <xdr:row>45</xdr:row>
      <xdr:rowOff>9525</xdr:rowOff>
    </xdr:from>
    <xdr:to>
      <xdr:col>5</xdr:col>
      <xdr:colOff>714375</xdr:colOff>
      <xdr:row>47</xdr:row>
      <xdr:rowOff>28575</xdr:rowOff>
    </xdr:to>
    <xdr:sp macro="" textlink="">
      <xdr:nvSpPr>
        <xdr:cNvPr id="13" name="Line 18"/>
        <xdr:cNvSpPr>
          <a:spLocks noChangeShapeType="1"/>
        </xdr:cNvSpPr>
      </xdr:nvSpPr>
      <xdr:spPr bwMode="auto">
        <a:xfrm flipH="1">
          <a:off x="4425950" y="4962525"/>
          <a:ext cx="2346325" cy="349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51471" cy="566830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drawing" Target="../drawings/drawing1.xml"/><Relationship Id="rId7" Type="http://schemas.openxmlformats.org/officeDocument/2006/relationships/oleObject" Target="../embeddings/oleObject3.bin"/><Relationship Id="rId12" Type="http://schemas.openxmlformats.org/officeDocument/2006/relationships/oleObject" Target="../embeddings/oleObject8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rofscholz.de/" TargetMode="External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7.bin"/><Relationship Id="rId5" Type="http://schemas.openxmlformats.org/officeDocument/2006/relationships/oleObject" Target="../embeddings/oleObject1.bin"/><Relationship Id="rId10" Type="http://schemas.openxmlformats.org/officeDocument/2006/relationships/oleObject" Target="../embeddings/oleObject6.bin"/><Relationship Id="rId4" Type="http://schemas.openxmlformats.org/officeDocument/2006/relationships/vmlDrawing" Target="../drawings/vmlDrawing1.vml"/><Relationship Id="rId9" Type="http://schemas.openxmlformats.org/officeDocument/2006/relationships/oleObject" Target="../embeddings/oleObject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3.bin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12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1.bin"/><Relationship Id="rId5" Type="http://schemas.openxmlformats.org/officeDocument/2006/relationships/oleObject" Target="../embeddings/oleObject10.bin"/><Relationship Id="rId4" Type="http://schemas.openxmlformats.org/officeDocument/2006/relationships/oleObject" Target="../embeddings/oleObject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79"/>
  <sheetViews>
    <sheetView tabSelected="1" zoomScaleNormal="100" workbookViewId="0">
      <selection activeCell="A3" sqref="A3"/>
    </sheetView>
  </sheetViews>
  <sheetFormatPr baseColWidth="10" defaultRowHeight="12.75"/>
  <cols>
    <col min="1" max="1" width="40.85546875" customWidth="1"/>
    <col min="2" max="2" width="13.140625" customWidth="1"/>
    <col min="3" max="3" width="10" customWidth="1"/>
    <col min="4" max="4" width="8.28515625" customWidth="1"/>
    <col min="5" max="6" width="11.42578125" bestFit="1" customWidth="1"/>
    <col min="7" max="7" width="24.28515625" bestFit="1" customWidth="1"/>
    <col min="8" max="8" width="10.28515625" bestFit="1" customWidth="1"/>
    <col min="9" max="9" width="11" customWidth="1"/>
    <col min="10" max="10" width="9.7109375" customWidth="1"/>
  </cols>
  <sheetData>
    <row r="1" spans="1:12" ht="18">
      <c r="A1" s="2" t="s">
        <v>188</v>
      </c>
    </row>
    <row r="2" spans="1:12">
      <c r="A2" s="12" t="s">
        <v>303</v>
      </c>
    </row>
    <row r="3" spans="1:12" ht="13.5" thickBot="1">
      <c r="B3" s="16"/>
    </row>
    <row r="4" spans="1:12" ht="20.25">
      <c r="A4" s="77" t="s">
        <v>136</v>
      </c>
      <c r="B4" s="78"/>
      <c r="C4" s="79"/>
      <c r="E4" s="77" t="s">
        <v>137</v>
      </c>
      <c r="F4" s="86"/>
      <c r="G4" s="79"/>
      <c r="I4" s="172" t="s">
        <v>361</v>
      </c>
      <c r="J4" s="172"/>
      <c r="K4" s="172"/>
      <c r="L4" s="172"/>
    </row>
    <row r="5" spans="1:12" ht="20.25">
      <c r="A5" s="97" t="s">
        <v>300</v>
      </c>
      <c r="B5" s="76"/>
      <c r="C5" s="81"/>
      <c r="E5" s="87" t="s">
        <v>127</v>
      </c>
      <c r="F5" s="9"/>
      <c r="G5" s="81"/>
      <c r="I5" s="172" t="s">
        <v>360</v>
      </c>
    </row>
    <row r="6" spans="1:12">
      <c r="A6" s="97" t="s">
        <v>301</v>
      </c>
      <c r="B6" s="76"/>
      <c r="C6" s="81"/>
      <c r="E6" s="171" t="s">
        <v>359</v>
      </c>
      <c r="F6" s="9"/>
      <c r="G6" s="81"/>
    </row>
    <row r="7" spans="1:12">
      <c r="A7" s="80" t="s">
        <v>138</v>
      </c>
      <c r="B7" s="76"/>
      <c r="C7" s="81"/>
      <c r="E7" s="87" t="s">
        <v>128</v>
      </c>
      <c r="F7" s="9"/>
      <c r="G7" s="81"/>
    </row>
    <row r="8" spans="1:12">
      <c r="A8" s="80" t="s">
        <v>139</v>
      </c>
      <c r="B8" s="76"/>
      <c r="C8" s="81"/>
      <c r="E8" s="91" t="s">
        <v>129</v>
      </c>
      <c r="F8" s="9"/>
      <c r="G8" s="81"/>
    </row>
    <row r="9" spans="1:12" ht="13.5" thickBot="1">
      <c r="A9" s="82" t="s">
        <v>140</v>
      </c>
      <c r="B9" s="83"/>
      <c r="C9" s="84"/>
      <c r="E9" s="98" t="s">
        <v>302</v>
      </c>
      <c r="F9" s="83"/>
      <c r="G9" s="84"/>
    </row>
    <row r="10" spans="1:12">
      <c r="A10" s="75"/>
    </row>
    <row r="11" spans="1:12">
      <c r="A11" s="13" t="s">
        <v>141</v>
      </c>
    </row>
    <row r="12" spans="1:12" ht="15.75">
      <c r="A12" t="s">
        <v>142</v>
      </c>
      <c r="B12" t="s">
        <v>50</v>
      </c>
      <c r="C12" s="93">
        <v>1.7018324</v>
      </c>
      <c r="D12" s="61" t="s">
        <v>284</v>
      </c>
    </row>
    <row r="13" spans="1:12">
      <c r="A13" t="s">
        <v>143</v>
      </c>
      <c r="C13" s="14">
        <f>3.6/1.852</f>
        <v>1.9438444924406046</v>
      </c>
      <c r="D13" t="s">
        <v>5</v>
      </c>
    </row>
    <row r="14" spans="1:12">
      <c r="C14" s="14"/>
    </row>
    <row r="15" spans="1:12">
      <c r="A15" s="16" t="s">
        <v>144</v>
      </c>
      <c r="C15" s="44" t="s">
        <v>282</v>
      </c>
      <c r="E15" s="16" t="s">
        <v>173</v>
      </c>
    </row>
    <row r="16" spans="1:12" ht="15.75">
      <c r="A16" t="s">
        <v>145</v>
      </c>
      <c r="B16" t="s">
        <v>51</v>
      </c>
      <c r="C16" s="22">
        <v>1700</v>
      </c>
      <c r="D16" s="22" t="s">
        <v>3</v>
      </c>
      <c r="E16" s="15"/>
    </row>
    <row r="17" spans="1:9" ht="15.75">
      <c r="A17" t="s">
        <v>146</v>
      </c>
      <c r="B17" s="21" t="s">
        <v>52</v>
      </c>
      <c r="C17" s="15">
        <f>C12*SQRT(C16)</f>
        <v>70.168347422984056</v>
      </c>
      <c r="D17" t="s">
        <v>4</v>
      </c>
    </row>
    <row r="18" spans="1:9" ht="15.75">
      <c r="A18" t="s">
        <v>146</v>
      </c>
      <c r="B18" s="21" t="s">
        <v>52</v>
      </c>
      <c r="C18" s="63">
        <f>C17*C13</f>
        <v>136.39635568182646</v>
      </c>
      <c r="D18" s="47" t="s">
        <v>6</v>
      </c>
    </row>
    <row r="19" spans="1:9">
      <c r="B19" s="21"/>
      <c r="C19" s="46"/>
      <c r="D19" s="47"/>
    </row>
    <row r="20" spans="1:9">
      <c r="A20" s="16" t="s">
        <v>147</v>
      </c>
      <c r="C20" s="59" t="str">
        <f>IF(C15="yes","no","yes")</f>
        <v>no</v>
      </c>
      <c r="D20" s="47"/>
    </row>
    <row r="21" spans="1:9" ht="15.75">
      <c r="A21" t="s">
        <v>146</v>
      </c>
      <c r="B21" t="s">
        <v>52</v>
      </c>
      <c r="C21" s="64">
        <v>136.19999999999999</v>
      </c>
      <c r="D21" s="22" t="s">
        <v>6</v>
      </c>
    </row>
    <row r="22" spans="1:9" ht="15.75">
      <c r="A22" t="s">
        <v>146</v>
      </c>
      <c r="B22" s="21" t="s">
        <v>52</v>
      </c>
      <c r="C22" s="62">
        <f>C21/C13</f>
        <v>70.067333333333337</v>
      </c>
      <c r="D22" t="s">
        <v>4</v>
      </c>
    </row>
    <row r="23" spans="1:9" ht="15.75">
      <c r="A23" t="s">
        <v>145</v>
      </c>
      <c r="B23" t="s">
        <v>51</v>
      </c>
      <c r="C23" s="46">
        <f>(C22/C12)^2</f>
        <v>1695.1088959016513</v>
      </c>
      <c r="D23" s="47" t="s">
        <v>3</v>
      </c>
    </row>
    <row r="24" spans="1:9">
      <c r="B24" s="21"/>
      <c r="C24" s="60"/>
      <c r="D24" s="21"/>
    </row>
    <row r="25" spans="1:9">
      <c r="C25" s="21"/>
      <c r="D25" s="21"/>
    </row>
    <row r="26" spans="1:9">
      <c r="A26" s="13" t="s">
        <v>148</v>
      </c>
    </row>
    <row r="27" spans="1:9" ht="15.75">
      <c r="A27" t="s">
        <v>145</v>
      </c>
      <c r="B27" t="s">
        <v>51</v>
      </c>
      <c r="C27" s="6">
        <f>IF(C15="yes",C16,C23)</f>
        <v>1700</v>
      </c>
      <c r="D27" t="s">
        <v>3</v>
      </c>
      <c r="E27" s="41" t="s">
        <v>328</v>
      </c>
      <c r="F27" s="35" t="s">
        <v>308</v>
      </c>
      <c r="G27" s="35" t="s">
        <v>309</v>
      </c>
      <c r="H27" s="35" t="s">
        <v>310</v>
      </c>
      <c r="I27" s="92" t="s">
        <v>311</v>
      </c>
    </row>
    <row r="28" spans="1:9" ht="15.75">
      <c r="A28" t="s">
        <v>149</v>
      </c>
      <c r="B28" s="4" t="s">
        <v>134</v>
      </c>
      <c r="C28" s="22">
        <v>0</v>
      </c>
      <c r="D28" s="22" t="s">
        <v>23</v>
      </c>
      <c r="E28" s="30" t="s">
        <v>327</v>
      </c>
      <c r="F28" s="104">
        <v>119.5911021</v>
      </c>
      <c r="G28" s="104">
        <v>188.27462988427033</v>
      </c>
      <c r="H28" s="105">
        <v>289.7674346</v>
      </c>
      <c r="I28" s="106">
        <v>323.73904154108834</v>
      </c>
    </row>
    <row r="29" spans="1:9">
      <c r="A29" t="s">
        <v>150</v>
      </c>
      <c r="B29" s="4" t="s">
        <v>28</v>
      </c>
      <c r="C29" s="14">
        <f>288.15/(288.15+C28)</f>
        <v>1</v>
      </c>
    </row>
    <row r="30" spans="1:9" ht="15.75">
      <c r="A30" t="s">
        <v>142</v>
      </c>
      <c r="B30" t="s">
        <v>53</v>
      </c>
      <c r="C30" s="19">
        <f>0.03694455*C12^2</f>
        <v>0.10700004400596522</v>
      </c>
      <c r="D30" t="s">
        <v>7</v>
      </c>
    </row>
    <row r="31" spans="1:9" ht="15.75">
      <c r="A31" t="s">
        <v>271</v>
      </c>
      <c r="B31" t="s">
        <v>54</v>
      </c>
      <c r="C31" s="22">
        <v>2.6</v>
      </c>
    </row>
    <row r="32" spans="1:9" ht="15.75">
      <c r="A32" t="s">
        <v>313</v>
      </c>
      <c r="B32" s="99" t="s">
        <v>314</v>
      </c>
      <c r="C32" s="22">
        <v>0.75</v>
      </c>
    </row>
    <row r="33" spans="1:24" ht="15.75">
      <c r="A33" t="s">
        <v>327</v>
      </c>
      <c r="B33" s="99" t="s">
        <v>329</v>
      </c>
      <c r="C33" s="101">
        <f>IF('3.) Preliminary Sizing II'!C34&lt;2000000,'1.) Preliminary Sizing I'!F28,IF('3.) Preliminary Sizing II'!C34&lt;5500000,'1.) Preliminary Sizing I'!G28,IF('3.) Preliminary Sizing II'!C34&lt;15000000,'1.) Preliminary Sizing I'!H28,'1.) Preliminary Sizing I'!I28)))</f>
        <v>323.73904154108834</v>
      </c>
    </row>
    <row r="34" spans="1:24" ht="15.75">
      <c r="A34" t="s">
        <v>151</v>
      </c>
      <c r="B34" s="17" t="s">
        <v>296</v>
      </c>
      <c r="C34" s="46">
        <f>C30*C29*C31*C27</f>
        <v>472.94019450636625</v>
      </c>
      <c r="D34" s="47" t="s">
        <v>8</v>
      </c>
    </row>
    <row r="35" spans="1:24" ht="15.75">
      <c r="A35" t="s">
        <v>307</v>
      </c>
      <c r="B35" s="99" t="s">
        <v>330</v>
      </c>
      <c r="C35" s="46">
        <f>C34^(3/2)/C33</f>
        <v>31.769783981656172</v>
      </c>
      <c r="D35" s="47" t="s">
        <v>8</v>
      </c>
    </row>
    <row r="37" spans="1:24">
      <c r="A37" s="13" t="s">
        <v>152</v>
      </c>
    </row>
    <row r="38" spans="1:24" ht="15.75">
      <c r="A38" t="s">
        <v>153</v>
      </c>
      <c r="B38" t="s">
        <v>57</v>
      </c>
      <c r="C38" s="22">
        <v>3048</v>
      </c>
      <c r="D38" s="22" t="s">
        <v>3</v>
      </c>
    </row>
    <row r="39" spans="1:24" ht="15.75">
      <c r="A39" t="s">
        <v>154</v>
      </c>
      <c r="B39" s="4" t="s">
        <v>135</v>
      </c>
      <c r="C39" s="22">
        <v>0</v>
      </c>
      <c r="D39" s="22" t="s">
        <v>23</v>
      </c>
    </row>
    <row r="40" spans="1:24">
      <c r="A40" t="s">
        <v>150</v>
      </c>
      <c r="B40" s="4" t="s">
        <v>28</v>
      </c>
      <c r="C40" s="14">
        <f>288.15/(288.15+C39)</f>
        <v>1</v>
      </c>
    </row>
    <row r="41" spans="1:24" ht="15.75">
      <c r="A41" t="s">
        <v>142</v>
      </c>
      <c r="B41" t="s">
        <v>55</v>
      </c>
      <c r="C41" s="61">
        <v>2.34</v>
      </c>
      <c r="D41" s="61" t="s">
        <v>9</v>
      </c>
    </row>
    <row r="42" spans="1:24" ht="15.75">
      <c r="A42" t="s">
        <v>155</v>
      </c>
      <c r="B42" t="s">
        <v>70</v>
      </c>
      <c r="C42">
        <f>0.8*C31</f>
        <v>2.08</v>
      </c>
    </row>
    <row r="43" spans="1:24" ht="15.75">
      <c r="A43" t="s">
        <v>269</v>
      </c>
      <c r="B43" t="s">
        <v>56</v>
      </c>
      <c r="C43" s="22">
        <f>C42</f>
        <v>2.08</v>
      </c>
      <c r="D43" s="18"/>
    </row>
    <row r="44" spans="1:24">
      <c r="A44" t="s">
        <v>270</v>
      </c>
      <c r="B44" s="21" t="s">
        <v>2</v>
      </c>
      <c r="C44" s="50">
        <f>C41/C38/C40/C43</f>
        <v>3.6909448818897632E-4</v>
      </c>
      <c r="D44" s="47" t="s">
        <v>7</v>
      </c>
    </row>
    <row r="45" spans="1:24" ht="31.5" customHeight="1">
      <c r="A45" s="99" t="s">
        <v>332</v>
      </c>
      <c r="B45" s="102" t="s">
        <v>297</v>
      </c>
      <c r="C45" s="49">
        <f>(C44^(3/2)*C35*'3.) Preliminary Sizing II'!T81^(1/2))^(2/3)</f>
        <v>0.23601565755226361</v>
      </c>
      <c r="E45" s="12" t="s">
        <v>347</v>
      </c>
      <c r="N45" s="102"/>
      <c r="O45" s="49"/>
      <c r="Q45" s="102"/>
      <c r="R45" s="49"/>
      <c r="T45" s="102"/>
      <c r="U45" s="49"/>
      <c r="W45" s="102"/>
      <c r="X45" s="49"/>
    </row>
    <row r="46" spans="1:24">
      <c r="C46" s="49"/>
    </row>
    <row r="47" spans="1:24">
      <c r="A47" s="13" t="s">
        <v>157</v>
      </c>
    </row>
    <row r="48" spans="1:24">
      <c r="B48" s="13"/>
    </row>
    <row r="49" spans="1:6">
      <c r="A49" s="16" t="s">
        <v>158</v>
      </c>
    </row>
    <row r="50" spans="1:6">
      <c r="A50" t="s">
        <v>159</v>
      </c>
      <c r="B50" t="s">
        <v>10</v>
      </c>
      <c r="C50" s="22">
        <v>10.02</v>
      </c>
    </row>
    <row r="51" spans="1:6" ht="15.75">
      <c r="A51" t="s">
        <v>160</v>
      </c>
      <c r="B51" t="s">
        <v>71</v>
      </c>
      <c r="C51" s="5">
        <f>C43/1.2^2</f>
        <v>1.4444444444444446</v>
      </c>
    </row>
    <row r="52" spans="1:6" ht="15.75">
      <c r="A52" t="s">
        <v>161</v>
      </c>
      <c r="B52" s="17" t="s">
        <v>47</v>
      </c>
      <c r="C52" s="65">
        <v>0.02</v>
      </c>
      <c r="E52" s="17" t="s">
        <v>299</v>
      </c>
    </row>
    <row r="53" spans="1:6" ht="15.75">
      <c r="A53" t="s">
        <v>163</v>
      </c>
      <c r="B53" s="4" t="s">
        <v>72</v>
      </c>
      <c r="C53" s="14">
        <f>IF(0.05*(C51-1.3)+0.01&lt;0, 0, 0.05*(C51-1.3)+0.01)</f>
        <v>1.7222222222222229E-2</v>
      </c>
    </row>
    <row r="54" spans="1:6" ht="15.75">
      <c r="A54" t="s">
        <v>162</v>
      </c>
      <c r="B54" s="4" t="s">
        <v>73</v>
      </c>
      <c r="C54" s="65">
        <v>0</v>
      </c>
      <c r="E54" s="43" t="s">
        <v>58</v>
      </c>
      <c r="F54" s="39" t="s">
        <v>60</v>
      </c>
    </row>
    <row r="55" spans="1:6" ht="15.75">
      <c r="A55" t="s">
        <v>164</v>
      </c>
      <c r="B55" t="s">
        <v>59</v>
      </c>
      <c r="C55" s="19">
        <f>C52+C53+C54</f>
        <v>3.7222222222222226E-2</v>
      </c>
      <c r="E55" s="29">
        <v>2</v>
      </c>
      <c r="F55" s="24">
        <v>2.4E-2</v>
      </c>
    </row>
    <row r="56" spans="1:6">
      <c r="A56" t="s">
        <v>165</v>
      </c>
      <c r="B56" t="s">
        <v>120</v>
      </c>
      <c r="C56" s="61">
        <v>0.7</v>
      </c>
      <c r="E56" s="29">
        <v>3</v>
      </c>
      <c r="F56" s="24">
        <v>2.7E-2</v>
      </c>
    </row>
    <row r="57" spans="1:6" ht="15.75">
      <c r="A57" t="s">
        <v>166</v>
      </c>
      <c r="B57" t="s">
        <v>75</v>
      </c>
      <c r="C57" s="5">
        <f>C51/(C55+C51^2/PI()/C50/C56)</f>
        <v>10.950369496110214</v>
      </c>
      <c r="E57" s="30">
        <v>4</v>
      </c>
      <c r="F57" s="40">
        <v>0.03</v>
      </c>
    </row>
    <row r="58" spans="1:6">
      <c r="C58" s="5"/>
    </row>
    <row r="59" spans="1:6">
      <c r="A59" s="16" t="s">
        <v>268</v>
      </c>
      <c r="C59" s="5"/>
    </row>
    <row r="60" spans="1:6" ht="15.75">
      <c r="A60" t="s">
        <v>167</v>
      </c>
      <c r="B60" t="s">
        <v>58</v>
      </c>
      <c r="C60" s="22">
        <v>2</v>
      </c>
    </row>
    <row r="61" spans="1:6">
      <c r="A61" t="s">
        <v>168</v>
      </c>
      <c r="B61" t="s">
        <v>60</v>
      </c>
      <c r="C61">
        <f>CHOOSE(C60-1,F55,F56,F57)</f>
        <v>2.4E-2</v>
      </c>
    </row>
    <row r="62" spans="1:6" ht="15.75">
      <c r="A62" t="s">
        <v>156</v>
      </c>
      <c r="B62" s="17" t="s">
        <v>69</v>
      </c>
      <c r="C62" s="49">
        <f>C60/(C60-1)*(1/C57+C61)</f>
        <v>0.23064223875828477</v>
      </c>
    </row>
    <row r="65" spans="1:8">
      <c r="A65" s="13" t="s">
        <v>169</v>
      </c>
    </row>
    <row r="66" spans="1:8">
      <c r="A66" s="16" t="s">
        <v>170</v>
      </c>
      <c r="E66" s="41"/>
      <c r="F66" s="35"/>
      <c r="G66" s="96" t="s">
        <v>291</v>
      </c>
      <c r="H66" s="39" t="s">
        <v>78</v>
      </c>
    </row>
    <row r="67" spans="1:8" ht="15.75">
      <c r="A67" t="s">
        <v>171</v>
      </c>
      <c r="B67" t="s">
        <v>76</v>
      </c>
      <c r="C67" s="5">
        <f>C31/1.3^2</f>
        <v>1.5384615384615383</v>
      </c>
      <c r="E67" s="66" t="s">
        <v>74</v>
      </c>
      <c r="F67" s="1"/>
      <c r="G67" s="95">
        <v>0</v>
      </c>
      <c r="H67" s="94">
        <v>1.4999999999999999E-2</v>
      </c>
    </row>
    <row r="68" spans="1:8" ht="15.75">
      <c r="A68" t="s">
        <v>161</v>
      </c>
      <c r="B68" s="17" t="s">
        <v>47</v>
      </c>
      <c r="C68" s="65">
        <v>0.02</v>
      </c>
      <c r="E68" s="17" t="s">
        <v>298</v>
      </c>
    </row>
    <row r="69" spans="1:8" ht="15.75">
      <c r="A69" t="s">
        <v>163</v>
      </c>
      <c r="B69" s="4" t="s">
        <v>72</v>
      </c>
      <c r="C69" s="14">
        <f>IF(0.05*(C67-1.3)+0.01&lt;0, 0, 0.05*(C67-1.3)+0.01)</f>
        <v>2.1923076923076913E-2</v>
      </c>
    </row>
    <row r="70" spans="1:8" ht="15.75">
      <c r="A70" t="s">
        <v>162</v>
      </c>
      <c r="B70" s="4" t="s">
        <v>73</v>
      </c>
      <c r="C70" s="65">
        <v>0</v>
      </c>
    </row>
    <row r="71" spans="1:8">
      <c r="A71" t="s">
        <v>172</v>
      </c>
      <c r="B71" s="17" t="s">
        <v>291</v>
      </c>
      <c r="C71" s="44" t="s">
        <v>283</v>
      </c>
      <c r="E71" s="12" t="s">
        <v>173</v>
      </c>
    </row>
    <row r="72" spans="1:8">
      <c r="B72" t="s">
        <v>78</v>
      </c>
      <c r="C72" s="59" t="str">
        <f>IF(C71="yes","no","yes")</f>
        <v>yes</v>
      </c>
    </row>
    <row r="73" spans="1:8" ht="15.75">
      <c r="A73" t="s">
        <v>174</v>
      </c>
      <c r="B73" s="4" t="s">
        <v>74</v>
      </c>
      <c r="C73" s="19">
        <f>IF(C71="yes",G67,H67)</f>
        <v>1.4999999999999999E-2</v>
      </c>
      <c r="E73" s="43" t="s">
        <v>58</v>
      </c>
      <c r="F73" s="39" t="s">
        <v>60</v>
      </c>
    </row>
    <row r="74" spans="1:8" ht="15.75">
      <c r="A74" t="s">
        <v>164</v>
      </c>
      <c r="B74" t="s">
        <v>59</v>
      </c>
      <c r="C74" s="19">
        <f>C68+C69+C70+C73</f>
        <v>5.692307692307691E-2</v>
      </c>
      <c r="E74" s="29">
        <v>2</v>
      </c>
      <c r="F74" s="24">
        <v>2.1000000000000001E-2</v>
      </c>
    </row>
    <row r="75" spans="1:8" ht="15.75">
      <c r="A75" t="s">
        <v>175</v>
      </c>
      <c r="B75" t="s">
        <v>77</v>
      </c>
      <c r="C75" s="5">
        <f>C67/(C74+C67^2/PI()/C50/C56)</f>
        <v>9.3616672669639875</v>
      </c>
      <c r="E75" s="29">
        <v>3</v>
      </c>
      <c r="F75" s="24">
        <v>2.4E-2</v>
      </c>
    </row>
    <row r="76" spans="1:8">
      <c r="C76" s="5"/>
      <c r="E76" s="30">
        <v>4</v>
      </c>
      <c r="F76" s="40">
        <v>2.7E-2</v>
      </c>
    </row>
    <row r="77" spans="1:8">
      <c r="A77" s="16" t="s">
        <v>268</v>
      </c>
      <c r="C77" s="5"/>
      <c r="E77" s="75"/>
      <c r="F77" s="75"/>
    </row>
    <row r="78" spans="1:8">
      <c r="A78" t="s">
        <v>168</v>
      </c>
      <c r="B78" t="s">
        <v>60</v>
      </c>
      <c r="C78">
        <f>CHOOSE(C60-1,F74,F75,F76)</f>
        <v>2.1000000000000001E-2</v>
      </c>
    </row>
    <row r="79" spans="1:8" ht="15.75">
      <c r="A79" t="s">
        <v>156</v>
      </c>
      <c r="B79" s="17" t="s">
        <v>69</v>
      </c>
      <c r="C79" s="49">
        <f>C60/(C60-1)*(1/C75+C78)*C32</f>
        <v>0.19172786937678182</v>
      </c>
    </row>
  </sheetData>
  <phoneticPr fontId="4" type="noConversion"/>
  <dataValidations count="1">
    <dataValidation type="list" allowBlank="1" showInputMessage="1" showErrorMessage="1" sqref="C15 C71">
      <formula1>"yes, no"</formula1>
    </dataValidation>
  </dataValidations>
  <hyperlinks>
    <hyperlink ref="E8" r:id="rId1" display="http://www.ProfScholz.de"/>
  </hyperlinks>
  <pageMargins left="0.78740157499999996" right="0.78740157499999996" top="0.87" bottom="0.984251969" header="0.4921259845" footer="0.4921259845"/>
  <pageSetup paperSize="9" scale="96" orientation="landscape" horizontalDpi="300" verticalDpi="300" r:id="rId2"/>
  <headerFooter alignWithMargins="0">
    <oddHeader>&amp;A</oddHeader>
    <oddFooter>Seite &amp;P</oddFooter>
  </headerFooter>
  <rowBreaks count="2" manualBreakCount="2">
    <brk id="36" max="16383" man="1"/>
    <brk id="63" max="16383" man="1"/>
  </rowBreaks>
  <drawing r:id="rId3"/>
  <legacyDrawing r:id="rId4"/>
  <oleObjects>
    <oleObject progId="Equation.3" shapeId="2049" r:id="rId5"/>
    <oleObject progId="Equation.3" shapeId="2050" r:id="rId6"/>
    <oleObject progId="Equation.3" shapeId="2051" r:id="rId7"/>
    <oleObject progId="Equation.3" shapeId="2052" r:id="rId8"/>
    <oleObject progId="Equation.3" shapeId="2053" r:id="rId9"/>
    <oleObject progId="Equation.3" shapeId="2054" r:id="rId10"/>
    <oleObject progId="Equation.3" shapeId="2077" r:id="rId11"/>
    <oleObject progId="Equation.3" shapeId="2080" r:id="rId12"/>
  </oleObject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25"/>
  <sheetViews>
    <sheetView zoomScaleNormal="100" workbookViewId="0">
      <selection activeCell="C19" sqref="C19"/>
    </sheetView>
  </sheetViews>
  <sheetFormatPr baseColWidth="10" defaultRowHeight="12.75"/>
  <cols>
    <col min="1" max="1" width="38.28515625" bestFit="1" customWidth="1"/>
    <col min="2" max="2" width="9.42578125" customWidth="1"/>
  </cols>
  <sheetData>
    <row r="1" spans="1:3" ht="18">
      <c r="A1" s="2" t="s">
        <v>267</v>
      </c>
    </row>
    <row r="3" spans="1:3" ht="14.25">
      <c r="A3" s="16" t="s">
        <v>176</v>
      </c>
    </row>
    <row r="5" spans="1:3">
      <c r="A5" s="67" t="s">
        <v>177</v>
      </c>
    </row>
    <row r="6" spans="1:3" ht="15.75">
      <c r="A6" t="s">
        <v>178</v>
      </c>
      <c r="B6" t="s">
        <v>120</v>
      </c>
      <c r="C6" s="45">
        <v>0.85</v>
      </c>
    </row>
    <row r="7" spans="1:3" ht="15.75">
      <c r="A7" t="s">
        <v>180</v>
      </c>
      <c r="B7" t="s">
        <v>179</v>
      </c>
      <c r="C7" s="22">
        <v>3.0000000000000001E-3</v>
      </c>
    </row>
    <row r="8" spans="1:3" ht="15.75">
      <c r="A8" t="s">
        <v>142</v>
      </c>
      <c r="B8" t="s">
        <v>79</v>
      </c>
      <c r="C8" s="62">
        <f>1/2*SQRT(PI()*C6/C7)</f>
        <v>14.917422016865951</v>
      </c>
    </row>
    <row r="10" spans="1:3">
      <c r="A10" s="67" t="s">
        <v>305</v>
      </c>
    </row>
    <row r="11" spans="1:3" ht="15.75">
      <c r="A11" t="s">
        <v>142</v>
      </c>
      <c r="B11" t="s">
        <v>79</v>
      </c>
      <c r="C11">
        <v>15.8</v>
      </c>
    </row>
    <row r="13" spans="1:3">
      <c r="A13" s="67" t="s">
        <v>181</v>
      </c>
    </row>
    <row r="14" spans="1:3" ht="15.75">
      <c r="A14" t="s">
        <v>142</v>
      </c>
      <c r="B14" t="s">
        <v>79</v>
      </c>
      <c r="C14" s="69" t="s">
        <v>80</v>
      </c>
    </row>
    <row r="16" spans="1:3" ht="14.25">
      <c r="A16" s="12" t="s">
        <v>304</v>
      </c>
    </row>
    <row r="18" spans="1:4" ht="15.75">
      <c r="A18" t="s">
        <v>142</v>
      </c>
      <c r="B18" t="s">
        <v>184</v>
      </c>
      <c r="C18" s="22">
        <f>C11</f>
        <v>15.8</v>
      </c>
      <c r="D18" s="12" t="s">
        <v>173</v>
      </c>
    </row>
    <row r="19" spans="1:4" ht="15.75">
      <c r="A19" t="s">
        <v>182</v>
      </c>
      <c r="B19" t="s">
        <v>81</v>
      </c>
      <c r="C19" s="22">
        <v>6.1</v>
      </c>
      <c r="D19" t="s">
        <v>82</v>
      </c>
    </row>
    <row r="20" spans="1:4">
      <c r="A20" t="s">
        <v>159</v>
      </c>
      <c r="B20" t="s">
        <v>10</v>
      </c>
      <c r="C20">
        <f>'1.) Preliminary Sizing I'!C50</f>
        <v>10.02</v>
      </c>
      <c r="D20" t="s">
        <v>187</v>
      </c>
    </row>
    <row r="21" spans="1:4" ht="15.75">
      <c r="A21" t="s">
        <v>183</v>
      </c>
      <c r="B21" t="s">
        <v>83</v>
      </c>
      <c r="C21" s="68">
        <f>C18*SQRT(C20/C19)</f>
        <v>20.250046751615738</v>
      </c>
    </row>
    <row r="23" spans="1:4">
      <c r="B23" t="s">
        <v>185</v>
      </c>
    </row>
    <row r="25" spans="1:4" ht="15.75">
      <c r="A25" t="s">
        <v>183</v>
      </c>
      <c r="B25" t="s">
        <v>186</v>
      </c>
      <c r="C25" s="48">
        <f>C21</f>
        <v>20.250046751615738</v>
      </c>
      <c r="D25" s="12" t="s">
        <v>173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X190"/>
  <sheetViews>
    <sheetView topLeftCell="A127" zoomScaleNormal="82" zoomScalePageLayoutView="82" workbookViewId="0">
      <selection activeCell="C79" sqref="C79"/>
    </sheetView>
  </sheetViews>
  <sheetFormatPr baseColWidth="10" defaultRowHeight="12.75"/>
  <cols>
    <col min="1" max="1" width="32.140625" customWidth="1"/>
    <col min="2" max="2" width="15.42578125" customWidth="1"/>
    <col min="3" max="3" width="15.85546875" bestFit="1" customWidth="1"/>
    <col min="4" max="4" width="12" customWidth="1"/>
    <col min="5" max="5" width="13.7109375" customWidth="1"/>
    <col min="6" max="6" width="15.85546875" customWidth="1"/>
    <col min="7" max="7" width="12.85546875" customWidth="1"/>
    <col min="8" max="8" width="12.42578125" bestFit="1" customWidth="1"/>
    <col min="9" max="9" width="11.28515625" bestFit="1" customWidth="1"/>
    <col min="10" max="10" width="12.28515625" customWidth="1"/>
  </cols>
  <sheetData>
    <row r="1" spans="1:10" ht="18">
      <c r="A1" s="2" t="s">
        <v>189</v>
      </c>
    </row>
    <row r="2" spans="1:10" ht="14.25">
      <c r="A2" s="12" t="s">
        <v>352</v>
      </c>
    </row>
    <row r="3" spans="1:10" ht="14.25">
      <c r="A3" s="12" t="s">
        <v>353</v>
      </c>
    </row>
    <row r="5" spans="1:10">
      <c r="A5" s="8" t="s">
        <v>11</v>
      </c>
      <c r="B5" s="1"/>
      <c r="C5" s="3" t="s">
        <v>190</v>
      </c>
      <c r="D5" s="1"/>
      <c r="F5" s="8" t="s">
        <v>11</v>
      </c>
      <c r="G5" s="3" t="s">
        <v>190</v>
      </c>
    </row>
    <row r="6" spans="1:10" ht="15.75">
      <c r="A6" t="s">
        <v>191</v>
      </c>
      <c r="B6" t="s">
        <v>1</v>
      </c>
      <c r="C6" s="22">
        <v>9.5</v>
      </c>
      <c r="F6" s="17" t="s">
        <v>289</v>
      </c>
      <c r="G6" s="166">
        <v>1.31</v>
      </c>
      <c r="I6" s="85" t="s">
        <v>194</v>
      </c>
      <c r="J6">
        <f>SQRT(SQRT(3))</f>
        <v>1.3160740129524924</v>
      </c>
    </row>
    <row r="7" spans="1:10" ht="15.75">
      <c r="A7" t="s">
        <v>264</v>
      </c>
      <c r="B7" s="21" t="s">
        <v>83</v>
      </c>
      <c r="C7" s="70">
        <f>'2.) Max. Glide Ratio in Cruise'!C25</f>
        <v>20.250046751615738</v>
      </c>
      <c r="D7" t="s">
        <v>292</v>
      </c>
      <c r="F7" s="17" t="s">
        <v>290</v>
      </c>
      <c r="G7" s="14">
        <f>1/G6^2</f>
        <v>0.58271662490530851</v>
      </c>
    </row>
    <row r="8" spans="1:10" ht="15.75">
      <c r="A8" t="s">
        <v>159</v>
      </c>
      <c r="B8" t="s">
        <v>10</v>
      </c>
      <c r="C8" s="17">
        <f>'1.) Preliminary Sizing I'!C50</f>
        <v>10.02</v>
      </c>
      <c r="D8" t="s">
        <v>293</v>
      </c>
      <c r="F8" t="s">
        <v>12</v>
      </c>
      <c r="G8" s="14">
        <f>G7*C11</f>
        <v>0.38497976471811196</v>
      </c>
    </row>
    <row r="9" spans="1:10">
      <c r="A9" t="s">
        <v>192</v>
      </c>
      <c r="B9" t="s">
        <v>120</v>
      </c>
      <c r="C9" s="61">
        <v>0.85</v>
      </c>
      <c r="F9" t="s">
        <v>84</v>
      </c>
      <c r="G9" s="14">
        <f>L_D_max*2/(1/G7+G7)</f>
        <v>17.617800856516656</v>
      </c>
    </row>
    <row r="10" spans="1:10" ht="15.75">
      <c r="A10" t="s">
        <v>265</v>
      </c>
      <c r="B10" t="s">
        <v>47</v>
      </c>
      <c r="C10" s="19">
        <f>PI()*C8*C9/4/L_D_max^2</f>
        <v>1.631264812215898E-2</v>
      </c>
    </row>
    <row r="11" spans="1:10" ht="15.75">
      <c r="A11" t="s">
        <v>193</v>
      </c>
      <c r="B11" s="17" t="s">
        <v>288</v>
      </c>
      <c r="C11" s="5">
        <f>SQRT(C10*PI()*C8*C9)</f>
        <v>0.66066377423275202</v>
      </c>
    </row>
    <row r="12" spans="1:10" ht="15.75">
      <c r="A12" t="s">
        <v>266</v>
      </c>
      <c r="B12" t="s">
        <v>48</v>
      </c>
      <c r="C12" s="22">
        <v>0.85</v>
      </c>
    </row>
    <row r="14" spans="1:10">
      <c r="A14" s="1" t="s">
        <v>195</v>
      </c>
      <c r="B14" s="1"/>
      <c r="C14" s="1"/>
      <c r="D14" s="1"/>
    </row>
    <row r="15" spans="1:10">
      <c r="A15" s="21" t="s">
        <v>196</v>
      </c>
      <c r="B15" s="88" t="s">
        <v>13</v>
      </c>
      <c r="C15">
        <v>1.4</v>
      </c>
    </row>
    <row r="16" spans="1:10">
      <c r="A16" t="s">
        <v>197</v>
      </c>
      <c r="B16" s="71" t="s">
        <v>13</v>
      </c>
      <c r="C16">
        <v>9.81</v>
      </c>
      <c r="D16" t="s">
        <v>14</v>
      </c>
    </row>
    <row r="17" spans="1:24" ht="15.75">
      <c r="A17" t="s">
        <v>198</v>
      </c>
      <c r="B17" s="71" t="s">
        <v>49</v>
      </c>
      <c r="C17">
        <v>101325</v>
      </c>
      <c r="D17" t="s">
        <v>15</v>
      </c>
    </row>
    <row r="18" spans="1:24">
      <c r="A18" t="s">
        <v>199</v>
      </c>
      <c r="B18" s="71" t="s">
        <v>120</v>
      </c>
      <c r="C18">
        <v>2.7182818281827998</v>
      </c>
    </row>
    <row r="20" spans="1:24" ht="14.25">
      <c r="A20" s="13" t="s">
        <v>351</v>
      </c>
    </row>
    <row r="21" spans="1:24">
      <c r="A21" s="13"/>
    </row>
    <row r="22" spans="1:24">
      <c r="A22" t="s">
        <v>334</v>
      </c>
      <c r="J22" t="s">
        <v>335</v>
      </c>
      <c r="M22" t="s">
        <v>336</v>
      </c>
      <c r="P22" t="s">
        <v>345</v>
      </c>
      <c r="S22" t="s">
        <v>346</v>
      </c>
    </row>
    <row r="23" spans="1:24" ht="15.75">
      <c r="A23" s="100" t="s">
        <v>207</v>
      </c>
      <c r="B23" s="100" t="s">
        <v>65</v>
      </c>
      <c r="C23" s="167">
        <v>0.3</v>
      </c>
      <c r="D23" s="100"/>
      <c r="E23" s="109" t="s">
        <v>350</v>
      </c>
      <c r="F23" s="100"/>
      <c r="G23" s="100"/>
      <c r="H23" s="100"/>
      <c r="I23" s="100"/>
      <c r="J23" s="100" t="s">
        <v>65</v>
      </c>
      <c r="K23" s="103">
        <f>1/(C84*L_D)</f>
        <v>0.24638131690188794</v>
      </c>
      <c r="L23" s="100"/>
      <c r="M23" s="100" t="s">
        <v>65</v>
      </c>
      <c r="N23" s="103">
        <f>1/(K84*L_D)</f>
        <v>0.2411055532625821</v>
      </c>
      <c r="O23" s="100"/>
      <c r="P23" s="100" t="s">
        <v>65</v>
      </c>
      <c r="Q23" s="103">
        <f>1/(N84*L_D)</f>
        <v>0.24055871695164008</v>
      </c>
      <c r="R23" s="100"/>
      <c r="S23" s="100" t="s">
        <v>65</v>
      </c>
      <c r="T23" s="103">
        <f>1/(Q84*L_D)</f>
        <v>0.24050173606740394</v>
      </c>
      <c r="U23" s="100"/>
      <c r="V23" s="100"/>
      <c r="W23" s="100"/>
      <c r="X23" s="100"/>
    </row>
    <row r="24" spans="1:24">
      <c r="A24" s="100" t="s">
        <v>143</v>
      </c>
      <c r="B24" s="100" t="s">
        <v>131</v>
      </c>
      <c r="C24" s="110">
        <v>0.30480000000000002</v>
      </c>
      <c r="D24" s="100" t="s">
        <v>132</v>
      </c>
      <c r="E24" s="109"/>
      <c r="F24" s="100"/>
      <c r="G24" s="100"/>
      <c r="H24" s="100"/>
      <c r="I24" s="100"/>
      <c r="J24" s="100"/>
      <c r="K24" s="110"/>
      <c r="L24" s="100"/>
      <c r="M24" s="100"/>
      <c r="N24" s="110"/>
      <c r="O24" s="100"/>
      <c r="P24" s="100"/>
      <c r="Q24" s="110"/>
      <c r="R24" s="100"/>
      <c r="S24" s="100"/>
      <c r="T24" s="110"/>
      <c r="U24" s="100" t="s">
        <v>132</v>
      </c>
      <c r="V24" s="100"/>
      <c r="W24" s="100"/>
      <c r="X24" s="100"/>
    </row>
    <row r="25" spans="1:24" ht="15.75">
      <c r="A25" s="100" t="s">
        <v>208</v>
      </c>
      <c r="B25" s="100" t="s">
        <v>64</v>
      </c>
      <c r="C25" s="108">
        <f>(C23-0.7125+0.0248*BPR)/(0.0013*BPR-0.0397)*1000</f>
        <v>6468.0073126142606</v>
      </c>
      <c r="D25" s="111" t="s">
        <v>3</v>
      </c>
      <c r="E25" s="109"/>
      <c r="F25" s="100"/>
      <c r="G25" s="100"/>
      <c r="H25" s="100"/>
      <c r="I25" s="100"/>
      <c r="J25" s="100" t="s">
        <v>64</v>
      </c>
      <c r="K25" s="108">
        <f>(K23-0.7125+0.0248*BPR)/(0.0013*BPR-0.0397)*1000</f>
        <v>8428.4710456348112</v>
      </c>
      <c r="L25" s="100"/>
      <c r="M25" s="100" t="s">
        <v>64</v>
      </c>
      <c r="N25" s="108">
        <f>(N23-0.7125+0.0248*BPR)/(0.0013*BPR-0.0397)*1000</f>
        <v>8621.3691677300885</v>
      </c>
      <c r="O25" s="100"/>
      <c r="P25" s="100" t="s">
        <v>64</v>
      </c>
      <c r="Q25" s="108">
        <f>(Q23-0.7125+0.0248*BPR)/(0.0013*BPR-0.0397)*1000</f>
        <v>8641.3631827553891</v>
      </c>
      <c r="R25" s="100"/>
      <c r="S25" s="100" t="s">
        <v>64</v>
      </c>
      <c r="T25" s="108">
        <f>(T23-0.7125+0.0248*BPR)/(0.0013*BPR-0.0397)*1000</f>
        <v>8643.446578888339</v>
      </c>
      <c r="U25" s="111" t="s">
        <v>3</v>
      </c>
      <c r="V25" s="100"/>
      <c r="W25" s="100"/>
      <c r="X25" s="100"/>
    </row>
    <row r="26" spans="1:24" ht="15.75">
      <c r="A26" s="100" t="s">
        <v>208</v>
      </c>
      <c r="B26" s="100" t="s">
        <v>64</v>
      </c>
      <c r="C26" s="108">
        <f>C25/C24</f>
        <v>21220.496432461485</v>
      </c>
      <c r="D26" s="111" t="s">
        <v>133</v>
      </c>
      <c r="E26" s="109"/>
      <c r="F26" s="100"/>
      <c r="G26" s="100"/>
      <c r="H26" s="100"/>
      <c r="I26" s="100"/>
      <c r="J26" s="100" t="s">
        <v>64</v>
      </c>
      <c r="K26" s="108">
        <f>K25/C24</f>
        <v>27652.464060481663</v>
      </c>
      <c r="L26" s="100"/>
      <c r="M26" s="100" t="s">
        <v>64</v>
      </c>
      <c r="N26" s="108">
        <f>N25/C24</f>
        <v>28285.33191512496</v>
      </c>
      <c r="O26" s="100"/>
      <c r="P26" s="100" t="s">
        <v>64</v>
      </c>
      <c r="Q26" s="108">
        <f>Q25/C24</f>
        <v>28350.92907728146</v>
      </c>
      <c r="R26" s="100"/>
      <c r="S26" s="100" t="s">
        <v>64</v>
      </c>
      <c r="T26" s="108">
        <f>T25/C24</f>
        <v>28357.764366431558</v>
      </c>
      <c r="U26" s="111" t="s">
        <v>133</v>
      </c>
      <c r="V26" s="100"/>
      <c r="W26" s="100"/>
      <c r="X26" s="100"/>
    </row>
    <row r="27" spans="1:24" ht="15.75">
      <c r="A27" s="100" t="s">
        <v>274</v>
      </c>
      <c r="B27" s="100" t="s">
        <v>62</v>
      </c>
      <c r="C27" s="112">
        <f>288.15-0.0065*C25</f>
        <v>246.10795246800728</v>
      </c>
      <c r="D27" s="100" t="s">
        <v>23</v>
      </c>
      <c r="E27" s="113" t="s">
        <v>61</v>
      </c>
      <c r="F27" s="100">
        <v>216.65</v>
      </c>
      <c r="G27" s="100" t="s">
        <v>23</v>
      </c>
      <c r="H27" s="100"/>
      <c r="I27" s="100"/>
      <c r="J27" s="100" t="s">
        <v>62</v>
      </c>
      <c r="K27" s="112">
        <f>288.15-0.0065*K25</f>
        <v>233.3649382033737</v>
      </c>
      <c r="L27" s="100"/>
      <c r="M27" s="100" t="s">
        <v>62</v>
      </c>
      <c r="N27" s="112">
        <f>288.15-0.0065*N25</f>
        <v>232.11110040975441</v>
      </c>
      <c r="O27" s="100"/>
      <c r="P27" s="100" t="s">
        <v>62</v>
      </c>
      <c r="Q27" s="112">
        <f>288.15-0.0065*Q25</f>
        <v>231.98113931208997</v>
      </c>
      <c r="R27" s="100"/>
      <c r="S27" s="100" t="s">
        <v>62</v>
      </c>
      <c r="T27" s="112">
        <f>288.15-0.0065*T25</f>
        <v>231.96759723722579</v>
      </c>
      <c r="U27" s="100" t="s">
        <v>23</v>
      </c>
      <c r="V27" s="100"/>
      <c r="W27" s="100"/>
      <c r="X27" s="100"/>
    </row>
    <row r="28" spans="1:24" ht="15.75">
      <c r="A28" s="100" t="s">
        <v>209</v>
      </c>
      <c r="B28" s="100" t="s">
        <v>66</v>
      </c>
      <c r="C28" s="112">
        <f>IF(C27&lt;F27,F27,C27)</f>
        <v>246.10795246800728</v>
      </c>
      <c r="D28" s="100"/>
      <c r="E28" s="109"/>
      <c r="F28" s="100"/>
      <c r="G28" s="100"/>
      <c r="H28" s="100"/>
      <c r="I28" s="100"/>
      <c r="J28" s="100" t="s">
        <v>66</v>
      </c>
      <c r="K28" s="112">
        <f>IF(K27&lt;$F27,$F27,K27)</f>
        <v>233.3649382033737</v>
      </c>
      <c r="L28" s="100"/>
      <c r="M28" s="100" t="s">
        <v>66</v>
      </c>
      <c r="N28" s="112">
        <f>IF(N27&lt;$F27,$F27,N27)</f>
        <v>232.11110040975441</v>
      </c>
      <c r="O28" s="100"/>
      <c r="P28" s="100" t="s">
        <v>66</v>
      </c>
      <c r="Q28" s="112">
        <f>IF(Q27&lt;$F27,$F27,Q27)</f>
        <v>231.98113931208997</v>
      </c>
      <c r="R28" s="100"/>
      <c r="S28" s="100" t="s">
        <v>66</v>
      </c>
      <c r="T28" s="112">
        <f>IF(T27&lt;$F27,$F27,T27)</f>
        <v>231.96759723722579</v>
      </c>
      <c r="U28" s="100"/>
      <c r="V28" s="100"/>
      <c r="W28" s="100"/>
      <c r="X28" s="100"/>
    </row>
    <row r="29" spans="1:24" ht="15.75">
      <c r="A29" s="100" t="s">
        <v>210</v>
      </c>
      <c r="B29" s="100" t="s">
        <v>2</v>
      </c>
      <c r="C29" s="114">
        <f>20.05*SQRT(C28)</f>
        <v>314.54095466571613</v>
      </c>
      <c r="D29" s="100" t="s">
        <v>4</v>
      </c>
      <c r="E29" s="109"/>
      <c r="F29" s="100"/>
      <c r="G29" s="100"/>
      <c r="H29" s="100"/>
      <c r="I29" s="100"/>
      <c r="J29" s="100" t="s">
        <v>2</v>
      </c>
      <c r="K29" s="114">
        <f>20.05*SQRT(K28)</f>
        <v>306.28955021368546</v>
      </c>
      <c r="L29" s="100"/>
      <c r="M29" s="100" t="s">
        <v>2</v>
      </c>
      <c r="N29" s="114">
        <f>20.05*SQRT(N28)</f>
        <v>305.46561613784343</v>
      </c>
      <c r="O29" s="100"/>
      <c r="P29" s="100" t="s">
        <v>2</v>
      </c>
      <c r="Q29" s="114">
        <f>20.05*SQRT(Q28)</f>
        <v>305.38008768796379</v>
      </c>
      <c r="R29" s="100"/>
      <c r="S29" s="100" t="s">
        <v>2</v>
      </c>
      <c r="T29" s="114">
        <f>20.05*SQRT(T28)</f>
        <v>305.37117416082003</v>
      </c>
      <c r="U29" s="100" t="s">
        <v>4</v>
      </c>
      <c r="V29" s="100"/>
      <c r="W29" s="100"/>
      <c r="X29" s="100"/>
    </row>
    <row r="30" spans="1:24" ht="15.75">
      <c r="A30" s="100" t="s">
        <v>263</v>
      </c>
      <c r="B30" s="100" t="s">
        <v>63</v>
      </c>
      <c r="C30" s="108">
        <f>C29*M</f>
        <v>267.35981146585868</v>
      </c>
      <c r="D30" s="111" t="s">
        <v>4</v>
      </c>
      <c r="E30" s="109"/>
      <c r="F30" s="100"/>
      <c r="G30" s="100"/>
      <c r="H30" s="100"/>
      <c r="I30" s="100"/>
      <c r="J30" s="100" t="s">
        <v>63</v>
      </c>
      <c r="K30" s="108">
        <f>K29*M</f>
        <v>260.34611768163262</v>
      </c>
      <c r="L30" s="100"/>
      <c r="M30" s="100" t="s">
        <v>63</v>
      </c>
      <c r="N30" s="108">
        <f>N29*M</f>
        <v>259.64577371716689</v>
      </c>
      <c r="O30" s="100"/>
      <c r="P30" s="100" t="s">
        <v>63</v>
      </c>
      <c r="Q30" s="108">
        <f>Q29*M</f>
        <v>259.57307453476921</v>
      </c>
      <c r="R30" s="100"/>
      <c r="S30" s="100" t="s">
        <v>63</v>
      </c>
      <c r="T30" s="108">
        <f>T29*M</f>
        <v>259.56549803669702</v>
      </c>
      <c r="U30" s="111" t="s">
        <v>4</v>
      </c>
      <c r="V30" s="100"/>
      <c r="W30" s="100"/>
      <c r="X30" s="100"/>
    </row>
    <row r="31" spans="1:24">
      <c r="A31" s="100"/>
      <c r="B31" s="100"/>
      <c r="C31" s="114"/>
      <c r="D31" s="100"/>
      <c r="E31" s="109"/>
      <c r="F31" s="100"/>
      <c r="G31" s="100"/>
      <c r="H31" s="100"/>
      <c r="I31" s="100"/>
      <c r="J31" s="100"/>
      <c r="K31" s="114"/>
      <c r="L31" s="100"/>
      <c r="M31" s="100"/>
      <c r="N31" s="114"/>
      <c r="O31" s="100"/>
      <c r="P31" s="100"/>
      <c r="Q31" s="114"/>
      <c r="R31" s="100"/>
      <c r="S31" s="100"/>
      <c r="T31" s="114"/>
      <c r="U31" s="100"/>
      <c r="V31" s="100"/>
      <c r="W31" s="100"/>
      <c r="X31" s="100"/>
    </row>
    <row r="32" spans="1:24">
      <c r="A32" s="100" t="s">
        <v>143</v>
      </c>
      <c r="B32" s="114" t="s">
        <v>123</v>
      </c>
      <c r="C32" s="100">
        <v>1852</v>
      </c>
      <c r="D32" s="100" t="s">
        <v>124</v>
      </c>
      <c r="E32" s="109"/>
      <c r="F32" s="100"/>
      <c r="G32" s="100"/>
      <c r="H32" s="100"/>
      <c r="I32" s="100"/>
      <c r="J32" s="114"/>
      <c r="K32" s="100"/>
      <c r="L32" s="100"/>
      <c r="M32" s="114"/>
      <c r="N32" s="100"/>
      <c r="O32" s="100"/>
      <c r="P32" s="114"/>
      <c r="Q32" s="100"/>
      <c r="R32" s="100"/>
      <c r="S32" s="114"/>
      <c r="T32" s="100"/>
      <c r="U32" s="100"/>
      <c r="V32" s="100"/>
      <c r="W32" s="100"/>
      <c r="X32" s="100"/>
    </row>
    <row r="33" spans="1:24">
      <c r="A33" s="100" t="s">
        <v>211</v>
      </c>
      <c r="B33" s="100" t="s">
        <v>24</v>
      </c>
      <c r="C33" s="115">
        <v>8500</v>
      </c>
      <c r="D33" s="116" t="s">
        <v>122</v>
      </c>
      <c r="E33" s="109"/>
      <c r="F33" s="100"/>
      <c r="G33" s="100"/>
      <c r="H33" s="100"/>
      <c r="I33" s="100"/>
      <c r="J33" s="100"/>
      <c r="K33" s="115"/>
      <c r="L33" s="100"/>
      <c r="M33" s="100"/>
      <c r="N33" s="115"/>
      <c r="O33" s="100"/>
      <c r="P33" s="100"/>
      <c r="Q33" s="115"/>
      <c r="R33" s="100"/>
      <c r="S33" s="100"/>
      <c r="T33" s="115"/>
      <c r="U33" s="116"/>
      <c r="V33" s="100"/>
      <c r="W33" s="100"/>
      <c r="X33" s="100"/>
    </row>
    <row r="34" spans="1:24">
      <c r="A34" s="100" t="s">
        <v>211</v>
      </c>
      <c r="B34" s="100" t="s">
        <v>24</v>
      </c>
      <c r="C34" s="117">
        <f>C33*C32</f>
        <v>15742000</v>
      </c>
      <c r="D34" s="100" t="s">
        <v>3</v>
      </c>
      <c r="E34" s="100"/>
      <c r="F34" s="100"/>
      <c r="G34" s="100"/>
      <c r="H34" s="100"/>
      <c r="I34" s="100"/>
      <c r="J34" s="100"/>
      <c r="K34" s="117"/>
      <c r="L34" s="100"/>
      <c r="M34" s="100"/>
      <c r="N34" s="117"/>
      <c r="O34" s="100"/>
      <c r="P34" s="100"/>
      <c r="Q34" s="117"/>
      <c r="R34" s="100"/>
      <c r="S34" s="100"/>
      <c r="T34" s="117"/>
      <c r="U34" s="100"/>
      <c r="V34" s="100"/>
      <c r="W34" s="100"/>
      <c r="X34" s="100"/>
    </row>
    <row r="35" spans="1:24" ht="15.75">
      <c r="A35" s="100" t="s">
        <v>212</v>
      </c>
      <c r="B35" s="100" t="s">
        <v>67</v>
      </c>
      <c r="C35" s="118">
        <v>200</v>
      </c>
      <c r="D35" s="100" t="s">
        <v>122</v>
      </c>
      <c r="E35" s="100"/>
      <c r="F35" s="100"/>
      <c r="G35" s="100"/>
      <c r="H35" s="100"/>
      <c r="I35" s="100"/>
      <c r="J35" s="100"/>
      <c r="K35" s="118"/>
      <c r="L35" s="100"/>
      <c r="M35" s="100"/>
      <c r="N35" s="118"/>
      <c r="O35" s="100"/>
      <c r="P35" s="100"/>
      <c r="Q35" s="118"/>
      <c r="R35" s="100"/>
      <c r="S35" s="100"/>
      <c r="T35" s="118"/>
      <c r="U35" s="100"/>
      <c r="V35" s="100"/>
      <c r="W35" s="100"/>
      <c r="X35" s="100"/>
    </row>
    <row r="36" spans="1:24" ht="15.75">
      <c r="A36" s="100" t="s">
        <v>212</v>
      </c>
      <c r="B36" s="100" t="s">
        <v>67</v>
      </c>
      <c r="C36" s="117">
        <f>C35*C32</f>
        <v>370400</v>
      </c>
      <c r="D36" s="100" t="s">
        <v>3</v>
      </c>
      <c r="E36" s="119" t="s">
        <v>275</v>
      </c>
      <c r="F36" s="100"/>
      <c r="G36" s="100"/>
      <c r="H36" s="100"/>
      <c r="I36" s="100"/>
      <c r="J36" s="100"/>
      <c r="K36" s="117"/>
      <c r="L36" s="100"/>
      <c r="M36" s="100"/>
      <c r="N36" s="117"/>
      <c r="O36" s="100"/>
      <c r="P36" s="100"/>
      <c r="Q36" s="117"/>
      <c r="R36" s="100"/>
      <c r="S36" s="100"/>
      <c r="T36" s="117"/>
      <c r="U36" s="100"/>
      <c r="V36" s="100"/>
      <c r="W36" s="100"/>
      <c r="X36" s="100"/>
    </row>
    <row r="37" spans="1:24" ht="15.75">
      <c r="A37" s="119" t="s">
        <v>213</v>
      </c>
      <c r="B37" s="100" t="s">
        <v>27</v>
      </c>
      <c r="C37" s="120" t="s">
        <v>282</v>
      </c>
      <c r="D37" s="100"/>
      <c r="E37" s="121" t="s">
        <v>26</v>
      </c>
      <c r="F37" s="122" t="s">
        <v>68</v>
      </c>
      <c r="G37" s="123"/>
      <c r="H37" s="100"/>
      <c r="I37" s="100"/>
      <c r="J37" s="100"/>
      <c r="K37" s="120"/>
      <c r="L37" s="100"/>
      <c r="M37" s="100"/>
      <c r="N37" s="120"/>
      <c r="O37" s="100"/>
      <c r="P37" s="100"/>
      <c r="Q37" s="120"/>
      <c r="R37" s="100"/>
      <c r="S37" s="100"/>
      <c r="T37" s="120"/>
      <c r="U37" s="100"/>
      <c r="V37" s="100"/>
      <c r="W37" s="100"/>
      <c r="X37" s="100"/>
    </row>
    <row r="38" spans="1:24">
      <c r="A38" s="100"/>
      <c r="B38" s="100" t="s">
        <v>93</v>
      </c>
      <c r="C38" s="124" t="str">
        <f>IF(C37="yes","no","yes")</f>
        <v>no</v>
      </c>
      <c r="D38" s="100"/>
      <c r="E38" s="125" t="s">
        <v>27</v>
      </c>
      <c r="F38" s="126">
        <f>C36</f>
        <v>370400</v>
      </c>
      <c r="G38" s="127" t="s">
        <v>3</v>
      </c>
      <c r="H38" s="100"/>
      <c r="I38" s="100"/>
      <c r="J38" s="100"/>
      <c r="K38" s="124"/>
      <c r="L38" s="100"/>
      <c r="M38" s="100"/>
      <c r="N38" s="124"/>
      <c r="O38" s="100"/>
      <c r="P38" s="100"/>
      <c r="Q38" s="124"/>
      <c r="R38" s="100"/>
      <c r="S38" s="100"/>
      <c r="T38" s="124"/>
      <c r="U38" s="100"/>
      <c r="V38" s="100"/>
      <c r="W38" s="100"/>
      <c r="X38" s="100"/>
    </row>
    <row r="39" spans="1:24">
      <c r="A39" s="128" t="s">
        <v>214</v>
      </c>
      <c r="B39" s="100"/>
      <c r="C39" s="129">
        <v>0.05</v>
      </c>
      <c r="D39" s="100"/>
      <c r="E39" s="130" t="s">
        <v>93</v>
      </c>
      <c r="F39" s="131">
        <f>C34*C39+C36</f>
        <v>1157500</v>
      </c>
      <c r="G39" s="132" t="s">
        <v>3</v>
      </c>
      <c r="H39" s="100"/>
      <c r="I39" s="100"/>
      <c r="J39" s="100"/>
      <c r="K39" s="129"/>
      <c r="L39" s="100"/>
      <c r="M39" s="100"/>
      <c r="N39" s="129"/>
      <c r="O39" s="100"/>
      <c r="P39" s="100"/>
      <c r="Q39" s="129"/>
      <c r="R39" s="100"/>
      <c r="S39" s="100"/>
      <c r="T39" s="129"/>
      <c r="U39" s="100"/>
      <c r="V39" s="100"/>
      <c r="W39" s="100"/>
      <c r="X39" s="100"/>
    </row>
    <row r="40" spans="1:24">
      <c r="A40" s="100"/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</row>
    <row r="41" spans="1:24" ht="15.75">
      <c r="A41" s="100" t="s">
        <v>218</v>
      </c>
      <c r="B41" s="100" t="s">
        <v>68</v>
      </c>
      <c r="C41" s="133">
        <f>IF(C37="yes",F38,F39)</f>
        <v>370400</v>
      </c>
      <c r="D41" s="100" t="s">
        <v>3</v>
      </c>
      <c r="E41" s="109"/>
      <c r="F41" s="100"/>
      <c r="G41" s="100"/>
      <c r="H41" s="100"/>
      <c r="I41" s="100"/>
      <c r="J41" s="100" t="s">
        <v>68</v>
      </c>
      <c r="K41" s="133">
        <f>IF(C37="yes",$F38,$F39)</f>
        <v>370400</v>
      </c>
      <c r="L41" s="100"/>
      <c r="M41" s="100" t="s">
        <v>68</v>
      </c>
      <c r="N41" s="133">
        <f>IF(C37="yes",$F38,$F39)</f>
        <v>370400</v>
      </c>
      <c r="O41" s="100"/>
      <c r="P41" s="100" t="s">
        <v>68</v>
      </c>
      <c r="Q41" s="133">
        <f>IF(C37="yes",$F38,$F39)</f>
        <v>370400</v>
      </c>
      <c r="R41" s="100"/>
      <c r="S41" s="100" t="s">
        <v>68</v>
      </c>
      <c r="T41" s="133">
        <f>IF(C37="yes",$F38,$F39)</f>
        <v>370400</v>
      </c>
      <c r="U41" s="100" t="s">
        <v>3</v>
      </c>
      <c r="V41" s="100"/>
      <c r="W41" s="100"/>
      <c r="X41" s="100"/>
    </row>
    <row r="42" spans="1:24" ht="15.75">
      <c r="A42" s="100" t="s">
        <v>215</v>
      </c>
      <c r="B42" s="100" t="s">
        <v>85</v>
      </c>
      <c r="C42" s="134">
        <v>1.4E-5</v>
      </c>
      <c r="D42" s="116" t="s">
        <v>25</v>
      </c>
      <c r="E42" s="100" t="s">
        <v>216</v>
      </c>
      <c r="F42" s="135">
        <v>1.5999999999999999E-5</v>
      </c>
      <c r="G42" s="100" t="s">
        <v>25</v>
      </c>
      <c r="H42" s="100"/>
      <c r="I42" s="100"/>
      <c r="J42" s="100" t="s">
        <v>85</v>
      </c>
      <c r="K42" s="134">
        <v>1.4E-5</v>
      </c>
      <c r="L42" s="100"/>
      <c r="M42" s="100" t="s">
        <v>85</v>
      </c>
      <c r="N42" s="134">
        <v>1.4E-5</v>
      </c>
      <c r="O42" s="100"/>
      <c r="P42" s="100" t="s">
        <v>85</v>
      </c>
      <c r="Q42" s="134">
        <v>1.4E-5</v>
      </c>
      <c r="R42" s="100"/>
      <c r="S42" s="100" t="s">
        <v>85</v>
      </c>
      <c r="T42" s="134">
        <v>1.4E-5</v>
      </c>
      <c r="U42" s="116" t="s">
        <v>25</v>
      </c>
      <c r="V42" s="100"/>
      <c r="W42" s="100"/>
      <c r="X42" s="100"/>
    </row>
    <row r="43" spans="1:24">
      <c r="A43" s="100"/>
      <c r="B43" s="100"/>
      <c r="C43" s="134"/>
      <c r="D43" s="100"/>
      <c r="E43" s="119" t="s">
        <v>217</v>
      </c>
      <c r="F43" s="135"/>
      <c r="G43" s="100"/>
      <c r="H43" s="100"/>
      <c r="I43" s="100"/>
      <c r="J43" s="100"/>
      <c r="K43" s="134"/>
      <c r="L43" s="100"/>
      <c r="M43" s="100"/>
      <c r="N43" s="134"/>
      <c r="O43" s="100"/>
      <c r="P43" s="100"/>
      <c r="Q43" s="134"/>
      <c r="R43" s="100"/>
      <c r="S43" s="100"/>
      <c r="T43" s="134"/>
      <c r="U43" s="100"/>
      <c r="V43" s="100"/>
      <c r="W43" s="100"/>
      <c r="X43" s="100"/>
    </row>
    <row r="44" spans="1:24" ht="15.75">
      <c r="A44" s="100" t="s">
        <v>219</v>
      </c>
      <c r="B44" s="100" t="s">
        <v>86</v>
      </c>
      <c r="C44" s="136">
        <f>L_D*C30/C42/g</f>
        <v>34296577.220338844</v>
      </c>
      <c r="D44" s="100" t="s">
        <v>3</v>
      </c>
      <c r="E44" s="121" t="s">
        <v>26</v>
      </c>
      <c r="F44" s="122" t="s">
        <v>89</v>
      </c>
      <c r="G44" s="123"/>
      <c r="H44" s="100"/>
      <c r="I44" s="100"/>
      <c r="J44" s="100" t="s">
        <v>86</v>
      </c>
      <c r="K44" s="136">
        <f>L_D*K30/K42/g</f>
        <v>33396869.485089943</v>
      </c>
      <c r="L44" s="100"/>
      <c r="M44" s="100" t="s">
        <v>86</v>
      </c>
      <c r="N44" s="136">
        <f>L_D*N30/N42/g</f>
        <v>33307030.250365756</v>
      </c>
      <c r="O44" s="100"/>
      <c r="P44" s="100" t="s">
        <v>86</v>
      </c>
      <c r="Q44" s="136">
        <f>L_D*Q30/Q42/g</f>
        <v>33297704.491534285</v>
      </c>
      <c r="R44" s="100"/>
      <c r="S44" s="100" t="s">
        <v>86</v>
      </c>
      <c r="T44" s="136">
        <f>L_D*T30/T42/g</f>
        <v>33296732.587979417</v>
      </c>
      <c r="U44" s="100" t="s">
        <v>3</v>
      </c>
      <c r="V44" s="100"/>
      <c r="W44" s="100"/>
      <c r="X44" s="100"/>
    </row>
    <row r="45" spans="1:24" ht="15.75">
      <c r="A45" s="100" t="s">
        <v>220</v>
      </c>
      <c r="B45" s="100" t="s">
        <v>87</v>
      </c>
      <c r="C45" s="137">
        <f>POWER(e,-C34/C44)</f>
        <v>0.63191762073217916</v>
      </c>
      <c r="D45" s="100"/>
      <c r="E45" s="125" t="s">
        <v>27</v>
      </c>
      <c r="F45" s="71">
        <v>2700</v>
      </c>
      <c r="G45" s="138" t="s">
        <v>28</v>
      </c>
      <c r="H45" s="100"/>
      <c r="I45" s="100"/>
      <c r="J45" s="100" t="s">
        <v>87</v>
      </c>
      <c r="K45" s="137">
        <f>POWER(e,-C34/K44)</f>
        <v>0.62415187862736621</v>
      </c>
      <c r="L45" s="100"/>
      <c r="M45" s="100" t="s">
        <v>87</v>
      </c>
      <c r="N45" s="137">
        <f>POWER(e,-C34/N44)</f>
        <v>0.62335883238813539</v>
      </c>
      <c r="O45" s="100"/>
      <c r="P45" s="100" t="s">
        <v>87</v>
      </c>
      <c r="Q45" s="137">
        <f>POWER(e,-C34/Q44)</f>
        <v>0.62327632302106828</v>
      </c>
      <c r="R45" s="100"/>
      <c r="S45" s="100" t="s">
        <v>87</v>
      </c>
      <c r="T45" s="137">
        <f>POWER(e,-C34/T44)</f>
        <v>0.62326772210324266</v>
      </c>
      <c r="U45" s="100"/>
      <c r="V45" s="100"/>
      <c r="W45" s="100"/>
      <c r="X45" s="100"/>
    </row>
    <row r="46" spans="1:24" ht="15.75">
      <c r="A46" s="100" t="s">
        <v>221</v>
      </c>
      <c r="B46" s="100" t="s">
        <v>88</v>
      </c>
      <c r="C46" s="137">
        <f>POWER(e,-C41/C44)</f>
        <v>0.9892581981275228</v>
      </c>
      <c r="D46" s="100"/>
      <c r="E46" s="130" t="s">
        <v>93</v>
      </c>
      <c r="F46" s="131">
        <v>1800</v>
      </c>
      <c r="G46" s="132" t="s">
        <v>28</v>
      </c>
      <c r="H46" s="100"/>
      <c r="I46" s="100"/>
      <c r="J46" s="100" t="s">
        <v>88</v>
      </c>
      <c r="K46" s="137">
        <f>POWER(e,-K41/K44)</f>
        <v>0.9889704169574558</v>
      </c>
      <c r="L46" s="100"/>
      <c r="M46" s="100" t="s">
        <v>88</v>
      </c>
      <c r="N46" s="137">
        <f>POWER(e,-N41/N44)</f>
        <v>0.98894083191780524</v>
      </c>
      <c r="O46" s="100"/>
      <c r="P46" s="100" t="s">
        <v>88</v>
      </c>
      <c r="Q46" s="137">
        <f>POWER(e,-Q41/Q44)</f>
        <v>0.98893775174853116</v>
      </c>
      <c r="R46" s="100"/>
      <c r="S46" s="100" t="s">
        <v>88</v>
      </c>
      <c r="T46" s="137">
        <f>POWER(e,-T41/T44)</f>
        <v>0.98893743064349215</v>
      </c>
      <c r="U46" s="100"/>
      <c r="V46" s="100"/>
      <c r="W46" s="100"/>
      <c r="X46" s="100"/>
    </row>
    <row r="47" spans="1:24">
      <c r="A47" s="100"/>
      <c r="B47" s="100"/>
      <c r="C47" s="137"/>
      <c r="D47" s="100"/>
      <c r="E47" s="100"/>
      <c r="F47" s="100"/>
      <c r="G47" s="100"/>
      <c r="H47" s="100"/>
      <c r="I47" s="100"/>
      <c r="J47" s="100"/>
      <c r="K47" s="137"/>
      <c r="L47" s="100"/>
      <c r="M47" s="100"/>
      <c r="N47" s="137"/>
      <c r="O47" s="100"/>
      <c r="P47" s="100"/>
      <c r="Q47" s="137"/>
      <c r="R47" s="100"/>
      <c r="S47" s="100"/>
      <c r="T47" s="137"/>
      <c r="U47" s="100"/>
      <c r="V47" s="100"/>
      <c r="W47" s="100"/>
      <c r="X47" s="100"/>
    </row>
    <row r="48" spans="1:24" ht="15.75">
      <c r="A48" s="100" t="s">
        <v>222</v>
      </c>
      <c r="B48" s="100" t="s">
        <v>89</v>
      </c>
      <c r="C48" s="133">
        <f>IF(C37="yes",F45,F46)</f>
        <v>2700</v>
      </c>
      <c r="D48" s="100" t="s">
        <v>28</v>
      </c>
      <c r="E48" s="109"/>
      <c r="F48" s="100"/>
      <c r="G48" s="100"/>
      <c r="H48" s="100"/>
      <c r="I48" s="100"/>
      <c r="J48" s="100" t="s">
        <v>89</v>
      </c>
      <c r="K48" s="133">
        <f>IF(C37="yes",$F45,$F46)</f>
        <v>2700</v>
      </c>
      <c r="L48" s="100"/>
      <c r="M48" s="100" t="s">
        <v>89</v>
      </c>
      <c r="N48" s="133">
        <f>IF(C37="yes",$F45,$F46)</f>
        <v>2700</v>
      </c>
      <c r="O48" s="100"/>
      <c r="P48" s="100" t="s">
        <v>89</v>
      </c>
      <c r="Q48" s="133">
        <f>IF(C37="yes",$F45,$F46)</f>
        <v>2700</v>
      </c>
      <c r="R48" s="100"/>
      <c r="S48" s="100" t="s">
        <v>89</v>
      </c>
      <c r="T48" s="133">
        <f>IF(C37="yes",$F45,$F46)</f>
        <v>2700</v>
      </c>
      <c r="U48" s="100" t="s">
        <v>28</v>
      </c>
      <c r="V48" s="100"/>
      <c r="W48" s="100"/>
      <c r="X48" s="100"/>
    </row>
    <row r="49" spans="1:24" ht="15.75">
      <c r="A49" s="100" t="s">
        <v>223</v>
      </c>
      <c r="B49" s="100" t="s">
        <v>90</v>
      </c>
      <c r="C49" s="134">
        <f>C42</f>
        <v>1.4E-5</v>
      </c>
      <c r="D49" s="116" t="s">
        <v>25</v>
      </c>
      <c r="E49" s="100"/>
      <c r="F49" s="100"/>
      <c r="G49" s="100"/>
      <c r="H49" s="100"/>
      <c r="I49" s="100"/>
      <c r="J49" s="100" t="s">
        <v>90</v>
      </c>
      <c r="K49" s="134">
        <f>K42</f>
        <v>1.4E-5</v>
      </c>
      <c r="L49" s="100"/>
      <c r="M49" s="100" t="s">
        <v>90</v>
      </c>
      <c r="N49" s="134">
        <f>N42</f>
        <v>1.4E-5</v>
      </c>
      <c r="O49" s="100"/>
      <c r="P49" s="100" t="s">
        <v>90</v>
      </c>
      <c r="Q49" s="134">
        <f>Q42</f>
        <v>1.4E-5</v>
      </c>
      <c r="R49" s="100"/>
      <c r="S49" s="100" t="s">
        <v>90</v>
      </c>
      <c r="T49" s="134">
        <f>T42</f>
        <v>1.4E-5</v>
      </c>
      <c r="U49" s="116" t="s">
        <v>25</v>
      </c>
      <c r="V49" s="100"/>
      <c r="W49" s="100"/>
      <c r="X49" s="100"/>
    </row>
    <row r="50" spans="1:24" ht="15.75">
      <c r="A50" s="100" t="s">
        <v>224</v>
      </c>
      <c r="B50" s="100" t="s">
        <v>91</v>
      </c>
      <c r="C50" s="107">
        <f>C44/C30</f>
        <v>128278.73057023923</v>
      </c>
      <c r="D50" s="100" t="s">
        <v>28</v>
      </c>
      <c r="E50" s="100"/>
      <c r="F50" s="100"/>
      <c r="G50" s="100"/>
      <c r="H50" s="100"/>
      <c r="I50" s="100"/>
      <c r="J50" s="100" t="s">
        <v>91</v>
      </c>
      <c r="K50" s="107">
        <f>K44/K30</f>
        <v>128278.73057023922</v>
      </c>
      <c r="L50" s="100"/>
      <c r="M50" s="100" t="s">
        <v>91</v>
      </c>
      <c r="N50" s="107">
        <f>N44/N30</f>
        <v>128278.73057023923</v>
      </c>
      <c r="O50" s="100"/>
      <c r="P50" s="100" t="s">
        <v>91</v>
      </c>
      <c r="Q50" s="107">
        <f>Q44/Q30</f>
        <v>128278.73057023923</v>
      </c>
      <c r="R50" s="100"/>
      <c r="S50" s="100" t="s">
        <v>91</v>
      </c>
      <c r="T50" s="107">
        <f>T44/T30</f>
        <v>128278.73057023923</v>
      </c>
      <c r="U50" s="100" t="s">
        <v>28</v>
      </c>
      <c r="V50" s="100"/>
      <c r="W50" s="100"/>
      <c r="X50" s="100"/>
    </row>
    <row r="51" spans="1:24" ht="15.75">
      <c r="A51" s="100" t="s">
        <v>225</v>
      </c>
      <c r="B51" s="100" t="s">
        <v>92</v>
      </c>
      <c r="C51" s="137">
        <f>POWER(e,-C48/C50)</f>
        <v>0.97917204502472299</v>
      </c>
      <c r="D51" s="100"/>
      <c r="E51" s="100"/>
      <c r="F51" s="100"/>
      <c r="G51" s="100"/>
      <c r="H51" s="100"/>
      <c r="I51" s="100"/>
      <c r="J51" s="100" t="s">
        <v>92</v>
      </c>
      <c r="K51" s="137">
        <f>POWER(e,-K48/K50)</f>
        <v>0.97917204502472299</v>
      </c>
      <c r="L51" s="100"/>
      <c r="M51" s="100" t="s">
        <v>92</v>
      </c>
      <c r="N51" s="137">
        <f>POWER(e,-N48/N50)</f>
        <v>0.97917204502472299</v>
      </c>
      <c r="O51" s="100"/>
      <c r="P51" s="100" t="s">
        <v>92</v>
      </c>
      <c r="Q51" s="137">
        <f>POWER(e,-Q48/Q50)</f>
        <v>0.97917204502472299</v>
      </c>
      <c r="R51" s="100"/>
      <c r="S51" s="100" t="s">
        <v>92</v>
      </c>
      <c r="T51" s="137">
        <f>POWER(e,-T48/T50)</f>
        <v>0.97917204502472299</v>
      </c>
      <c r="U51" s="100"/>
      <c r="V51" s="100"/>
      <c r="W51" s="100"/>
      <c r="X51" s="100"/>
    </row>
    <row r="52" spans="1:24" ht="15.75">
      <c r="A52" s="100"/>
      <c r="B52" s="100"/>
      <c r="C52" s="100"/>
      <c r="D52" s="100"/>
      <c r="E52" s="139" t="s">
        <v>29</v>
      </c>
      <c r="F52" s="140" t="s">
        <v>260</v>
      </c>
      <c r="G52" s="141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</row>
    <row r="53" spans="1:24">
      <c r="A53" s="100"/>
      <c r="B53" s="100"/>
      <c r="C53" s="119"/>
      <c r="D53" s="100"/>
      <c r="E53" s="139"/>
      <c r="F53" s="142" t="s">
        <v>30</v>
      </c>
      <c r="G53" s="143" t="s">
        <v>31</v>
      </c>
      <c r="H53" s="100"/>
      <c r="I53" s="100"/>
      <c r="J53" s="100"/>
      <c r="K53" s="119"/>
      <c r="L53" s="100"/>
      <c r="M53" s="100"/>
      <c r="N53" s="119"/>
      <c r="O53" s="100"/>
      <c r="P53" s="100"/>
      <c r="Q53" s="119"/>
      <c r="R53" s="100"/>
      <c r="S53" s="100"/>
      <c r="T53" s="119"/>
      <c r="U53" s="100"/>
      <c r="V53" s="100"/>
      <c r="W53" s="100"/>
      <c r="X53" s="100"/>
    </row>
    <row r="54" spans="1:24" ht="15.75">
      <c r="A54" s="100" t="s">
        <v>226</v>
      </c>
      <c r="B54" s="100" t="s">
        <v>95</v>
      </c>
      <c r="C54" s="144">
        <v>0.99</v>
      </c>
      <c r="D54" s="119" t="s">
        <v>276</v>
      </c>
      <c r="E54" s="145" t="s">
        <v>32</v>
      </c>
      <c r="F54" s="146">
        <v>0.99</v>
      </c>
      <c r="G54" s="147">
        <v>0.99</v>
      </c>
      <c r="H54" s="100"/>
      <c r="I54" s="100"/>
      <c r="J54" s="100"/>
      <c r="K54" s="144"/>
      <c r="L54" s="100"/>
      <c r="M54" s="100"/>
      <c r="N54" s="144"/>
      <c r="O54" s="100"/>
      <c r="P54" s="100"/>
      <c r="Q54" s="144"/>
      <c r="R54" s="100"/>
      <c r="S54" s="100"/>
      <c r="T54" s="144"/>
      <c r="U54" s="119"/>
      <c r="V54" s="100"/>
      <c r="W54" s="100"/>
      <c r="X54" s="100"/>
    </row>
    <row r="55" spans="1:24" ht="15.75">
      <c r="A55" s="100" t="s">
        <v>227</v>
      </c>
      <c r="B55" s="100" t="s">
        <v>94</v>
      </c>
      <c r="C55" s="144">
        <v>0.99</v>
      </c>
      <c r="D55" s="119" t="s">
        <v>277</v>
      </c>
      <c r="E55" s="148" t="s">
        <v>33</v>
      </c>
      <c r="F55" s="149">
        <v>0.99</v>
      </c>
      <c r="G55" s="150">
        <v>0.995</v>
      </c>
      <c r="H55" s="100"/>
      <c r="I55" s="100"/>
      <c r="J55" s="100"/>
      <c r="K55" s="144"/>
      <c r="L55" s="100"/>
      <c r="M55" s="100"/>
      <c r="N55" s="144"/>
      <c r="O55" s="100"/>
      <c r="P55" s="100"/>
      <c r="Q55" s="144"/>
      <c r="R55" s="100"/>
      <c r="S55" s="100"/>
      <c r="T55" s="144"/>
      <c r="U55" s="119"/>
      <c r="V55" s="100"/>
      <c r="W55" s="100"/>
      <c r="X55" s="100"/>
    </row>
    <row r="56" spans="1:24" ht="15.75">
      <c r="A56" s="100" t="s">
        <v>228</v>
      </c>
      <c r="B56" s="100" t="s">
        <v>96</v>
      </c>
      <c r="C56" s="144">
        <v>0.995</v>
      </c>
      <c r="D56" s="119" t="s">
        <v>278</v>
      </c>
      <c r="E56" s="148" t="s">
        <v>34</v>
      </c>
      <c r="F56" s="149">
        <v>0.995</v>
      </c>
      <c r="G56" s="151">
        <v>0.995</v>
      </c>
      <c r="H56" s="100"/>
      <c r="I56" s="100"/>
      <c r="J56" s="100"/>
      <c r="K56" s="144"/>
      <c r="L56" s="100"/>
      <c r="M56" s="100"/>
      <c r="N56" s="144"/>
      <c r="O56" s="100"/>
      <c r="P56" s="100"/>
      <c r="Q56" s="144"/>
      <c r="R56" s="100"/>
      <c r="S56" s="100"/>
      <c r="T56" s="144"/>
      <c r="U56" s="119"/>
      <c r="V56" s="100"/>
      <c r="W56" s="100"/>
      <c r="X56" s="100"/>
    </row>
    <row r="57" spans="1:24" ht="15.75">
      <c r="A57" s="100" t="s">
        <v>229</v>
      </c>
      <c r="B57" s="100" t="s">
        <v>97</v>
      </c>
      <c r="C57" s="144">
        <v>0.98</v>
      </c>
      <c r="D57" s="119" t="s">
        <v>279</v>
      </c>
      <c r="E57" s="148" t="s">
        <v>35</v>
      </c>
      <c r="F57" s="149">
        <v>0.98</v>
      </c>
      <c r="G57" s="151">
        <v>0.98</v>
      </c>
      <c r="H57" s="100"/>
      <c r="I57" s="100"/>
      <c r="J57" s="100"/>
      <c r="K57" s="144"/>
      <c r="L57" s="100"/>
      <c r="M57" s="100"/>
      <c r="N57" s="144"/>
      <c r="O57" s="100"/>
      <c r="P57" s="100"/>
      <c r="Q57" s="144"/>
      <c r="R57" s="100"/>
      <c r="S57" s="100"/>
      <c r="T57" s="144"/>
      <c r="U57" s="119"/>
      <c r="V57" s="100"/>
      <c r="W57" s="100"/>
      <c r="X57" s="100"/>
    </row>
    <row r="58" spans="1:24" ht="15.75">
      <c r="A58" s="100" t="s">
        <v>230</v>
      </c>
      <c r="B58" s="100" t="s">
        <v>98</v>
      </c>
      <c r="C58" s="144">
        <v>0.99</v>
      </c>
      <c r="D58" s="119" t="s">
        <v>280</v>
      </c>
      <c r="E58" s="148" t="s">
        <v>36</v>
      </c>
      <c r="F58" s="149">
        <v>0.99</v>
      </c>
      <c r="G58" s="151">
        <v>0.99</v>
      </c>
      <c r="H58" s="100"/>
      <c r="I58" s="100"/>
      <c r="J58" s="100"/>
      <c r="K58" s="144"/>
      <c r="L58" s="100"/>
      <c r="M58" s="100"/>
      <c r="N58" s="144"/>
      <c r="O58" s="100"/>
      <c r="P58" s="100"/>
      <c r="Q58" s="144"/>
      <c r="R58" s="100"/>
      <c r="S58" s="100"/>
      <c r="T58" s="144"/>
      <c r="U58" s="119"/>
      <c r="V58" s="100"/>
      <c r="W58" s="100"/>
      <c r="X58" s="100"/>
    </row>
    <row r="59" spans="1:24" ht="15.75">
      <c r="A59" s="100" t="s">
        <v>231</v>
      </c>
      <c r="B59" s="100" t="s">
        <v>99</v>
      </c>
      <c r="C59" s="144">
        <v>0.99199999999999999</v>
      </c>
      <c r="D59" s="119" t="s">
        <v>281</v>
      </c>
      <c r="E59" s="72" t="s">
        <v>37</v>
      </c>
      <c r="F59" s="152">
        <v>0.99199999999999999</v>
      </c>
      <c r="G59" s="153">
        <v>0.99199999999999999</v>
      </c>
      <c r="H59" s="100"/>
      <c r="I59" s="100"/>
      <c r="J59" s="100"/>
      <c r="K59" s="144"/>
      <c r="L59" s="100"/>
      <c r="M59" s="100"/>
      <c r="N59" s="144"/>
      <c r="O59" s="100"/>
      <c r="P59" s="100"/>
      <c r="Q59" s="144"/>
      <c r="R59" s="100"/>
      <c r="S59" s="100"/>
      <c r="T59" s="144"/>
      <c r="U59" s="119"/>
      <c r="V59" s="100"/>
      <c r="W59" s="100"/>
      <c r="X59" s="100"/>
    </row>
    <row r="60" spans="1:24">
      <c r="A60" s="100"/>
      <c r="B60" s="100"/>
      <c r="C60" s="100"/>
      <c r="D60" s="100"/>
      <c r="E60" s="71"/>
      <c r="F60" s="71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</row>
    <row r="61" spans="1:24" ht="15.75">
      <c r="A61" s="100" t="s">
        <v>232</v>
      </c>
      <c r="B61" s="100" t="s">
        <v>100</v>
      </c>
      <c r="C61" s="137">
        <f>C56*C57*C45*C58*C59</f>
        <v>0.6051408749101389</v>
      </c>
      <c r="D61" s="100"/>
      <c r="E61" s="71"/>
      <c r="F61" s="71"/>
      <c r="G61" s="100"/>
      <c r="H61" s="100"/>
      <c r="I61" s="100"/>
      <c r="J61" s="100" t="s">
        <v>100</v>
      </c>
      <c r="K61" s="137">
        <f>C56*C57*K45*C58*C59</f>
        <v>0.59770419674600084</v>
      </c>
      <c r="L61" s="100"/>
      <c r="M61" s="100" t="s">
        <v>100</v>
      </c>
      <c r="N61" s="137">
        <f>C56*C57*N45*C58*C59</f>
        <v>0.59694475488315757</v>
      </c>
      <c r="O61" s="100"/>
      <c r="P61" s="100" t="s">
        <v>100</v>
      </c>
      <c r="Q61" s="137">
        <f>C56*C57*Q45*C58*C59</f>
        <v>0.59686574175084861</v>
      </c>
      <c r="R61" s="100"/>
      <c r="S61" s="100" t="s">
        <v>100</v>
      </c>
      <c r="T61" s="137">
        <f>C56*C57*T45*C58*C59</f>
        <v>0.59685750528652604</v>
      </c>
      <c r="U61" s="100"/>
      <c r="V61" s="100"/>
      <c r="W61" s="100"/>
      <c r="X61" s="100"/>
    </row>
    <row r="62" spans="1:24" ht="15.75">
      <c r="A62" s="100" t="s">
        <v>233</v>
      </c>
      <c r="B62" s="100" t="s">
        <v>101</v>
      </c>
      <c r="C62" s="137">
        <f>C57*C46*C51*C58</f>
        <v>0.9397880845250427</v>
      </c>
      <c r="D62" s="100"/>
      <c r="E62" s="71"/>
      <c r="F62" s="71"/>
      <c r="G62" s="100"/>
      <c r="H62" s="100"/>
      <c r="I62" s="100"/>
      <c r="J62" s="100" t="s">
        <v>101</v>
      </c>
      <c r="K62" s="137">
        <f>C57*K46*K51*C58</f>
        <v>0.93951469450907765</v>
      </c>
      <c r="L62" s="100"/>
      <c r="M62" s="100" t="s">
        <v>101</v>
      </c>
      <c r="N62" s="137">
        <f>C57*N46*N51*C58</f>
        <v>0.93948658893684545</v>
      </c>
      <c r="O62" s="100"/>
      <c r="P62" s="100" t="s">
        <v>101</v>
      </c>
      <c r="Q62" s="137">
        <f>C57*Q46*Q51*C58</f>
        <v>0.93948366279846462</v>
      </c>
      <c r="R62" s="100"/>
      <c r="S62" s="100" t="s">
        <v>101</v>
      </c>
      <c r="T62" s="137">
        <f>C57*T46*T51*C58</f>
        <v>0.93948335775101577</v>
      </c>
      <c r="U62" s="100"/>
      <c r="V62" s="100"/>
      <c r="W62" s="100"/>
      <c r="X62" s="100"/>
    </row>
    <row r="63" spans="1:24" ht="15.75">
      <c r="A63" s="100" t="s">
        <v>234</v>
      </c>
      <c r="B63" s="100" t="s">
        <v>102</v>
      </c>
      <c r="C63" s="137">
        <f>C61*C62</f>
        <v>0.56870418369960796</v>
      </c>
      <c r="D63" s="100"/>
      <c r="E63" s="71"/>
      <c r="F63" s="71"/>
      <c r="G63" s="100"/>
      <c r="H63" s="100"/>
      <c r="I63" s="100"/>
      <c r="J63" s="100" t="s">
        <v>102</v>
      </c>
      <c r="K63" s="137">
        <f>K61*K62</f>
        <v>0.56155187581261268</v>
      </c>
      <c r="L63" s="100"/>
      <c r="M63" s="100" t="s">
        <v>102</v>
      </c>
      <c r="N63" s="137">
        <f>N61*N62</f>
        <v>0.56082159154891897</v>
      </c>
      <c r="O63" s="100"/>
      <c r="P63" s="100" t="s">
        <v>102</v>
      </c>
      <c r="Q63" s="137">
        <f>Q61*Q62</f>
        <v>0.56074561325900973</v>
      </c>
      <c r="R63" s="100"/>
      <c r="S63" s="100" t="s">
        <v>102</v>
      </c>
      <c r="T63" s="137">
        <f>T61*T62</f>
        <v>0.56073769316548017</v>
      </c>
      <c r="U63" s="100"/>
      <c r="V63" s="100"/>
      <c r="W63" s="100"/>
      <c r="X63" s="100"/>
    </row>
    <row r="64" spans="1:24" ht="15.75">
      <c r="A64" s="100" t="s">
        <v>245</v>
      </c>
      <c r="B64" s="100" t="s">
        <v>103</v>
      </c>
      <c r="C64" s="137">
        <f>1-C63</f>
        <v>0.43129581630039204</v>
      </c>
      <c r="D64" s="100"/>
      <c r="E64" s="71"/>
      <c r="F64" s="71"/>
      <c r="G64" s="100"/>
      <c r="H64" s="100"/>
      <c r="I64" s="100"/>
      <c r="J64" s="100" t="s">
        <v>103</v>
      </c>
      <c r="K64" s="137">
        <f>1-K63</f>
        <v>0.43844812418738732</v>
      </c>
      <c r="L64" s="100"/>
      <c r="M64" s="100" t="s">
        <v>103</v>
      </c>
      <c r="N64" s="137">
        <f>1-N63</f>
        <v>0.43917840845108103</v>
      </c>
      <c r="O64" s="100"/>
      <c r="P64" s="100" t="s">
        <v>103</v>
      </c>
      <c r="Q64" s="137">
        <f>1-Q63</f>
        <v>0.43925438674099027</v>
      </c>
      <c r="R64" s="100"/>
      <c r="S64" s="100" t="s">
        <v>103</v>
      </c>
      <c r="T64" s="137">
        <f>1-T63</f>
        <v>0.43926230683451983</v>
      </c>
      <c r="U64" s="100"/>
      <c r="V64" s="100"/>
      <c r="W64" s="100"/>
      <c r="X64" s="100"/>
    </row>
    <row r="65" spans="1:24">
      <c r="A65" s="100"/>
      <c r="B65" s="100"/>
      <c r="C65" s="137"/>
      <c r="D65" s="100"/>
      <c r="E65" s="71"/>
      <c r="F65" s="71"/>
      <c r="G65" s="100"/>
      <c r="H65" s="100"/>
      <c r="I65" s="100"/>
      <c r="J65" s="100"/>
      <c r="K65" s="137"/>
      <c r="L65" s="100"/>
      <c r="M65" s="100"/>
      <c r="N65" s="137"/>
      <c r="O65" s="100"/>
      <c r="P65" s="100"/>
      <c r="Q65" s="137"/>
      <c r="R65" s="100"/>
      <c r="S65" s="100"/>
      <c r="T65" s="137"/>
      <c r="U65" s="100"/>
      <c r="V65" s="100"/>
      <c r="W65" s="100"/>
      <c r="X65" s="100"/>
    </row>
    <row r="66" spans="1:24" ht="15.75">
      <c r="A66" s="100" t="s">
        <v>235</v>
      </c>
      <c r="B66" s="100" t="s">
        <v>104</v>
      </c>
      <c r="C66" s="137">
        <f>P91</f>
        <v>0.48493926326045739</v>
      </c>
      <c r="D66" s="100"/>
      <c r="E66" s="71" t="s">
        <v>316</v>
      </c>
      <c r="F66" s="71"/>
      <c r="G66" s="100"/>
      <c r="H66" s="100"/>
      <c r="I66" s="100"/>
      <c r="J66" s="100" t="s">
        <v>104</v>
      </c>
      <c r="K66" s="137">
        <f>P95</f>
        <v>0.48305351620992848</v>
      </c>
      <c r="L66" s="100"/>
      <c r="M66" s="100" t="s">
        <v>104</v>
      </c>
      <c r="N66" s="137">
        <f>P99</f>
        <v>0.48285612759436825</v>
      </c>
      <c r="O66" s="100"/>
      <c r="P66" s="100" t="s">
        <v>104</v>
      </c>
      <c r="Q66" s="137">
        <f>P99</f>
        <v>0.48285612759436825</v>
      </c>
      <c r="R66" s="100"/>
      <c r="S66" s="100" t="s">
        <v>104</v>
      </c>
      <c r="T66" s="137">
        <f>P107</f>
        <v>0.4828333915123949</v>
      </c>
      <c r="U66" s="100"/>
      <c r="V66" s="100"/>
      <c r="W66" s="100"/>
      <c r="X66" s="100"/>
    </row>
    <row r="67" spans="1:24" ht="15.75">
      <c r="A67" s="100" t="s">
        <v>235</v>
      </c>
      <c r="B67" s="100" t="s">
        <v>104</v>
      </c>
      <c r="C67" s="137">
        <f>0.5967-0.00001657*C33</f>
        <v>0.45585500000000001</v>
      </c>
      <c r="D67" s="100"/>
      <c r="E67" s="71" t="s">
        <v>312</v>
      </c>
      <c r="F67" s="71"/>
      <c r="G67" s="100"/>
      <c r="H67" s="100"/>
      <c r="I67" s="100"/>
      <c r="J67" s="100" t="s">
        <v>104</v>
      </c>
      <c r="K67" s="137">
        <f>0.5967-0.00001657*C33</f>
        <v>0.45585500000000001</v>
      </c>
      <c r="L67" s="100"/>
      <c r="M67" s="100" t="s">
        <v>104</v>
      </c>
      <c r="N67" s="137">
        <f>0.5967-0.00001657*C33</f>
        <v>0.45585500000000001</v>
      </c>
      <c r="O67" s="100"/>
      <c r="P67" s="100" t="s">
        <v>104</v>
      </c>
      <c r="Q67" s="137">
        <f>0.5967-0.00001657*C33</f>
        <v>0.45585500000000001</v>
      </c>
      <c r="R67" s="100"/>
      <c r="S67" s="100" t="s">
        <v>104</v>
      </c>
      <c r="T67" s="137">
        <f>0.5967-0.00001657*C33</f>
        <v>0.45585500000000001</v>
      </c>
      <c r="U67" s="100"/>
      <c r="V67" s="100"/>
      <c r="W67" s="100"/>
      <c r="X67" s="100"/>
    </row>
    <row r="68" spans="1:24" ht="15.75">
      <c r="A68" s="100" t="s">
        <v>235</v>
      </c>
      <c r="B68" s="100" t="s">
        <v>104</v>
      </c>
      <c r="C68" s="120">
        <v>0.47199999999999998</v>
      </c>
      <c r="E68" s="71" t="s">
        <v>236</v>
      </c>
      <c r="F68" s="71"/>
      <c r="G68" s="100"/>
      <c r="H68" s="100"/>
      <c r="I68" s="100"/>
      <c r="J68" s="100" t="s">
        <v>104</v>
      </c>
      <c r="K68" s="120">
        <v>0.47199999999999998</v>
      </c>
      <c r="L68" s="100"/>
      <c r="M68" s="100" t="s">
        <v>104</v>
      </c>
      <c r="N68" s="120">
        <v>0.47199999999999998</v>
      </c>
      <c r="O68" s="100"/>
      <c r="P68" s="100" t="s">
        <v>104</v>
      </c>
      <c r="Q68" s="120">
        <v>0.47199999999999998</v>
      </c>
      <c r="R68" s="100"/>
      <c r="S68" s="100" t="s">
        <v>104</v>
      </c>
      <c r="T68" s="120">
        <v>0.47199999999999998</v>
      </c>
      <c r="V68" s="100"/>
      <c r="W68" s="100"/>
      <c r="X68" s="100"/>
    </row>
    <row r="69" spans="1:24" ht="15.75">
      <c r="A69" s="100" t="s">
        <v>235</v>
      </c>
      <c r="B69" s="100" t="s">
        <v>104</v>
      </c>
      <c r="C69" s="154">
        <f>C67</f>
        <v>0.45585500000000001</v>
      </c>
      <c r="D69" s="100"/>
      <c r="E69" s="109" t="s">
        <v>173</v>
      </c>
      <c r="F69" s="71"/>
      <c r="G69" s="100"/>
      <c r="H69" s="100"/>
      <c r="I69" s="100"/>
      <c r="J69" s="100" t="s">
        <v>104</v>
      </c>
      <c r="K69" s="154">
        <f>IF(C69=C66,K66,IF(C69=C67,K67,C68))</f>
        <v>0.45585500000000001</v>
      </c>
      <c r="L69" s="100"/>
      <c r="M69" s="100" t="s">
        <v>104</v>
      </c>
      <c r="N69" s="154">
        <f>IF(C69=C66,N66,IF(C69=C67,N67,N68))</f>
        <v>0.45585500000000001</v>
      </c>
      <c r="O69" s="100"/>
      <c r="P69" s="100" t="s">
        <v>104</v>
      </c>
      <c r="Q69" s="154">
        <f>IF(C69=C66,Q66,IF(C69=C67,Q67,Q68))</f>
        <v>0.45585500000000001</v>
      </c>
      <c r="R69" s="100"/>
      <c r="S69" s="100" t="s">
        <v>104</v>
      </c>
      <c r="T69" s="154">
        <f>IF(C69=C66,T66,IF(C69=C67,T67,T68))</f>
        <v>0.45585500000000001</v>
      </c>
      <c r="U69" s="100"/>
      <c r="V69" s="100"/>
      <c r="W69" s="100"/>
      <c r="X69" s="100"/>
    </row>
    <row r="70" spans="1:24">
      <c r="A70" s="100"/>
      <c r="B70" s="100"/>
      <c r="C70" s="154"/>
      <c r="D70" s="100"/>
      <c r="E70" s="71"/>
      <c r="F70" s="100"/>
      <c r="G70" s="100"/>
      <c r="H70" s="100"/>
      <c r="I70" s="100"/>
      <c r="J70" s="100"/>
      <c r="K70" s="154"/>
      <c r="L70" s="100"/>
      <c r="M70" s="100"/>
      <c r="N70" s="154"/>
      <c r="O70" s="100"/>
      <c r="P70" s="100"/>
      <c r="Q70" s="154"/>
      <c r="R70" s="100"/>
      <c r="S70" s="100"/>
      <c r="T70" s="154"/>
      <c r="U70" s="100"/>
      <c r="V70" s="100"/>
      <c r="W70" s="100"/>
      <c r="X70" s="100"/>
    </row>
    <row r="71" spans="1:24">
      <c r="A71" s="119" t="s">
        <v>237</v>
      </c>
      <c r="B71" s="113" t="s">
        <v>306</v>
      </c>
      <c r="C71" s="120" t="s">
        <v>282</v>
      </c>
      <c r="D71" s="100"/>
      <c r="E71" s="109" t="s">
        <v>173</v>
      </c>
      <c r="F71" s="100"/>
      <c r="G71" s="100"/>
      <c r="H71" s="100"/>
      <c r="I71" s="100"/>
      <c r="J71" s="113"/>
      <c r="K71" s="120"/>
      <c r="L71" s="100"/>
      <c r="M71" s="113"/>
      <c r="N71" s="120"/>
      <c r="O71" s="100"/>
      <c r="P71" s="113"/>
      <c r="Q71" s="120"/>
      <c r="R71" s="100"/>
      <c r="S71" s="113"/>
      <c r="T71" s="120"/>
      <c r="U71" s="100"/>
      <c r="V71" s="100"/>
      <c r="W71" s="100"/>
      <c r="X71" s="100"/>
    </row>
    <row r="72" spans="1:24">
      <c r="A72" s="100"/>
      <c r="B72" s="100" t="s">
        <v>238</v>
      </c>
      <c r="C72" s="124" t="str">
        <f>IF(C71="yes","no","yes")</f>
        <v>no</v>
      </c>
      <c r="D72" s="100"/>
      <c r="E72" s="100"/>
      <c r="F72" s="100"/>
      <c r="G72" s="100"/>
      <c r="H72" s="100"/>
      <c r="I72" s="100"/>
      <c r="J72" s="100"/>
      <c r="K72" s="124"/>
      <c r="L72" s="100"/>
      <c r="M72" s="100"/>
      <c r="N72" s="124"/>
      <c r="O72" s="100"/>
      <c r="P72" s="100"/>
      <c r="Q72" s="124"/>
      <c r="R72" s="100"/>
      <c r="S72" s="100"/>
      <c r="T72" s="124"/>
      <c r="U72" s="100"/>
      <c r="V72" s="100"/>
      <c r="W72" s="100"/>
      <c r="X72" s="100"/>
    </row>
    <row r="73" spans="1:24" ht="15.75">
      <c r="A73" s="100" t="s">
        <v>239</v>
      </c>
      <c r="B73" s="71" t="s">
        <v>105</v>
      </c>
      <c r="C73" s="155">
        <f>IF(C71="yes",G74,H74)</f>
        <v>93</v>
      </c>
      <c r="D73" s="100" t="s">
        <v>38</v>
      </c>
      <c r="E73" s="139" t="s">
        <v>106</v>
      </c>
      <c r="F73" s="121"/>
      <c r="G73" s="143" t="s">
        <v>261</v>
      </c>
      <c r="H73" s="143" t="s">
        <v>262</v>
      </c>
      <c r="I73" s="100"/>
      <c r="J73" s="71"/>
      <c r="K73" s="155"/>
      <c r="L73" s="100"/>
      <c r="M73" s="71"/>
      <c r="N73" s="155"/>
      <c r="O73" s="100"/>
      <c r="P73" s="71"/>
      <c r="Q73" s="155"/>
      <c r="R73" s="100"/>
      <c r="S73" s="71"/>
      <c r="T73" s="155"/>
      <c r="U73" s="100"/>
      <c r="V73" s="100"/>
      <c r="W73" s="100"/>
      <c r="X73" s="100"/>
    </row>
    <row r="74" spans="1:24" ht="15.75">
      <c r="A74" s="100" t="s">
        <v>240</v>
      </c>
      <c r="B74" s="100" t="s">
        <v>107</v>
      </c>
      <c r="C74" s="116">
        <v>217</v>
      </c>
      <c r="D74" s="100"/>
      <c r="E74" s="72" t="s">
        <v>105</v>
      </c>
      <c r="F74" s="131"/>
      <c r="G74" s="156">
        <v>93</v>
      </c>
      <c r="H74" s="157">
        <v>97.5</v>
      </c>
      <c r="I74" s="100"/>
      <c r="J74" s="100"/>
      <c r="K74" s="116"/>
      <c r="L74" s="100"/>
      <c r="M74" s="100"/>
      <c r="N74" s="116"/>
      <c r="O74" s="100"/>
      <c r="P74" s="100"/>
      <c r="Q74" s="116"/>
      <c r="R74" s="100"/>
      <c r="S74" s="100"/>
      <c r="T74" s="116"/>
      <c r="U74" s="100"/>
      <c r="V74" s="100"/>
      <c r="W74" s="100"/>
      <c r="X74" s="100"/>
    </row>
    <row r="75" spans="1:24" ht="15.75">
      <c r="A75" s="100" t="s">
        <v>241</v>
      </c>
      <c r="B75" s="100" t="s">
        <v>109</v>
      </c>
      <c r="C75" s="116">
        <v>0</v>
      </c>
      <c r="D75" s="116" t="s">
        <v>38</v>
      </c>
      <c r="E75" s="100"/>
      <c r="F75" s="100"/>
      <c r="G75" s="100"/>
      <c r="H75" s="100"/>
      <c r="I75" s="100"/>
      <c r="J75" s="100"/>
      <c r="K75" s="116"/>
      <c r="L75" s="100"/>
      <c r="M75" s="100"/>
      <c r="N75" s="116"/>
      <c r="O75" s="100"/>
      <c r="P75" s="100"/>
      <c r="Q75" s="116"/>
      <c r="R75" s="100"/>
      <c r="S75" s="100"/>
      <c r="T75" s="116"/>
      <c r="U75" s="116"/>
      <c r="V75" s="100"/>
      <c r="W75" s="100"/>
      <c r="X75" s="100"/>
    </row>
    <row r="76" spans="1:24" ht="15.75">
      <c r="A76" s="100" t="s">
        <v>242</v>
      </c>
      <c r="B76" s="100" t="s">
        <v>108</v>
      </c>
      <c r="C76" s="108">
        <f>C73*C74+C75</f>
        <v>20181</v>
      </c>
      <c r="D76" s="111" t="s">
        <v>38</v>
      </c>
      <c r="E76" s="100"/>
      <c r="F76" s="100"/>
      <c r="G76" s="100"/>
      <c r="H76" s="100"/>
      <c r="I76" s="100"/>
      <c r="J76" s="100"/>
      <c r="K76" s="108"/>
      <c r="L76" s="100"/>
      <c r="M76" s="100"/>
      <c r="N76" s="108"/>
      <c r="O76" s="100"/>
      <c r="P76" s="100"/>
      <c r="Q76" s="108"/>
      <c r="R76" s="100"/>
      <c r="S76" s="100"/>
      <c r="T76" s="108"/>
      <c r="U76" s="111"/>
      <c r="V76" s="100"/>
      <c r="W76" s="100"/>
      <c r="X76" s="100"/>
    </row>
    <row r="77" spans="1:24">
      <c r="A77" s="100"/>
      <c r="B77" s="100"/>
      <c r="C77" s="108"/>
      <c r="D77" s="111"/>
      <c r="E77" s="100"/>
      <c r="F77" s="100"/>
      <c r="G77" s="100"/>
      <c r="H77" s="100"/>
      <c r="I77" s="100"/>
      <c r="J77" s="100"/>
      <c r="K77" s="108"/>
      <c r="L77" s="100"/>
      <c r="M77" s="100"/>
      <c r="N77" s="108"/>
      <c r="O77" s="100"/>
      <c r="P77" s="100"/>
      <c r="Q77" s="108"/>
      <c r="R77" s="100"/>
      <c r="S77" s="100"/>
      <c r="T77" s="108"/>
      <c r="U77" s="111"/>
      <c r="V77" s="100"/>
      <c r="W77" s="100"/>
      <c r="X77" s="100"/>
    </row>
    <row r="78" spans="1:24" ht="15.75">
      <c r="A78" s="100" t="s">
        <v>317</v>
      </c>
      <c r="B78" s="100" t="s">
        <v>110</v>
      </c>
      <c r="C78" s="108">
        <f>P90</f>
        <v>240924.18057713655</v>
      </c>
      <c r="D78" s="111" t="s">
        <v>38</v>
      </c>
      <c r="E78" s="109" t="s">
        <v>356</v>
      </c>
      <c r="F78" s="100"/>
      <c r="G78" s="100"/>
      <c r="H78" s="100"/>
      <c r="I78" s="100"/>
      <c r="J78" s="100" t="s">
        <v>110</v>
      </c>
      <c r="K78" s="108">
        <f>P94</f>
        <v>257088.15465541559</v>
      </c>
      <c r="L78" s="100"/>
      <c r="M78" s="100" t="s">
        <v>110</v>
      </c>
      <c r="N78" s="108">
        <f>P98</f>
        <v>258845.37583354252</v>
      </c>
      <c r="O78" s="100"/>
      <c r="P78" s="100" t="s">
        <v>110</v>
      </c>
      <c r="Q78" s="108">
        <f>P102</f>
        <v>259029.40028230438</v>
      </c>
      <c r="R78" s="100"/>
      <c r="S78" s="100" t="s">
        <v>110</v>
      </c>
      <c r="T78" s="108">
        <f>P106</f>
        <v>259048.59641620083</v>
      </c>
      <c r="U78" s="111" t="s">
        <v>38</v>
      </c>
      <c r="V78" s="109" t="s">
        <v>357</v>
      </c>
      <c r="W78" s="100"/>
      <c r="X78" s="100"/>
    </row>
    <row r="79" spans="1:24" ht="15.75">
      <c r="A79" s="100" t="s">
        <v>358</v>
      </c>
      <c r="B79" s="100" t="s">
        <v>110</v>
      </c>
      <c r="C79" s="108">
        <f>C76/(1-C64-C67)</f>
        <v>178831.59929379367</v>
      </c>
      <c r="D79" s="111" t="s">
        <v>38</v>
      </c>
      <c r="E79" s="100"/>
      <c r="F79" s="100"/>
      <c r="G79" s="100"/>
      <c r="H79" s="100"/>
      <c r="I79" s="100"/>
      <c r="J79" s="100" t="s">
        <v>110</v>
      </c>
      <c r="K79" s="108">
        <f>C76/(1-K64-K67)</f>
        <v>190932.79574108121</v>
      </c>
      <c r="L79" s="100"/>
      <c r="M79" s="100" t="s">
        <v>110</v>
      </c>
      <c r="N79" s="108">
        <f>C76/(1-N64-N67)</f>
        <v>192261.17283797657</v>
      </c>
      <c r="O79" s="100"/>
      <c r="P79" s="100" t="s">
        <v>110</v>
      </c>
      <c r="Q79" s="108">
        <f>C76/(1-Q64-Q67)</f>
        <v>192400.43863759682</v>
      </c>
      <c r="R79" s="100"/>
      <c r="S79" s="100" t="s">
        <v>110</v>
      </c>
      <c r="T79" s="108">
        <f>C76/(1-T64-T67)</f>
        <v>192414.96753100285</v>
      </c>
      <c r="U79" s="111" t="s">
        <v>38</v>
      </c>
      <c r="V79" s="100"/>
      <c r="W79" s="100"/>
      <c r="X79" s="100"/>
    </row>
    <row r="80" spans="1:24" ht="15.75">
      <c r="A80" s="100" t="s">
        <v>355</v>
      </c>
      <c r="B80" s="100" t="s">
        <v>110</v>
      </c>
      <c r="C80" s="108">
        <f>C76/(1-C64-C68)</f>
        <v>208687.9722048862</v>
      </c>
      <c r="D80" s="111" t="s">
        <v>38</v>
      </c>
      <c r="E80" s="100"/>
      <c r="F80" s="100"/>
      <c r="G80" s="100"/>
      <c r="H80" s="100"/>
      <c r="I80" s="100"/>
      <c r="J80" s="100" t="s">
        <v>110</v>
      </c>
      <c r="K80" s="108">
        <f>C76/(1-K64-K68)</f>
        <v>225355.4134614527</v>
      </c>
      <c r="L80" s="100"/>
      <c r="M80" s="100" t="s">
        <v>110</v>
      </c>
      <c r="N80" s="108">
        <f>C76/(1-N64-N68)</f>
        <v>227208.26826082257</v>
      </c>
      <c r="O80" s="100"/>
      <c r="P80" s="100" t="s">
        <v>110</v>
      </c>
      <c r="Q80" s="108">
        <f>C76/(1-Q64-Q68)</f>
        <v>227402.78937619663</v>
      </c>
      <c r="R80" s="100"/>
      <c r="S80" s="100" t="s">
        <v>110</v>
      </c>
      <c r="T80" s="108">
        <f>C76/(1-T64-T68)</f>
        <v>227423.08572712145</v>
      </c>
      <c r="U80" s="111" t="s">
        <v>38</v>
      </c>
      <c r="V80" s="100"/>
      <c r="W80" s="100"/>
      <c r="X80" s="100"/>
    </row>
    <row r="81" spans="1:24" ht="15.75">
      <c r="A81" s="100" t="s">
        <v>324</v>
      </c>
      <c r="B81" s="100" t="s">
        <v>110</v>
      </c>
      <c r="C81" s="108">
        <f>C78</f>
        <v>240924.18057713655</v>
      </c>
      <c r="D81" s="158" t="s">
        <v>38</v>
      </c>
      <c r="E81" s="109" t="s">
        <v>173</v>
      </c>
      <c r="F81" s="71"/>
      <c r="G81" s="100"/>
      <c r="H81" s="100"/>
      <c r="I81" s="100"/>
      <c r="J81" s="100" t="s">
        <v>110</v>
      </c>
      <c r="K81" s="108">
        <f>IF(C81=C78,K78,IF(C81=C79,K79,K80))</f>
        <v>257088.15465541559</v>
      </c>
      <c r="L81" s="100"/>
      <c r="M81" s="100" t="s">
        <v>110</v>
      </c>
      <c r="N81" s="108">
        <f>IF(C81=C78,N78,IF(C81=C79,N79,N80))</f>
        <v>258845.37583354252</v>
      </c>
      <c r="O81" s="100"/>
      <c r="P81" s="100" t="s">
        <v>110</v>
      </c>
      <c r="Q81" s="108">
        <f>IF(C81=C78,Q78,IF(C81=C79,Q79,Q80))</f>
        <v>259029.40028230438</v>
      </c>
      <c r="R81" s="100"/>
      <c r="S81" s="100" t="s">
        <v>110</v>
      </c>
      <c r="T81" s="108">
        <f>IF(C81=C78,T78,IF(C81=C79,T79,T80))</f>
        <v>259048.59641620083</v>
      </c>
      <c r="U81" s="158" t="s">
        <v>38</v>
      </c>
      <c r="V81" s="109" t="s">
        <v>348</v>
      </c>
      <c r="W81" s="100"/>
      <c r="X81" s="100"/>
    </row>
    <row r="82" spans="1:24">
      <c r="A82" s="100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</row>
    <row r="83" spans="1:24">
      <c r="A83" s="100"/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</row>
    <row r="84" spans="1:24" ht="15.75">
      <c r="A84" s="162" t="s">
        <v>332</v>
      </c>
      <c r="B84" s="163" t="s">
        <v>297</v>
      </c>
      <c r="C84" s="164">
        <f>('1.) Preliminary Sizing I'!C44^(3/2)*'1.) Preliminary Sizing I'!C35*'3.) Preliminary Sizing II'!C81^(1/2))^(2/3)</f>
        <v>0.23037774936652272</v>
      </c>
      <c r="D84" s="100"/>
      <c r="E84" s="100"/>
      <c r="F84" s="100"/>
      <c r="G84" s="100"/>
      <c r="H84" s="100"/>
      <c r="I84" s="100"/>
      <c r="J84" s="163" t="s">
        <v>297</v>
      </c>
      <c r="K84" s="164">
        <f>('1.) Preliminary Sizing I'!C44^(3/2)*'1.) Preliminary Sizing I'!C35*(K81)^(1/2))^(2/3)</f>
        <v>0.23541877200978525</v>
      </c>
      <c r="L84" s="100"/>
      <c r="M84" s="163" t="s">
        <v>297</v>
      </c>
      <c r="N84" s="164">
        <f>('1.) Preliminary Sizing I'!$C44^(3/2)*'1.) Preliminary Sizing I'!$C35*(N81)^(1/2))^(2/3)</f>
        <v>0.23595392423558553</v>
      </c>
      <c r="O84" s="100"/>
      <c r="P84" s="163" t="s">
        <v>297</v>
      </c>
      <c r="Q84" s="164">
        <f>('1.) Preliminary Sizing I'!$C44^(3/2)*'1.) Preliminary Sizing I'!$C35*(Q81)^(1/2))^(2/3)</f>
        <v>0.23600982762930642</v>
      </c>
      <c r="R84" s="100"/>
      <c r="S84" s="163" t="s">
        <v>297</v>
      </c>
      <c r="T84" s="164">
        <f>('1.) Preliminary Sizing I'!$C44^(3/2)*'1.) Preliminary Sizing I'!$C35*(T81)^(1/2))^(2/3)</f>
        <v>0.23601565755226361</v>
      </c>
      <c r="U84" s="100"/>
      <c r="V84" s="100"/>
      <c r="W84" s="100"/>
      <c r="X84" s="100"/>
    </row>
    <row r="85" spans="1:24">
      <c r="A85" s="162"/>
      <c r="B85" s="163"/>
      <c r="C85" s="164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</row>
    <row r="86" spans="1:24">
      <c r="A86" s="162"/>
      <c r="B86" s="163"/>
      <c r="C86" s="164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</row>
    <row r="87" spans="1:24" ht="14.25">
      <c r="A87" s="165" t="s">
        <v>349</v>
      </c>
      <c r="B87" s="100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</row>
    <row r="88" spans="1:24">
      <c r="A88" s="100"/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</row>
    <row r="89" spans="1:24">
      <c r="A89" s="100" t="s">
        <v>334</v>
      </c>
      <c r="B89" s="100" t="s">
        <v>315</v>
      </c>
      <c r="C89" s="100" t="s">
        <v>318</v>
      </c>
      <c r="D89" s="100" t="s">
        <v>319</v>
      </c>
      <c r="E89" s="100" t="s">
        <v>320</v>
      </c>
      <c r="F89" s="100" t="s">
        <v>321</v>
      </c>
      <c r="G89" s="100" t="s">
        <v>322</v>
      </c>
      <c r="H89" s="100" t="s">
        <v>323</v>
      </c>
      <c r="I89" s="100" t="s">
        <v>337</v>
      </c>
      <c r="J89" s="100" t="s">
        <v>338</v>
      </c>
      <c r="K89" s="100" t="s">
        <v>339</v>
      </c>
      <c r="L89" s="100" t="s">
        <v>340</v>
      </c>
      <c r="M89" s="100" t="s">
        <v>341</v>
      </c>
      <c r="N89" s="100" t="s">
        <v>342</v>
      </c>
      <c r="O89" s="100" t="s">
        <v>343</v>
      </c>
      <c r="P89" s="100" t="s">
        <v>344</v>
      </c>
      <c r="Q89" s="100"/>
      <c r="R89" s="100"/>
      <c r="S89" s="100"/>
      <c r="T89" s="100"/>
      <c r="U89" s="100"/>
      <c r="V89" s="100"/>
      <c r="W89" s="100"/>
      <c r="X89" s="100"/>
    </row>
    <row r="90" spans="1:24" ht="15.75">
      <c r="A90" s="100" t="s">
        <v>110</v>
      </c>
      <c r="B90" s="168">
        <v>150000</v>
      </c>
      <c r="C90" s="169">
        <f t="shared" ref="C90:P90" si="0">$C76/(1-$C64-B91)</f>
        <v>289209.61269917752</v>
      </c>
      <c r="D90" s="169">
        <f t="shared" si="0"/>
        <v>226623.1624942694</v>
      </c>
      <c r="E90" s="169">
        <f t="shared" si="0"/>
        <v>246166.39386221083</v>
      </c>
      <c r="F90" s="169">
        <f t="shared" si="0"/>
        <v>239137.36338318285</v>
      </c>
      <c r="G90" s="169">
        <f t="shared" si="0"/>
        <v>241548.97453285215</v>
      </c>
      <c r="H90" s="169">
        <f t="shared" si="0"/>
        <v>240707.7082036153</v>
      </c>
      <c r="I90" s="169">
        <f t="shared" si="0"/>
        <v>240999.49504586225</v>
      </c>
      <c r="J90" s="169">
        <f t="shared" si="0"/>
        <v>240898.08857824211</v>
      </c>
      <c r="K90" s="169">
        <f t="shared" si="0"/>
        <v>240933.30655142249</v>
      </c>
      <c r="L90" s="169">
        <f t="shared" si="0"/>
        <v>240921.07257263109</v>
      </c>
      <c r="M90" s="169">
        <f t="shared" si="0"/>
        <v>240925.32204232048</v>
      </c>
      <c r="N90" s="169">
        <f t="shared" si="0"/>
        <v>240923.84594709339</v>
      </c>
      <c r="O90" s="169">
        <f t="shared" si="0"/>
        <v>240924.3586781566</v>
      </c>
      <c r="P90" s="169">
        <f t="shared" si="0"/>
        <v>240924.18057713655</v>
      </c>
      <c r="Q90" s="111" t="s">
        <v>38</v>
      </c>
      <c r="R90" s="100"/>
      <c r="S90" s="100"/>
      <c r="T90" s="100"/>
      <c r="U90" s="100"/>
      <c r="V90" s="100"/>
      <c r="W90" s="100"/>
      <c r="X90" s="100"/>
    </row>
    <row r="91" spans="1:24" ht="15.75">
      <c r="A91" s="100" t="s">
        <v>104</v>
      </c>
      <c r="B91" s="170">
        <f t="shared" ref="B91:P91" si="1">1.02*B90^(-0.06)*1</f>
        <v>0.49892434543056902</v>
      </c>
      <c r="C91" s="170">
        <f t="shared" si="1"/>
        <v>0.47965326861271645</v>
      </c>
      <c r="D91" s="170">
        <f t="shared" si="1"/>
        <v>0.4867230501932362</v>
      </c>
      <c r="E91" s="170">
        <f t="shared" si="1"/>
        <v>0.48431335612465104</v>
      </c>
      <c r="F91" s="170">
        <f t="shared" si="1"/>
        <v>0.48515590932158836</v>
      </c>
      <c r="G91" s="170">
        <f t="shared" si="1"/>
        <v>0.48486391057080214</v>
      </c>
      <c r="H91" s="170">
        <f t="shared" si="1"/>
        <v>0.48496541903472951</v>
      </c>
      <c r="I91" s="170">
        <f t="shared" si="1"/>
        <v>0.4849301690567091</v>
      </c>
      <c r="J91" s="170">
        <f t="shared" si="1"/>
        <v>0.48494241456582171</v>
      </c>
      <c r="K91" s="170">
        <f t="shared" si="1"/>
        <v>0.48493816114084659</v>
      </c>
      <c r="L91" s="170">
        <f t="shared" si="1"/>
        <v>0.48493963861598638</v>
      </c>
      <c r="M91" s="170">
        <f t="shared" si="1"/>
        <v>0.48493912540632583</v>
      </c>
      <c r="N91" s="170">
        <f t="shared" si="1"/>
        <v>0.4849393036736776</v>
      </c>
      <c r="O91" s="170">
        <f t="shared" si="1"/>
        <v>0.48493924175124814</v>
      </c>
      <c r="P91" s="170">
        <f t="shared" si="1"/>
        <v>0.48493926326045739</v>
      </c>
      <c r="Q91" s="100"/>
      <c r="R91" s="100"/>
      <c r="S91" s="100"/>
      <c r="T91" s="100"/>
      <c r="U91" s="100"/>
      <c r="V91" s="100"/>
      <c r="W91" s="100"/>
      <c r="X91" s="100"/>
    </row>
    <row r="92" spans="1:24">
      <c r="A92" s="100"/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</row>
    <row r="93" spans="1:24">
      <c r="A93" s="100" t="s">
        <v>335</v>
      </c>
      <c r="B93" s="100" t="s">
        <v>315</v>
      </c>
      <c r="C93" s="100" t="s">
        <v>318</v>
      </c>
      <c r="D93" s="100" t="s">
        <v>319</v>
      </c>
      <c r="E93" s="100" t="s">
        <v>320</v>
      </c>
      <c r="F93" s="100" t="s">
        <v>321</v>
      </c>
      <c r="G93" s="100" t="s">
        <v>322</v>
      </c>
      <c r="H93" s="100" t="s">
        <v>323</v>
      </c>
      <c r="I93" s="100" t="s">
        <v>337</v>
      </c>
      <c r="J93" s="100" t="s">
        <v>338</v>
      </c>
      <c r="K93" s="100" t="s">
        <v>339</v>
      </c>
      <c r="L93" s="100" t="s">
        <v>340</v>
      </c>
      <c r="M93" s="100" t="s">
        <v>341</v>
      </c>
      <c r="N93" s="100" t="s">
        <v>342</v>
      </c>
      <c r="O93" s="100" t="s">
        <v>343</v>
      </c>
      <c r="P93" s="100" t="s">
        <v>344</v>
      </c>
      <c r="Q93" s="100"/>
      <c r="R93" s="100"/>
      <c r="S93" s="100"/>
      <c r="T93" s="100"/>
      <c r="U93" s="100"/>
      <c r="V93" s="100"/>
      <c r="W93" s="100"/>
      <c r="X93" s="100"/>
    </row>
    <row r="94" spans="1:24" ht="15.75">
      <c r="A94" s="100" t="s">
        <v>110</v>
      </c>
      <c r="B94" s="169">
        <f>C78</f>
        <v>240924.18057713655</v>
      </c>
      <c r="C94" s="169">
        <f>$C76/(1-$K64-B95)</f>
        <v>263416.15731040959</v>
      </c>
      <c r="D94" s="169">
        <f>$C76/(1-$K64-C95)</f>
        <v>254802.22826044014</v>
      </c>
      <c r="E94" s="169">
        <f>$C76/(1-$K64-D95)</f>
        <v>257938.99438135891</v>
      </c>
      <c r="F94" s="169">
        <f t="shared" ref="F94:P94" si="2">$C76/(1-$K64-E95)</f>
        <v>256774.9591327486</v>
      </c>
      <c r="G94" s="169">
        <f t="shared" si="2"/>
        <v>257203.93994035697</v>
      </c>
      <c r="H94" s="169">
        <f t="shared" si="2"/>
        <v>257045.44185347448</v>
      </c>
      <c r="I94" s="169">
        <f t="shared" si="2"/>
        <v>257103.94766688035</v>
      </c>
      <c r="J94" s="169">
        <f t="shared" si="2"/>
        <v>257082.34407963496</v>
      </c>
      <c r="K94" s="169">
        <f t="shared" si="2"/>
        <v>257090.32029109614</v>
      </c>
      <c r="L94" s="169">
        <f t="shared" si="2"/>
        <v>257087.37527178359</v>
      </c>
      <c r="M94" s="169">
        <f t="shared" si="2"/>
        <v>257088.46262837714</v>
      </c>
      <c r="N94" s="169">
        <f t="shared" si="2"/>
        <v>257088.06115323585</v>
      </c>
      <c r="O94" s="169">
        <f t="shared" si="2"/>
        <v>257088.20938602666</v>
      </c>
      <c r="P94" s="169">
        <f t="shared" si="2"/>
        <v>257088.15465541559</v>
      </c>
      <c r="Q94" s="111" t="s">
        <v>38</v>
      </c>
      <c r="R94" s="100"/>
      <c r="S94" s="100"/>
      <c r="T94" s="100"/>
      <c r="U94" s="100"/>
      <c r="V94" s="100"/>
      <c r="W94" s="100"/>
      <c r="X94" s="100"/>
    </row>
    <row r="95" spans="1:24" ht="15.75">
      <c r="A95" s="100" t="s">
        <v>104</v>
      </c>
      <c r="B95" s="170">
        <f t="shared" ref="B95:P95" si="3">1.02*B94^(-0.06)*1</f>
        <v>0.48493926326045739</v>
      </c>
      <c r="C95" s="170">
        <f t="shared" si="3"/>
        <v>0.48234927174679398</v>
      </c>
      <c r="D95" s="170">
        <f t="shared" si="3"/>
        <v>0.48331244540620155</v>
      </c>
      <c r="E95" s="170">
        <f t="shared" si="3"/>
        <v>0.48295776341099511</v>
      </c>
      <c r="F95" s="170">
        <f t="shared" si="3"/>
        <v>0.48308884758419685</v>
      </c>
      <c r="G95" s="170">
        <f t="shared" si="3"/>
        <v>0.48304046610045787</v>
      </c>
      <c r="H95" s="170">
        <f t="shared" si="3"/>
        <v>0.48305833192448949</v>
      </c>
      <c r="I95" s="170">
        <f t="shared" si="3"/>
        <v>0.48305173581953464</v>
      </c>
      <c r="J95" s="170">
        <f t="shared" si="3"/>
        <v>0.48305417128157618</v>
      </c>
      <c r="K95" s="170">
        <f t="shared" si="3"/>
        <v>0.48305327206489707</v>
      </c>
      <c r="L95" s="170">
        <f t="shared" si="3"/>
        <v>0.4830536040750289</v>
      </c>
      <c r="M95" s="170">
        <f t="shared" si="3"/>
        <v>0.48305348149016597</v>
      </c>
      <c r="N95" s="170">
        <f t="shared" si="3"/>
        <v>0.48305352675103613</v>
      </c>
      <c r="O95" s="170">
        <f t="shared" si="3"/>
        <v>0.48305351003979319</v>
      </c>
      <c r="P95" s="170">
        <f t="shared" si="3"/>
        <v>0.48305351620992848</v>
      </c>
      <c r="Q95" s="100"/>
      <c r="R95" s="100"/>
      <c r="S95" s="100"/>
      <c r="T95" s="100"/>
      <c r="U95" s="115"/>
      <c r="V95" s="100"/>
      <c r="W95" s="100"/>
      <c r="X95" s="100"/>
    </row>
    <row r="96" spans="1:24">
      <c r="A96" s="100"/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54"/>
      <c r="V96" s="100"/>
      <c r="W96" s="100"/>
      <c r="X96" s="100"/>
    </row>
    <row r="97" spans="1:24">
      <c r="A97" s="100" t="s">
        <v>336</v>
      </c>
      <c r="B97" s="100" t="s">
        <v>315</v>
      </c>
      <c r="C97" s="100" t="s">
        <v>318</v>
      </c>
      <c r="D97" s="100" t="s">
        <v>319</v>
      </c>
      <c r="E97" s="100" t="s">
        <v>320</v>
      </c>
      <c r="F97" s="100" t="s">
        <v>321</v>
      </c>
      <c r="G97" s="100" t="s">
        <v>322</v>
      </c>
      <c r="H97" s="100" t="s">
        <v>323</v>
      </c>
      <c r="I97" s="100" t="s">
        <v>337</v>
      </c>
      <c r="J97" s="100" t="s">
        <v>338</v>
      </c>
      <c r="K97" s="100" t="s">
        <v>339</v>
      </c>
      <c r="L97" s="100" t="s">
        <v>340</v>
      </c>
      <c r="M97" s="100" t="s">
        <v>341</v>
      </c>
      <c r="N97" s="100" t="s">
        <v>342</v>
      </c>
      <c r="O97" s="100" t="s">
        <v>343</v>
      </c>
      <c r="P97" s="100" t="s">
        <v>344</v>
      </c>
      <c r="Q97" s="100"/>
      <c r="R97" s="100"/>
      <c r="S97" s="100"/>
      <c r="T97" s="100"/>
      <c r="U97" s="144"/>
      <c r="V97" s="100"/>
      <c r="W97" s="100"/>
      <c r="X97" s="100"/>
    </row>
    <row r="98" spans="1:24" ht="15.75">
      <c r="A98" s="100" t="s">
        <v>110</v>
      </c>
      <c r="B98" s="169">
        <f>K78</f>
        <v>257088.15465541559</v>
      </c>
      <c r="C98" s="169">
        <f>$C76/(1-$N64-B99)</f>
        <v>259502.37178985288</v>
      </c>
      <c r="D98" s="169">
        <f t="shared" ref="D98:P98" si="4">$C76/(1-$N64-C99)</f>
        <v>258601.80076958754</v>
      </c>
      <c r="E98" s="169">
        <f t="shared" si="4"/>
        <v>258935.96563599582</v>
      </c>
      <c r="F98" s="169">
        <f t="shared" si="4"/>
        <v>258811.72629340849</v>
      </c>
      <c r="G98" s="169">
        <f t="shared" si="4"/>
        <v>258857.88352709374</v>
      </c>
      <c r="H98" s="169">
        <f t="shared" si="4"/>
        <v>258840.73059013035</v>
      </c>
      <c r="I98" s="169">
        <f t="shared" si="4"/>
        <v>258847.1043152886</v>
      </c>
      <c r="J98" s="169">
        <f t="shared" si="4"/>
        <v>258844.73586388456</v>
      </c>
      <c r="K98" s="169">
        <f t="shared" si="4"/>
        <v>258845.61595890825</v>
      </c>
      <c r="L98" s="169">
        <f t="shared" si="4"/>
        <v>258845.28892189768</v>
      </c>
      <c r="M98" s="169">
        <f t="shared" si="4"/>
        <v>258845.41044627578</v>
      </c>
      <c r="N98" s="169">
        <f t="shared" si="4"/>
        <v>258845.36528874145</v>
      </c>
      <c r="O98" s="169">
        <f t="shared" si="4"/>
        <v>258845.38206893337</v>
      </c>
      <c r="P98" s="169">
        <f t="shared" si="4"/>
        <v>258845.37583354252</v>
      </c>
      <c r="Q98" s="111" t="s">
        <v>38</v>
      </c>
      <c r="R98" s="100"/>
      <c r="S98" s="100"/>
      <c r="T98" s="100"/>
      <c r="U98" s="100"/>
      <c r="V98" s="100"/>
      <c r="W98" s="100"/>
      <c r="X98" s="100"/>
    </row>
    <row r="99" spans="1:24" ht="15.75">
      <c r="A99" s="100" t="s">
        <v>104</v>
      </c>
      <c r="B99" s="170">
        <f t="shared" ref="B99:P99" si="5">1.02*B98^(-0.06)*1</f>
        <v>0.48305351620992848</v>
      </c>
      <c r="C99" s="170">
        <f t="shared" si="5"/>
        <v>0.48278269181990613</v>
      </c>
      <c r="D99" s="170">
        <f t="shared" si="5"/>
        <v>0.48288340343190078</v>
      </c>
      <c r="E99" s="170">
        <f t="shared" si="5"/>
        <v>0.48284599017635482</v>
      </c>
      <c r="F99" s="170">
        <f t="shared" si="5"/>
        <v>0.48285989409152735</v>
      </c>
      <c r="G99" s="170">
        <f t="shared" si="5"/>
        <v>0.48285472770183668</v>
      </c>
      <c r="H99" s="170">
        <f t="shared" si="5"/>
        <v>0.48285664751995838</v>
      </c>
      <c r="I99" s="170">
        <f t="shared" si="5"/>
        <v>0.48285593413407268</v>
      </c>
      <c r="J99" s="170">
        <f t="shared" si="5"/>
        <v>0.48285619922331074</v>
      </c>
      <c r="K99" s="170">
        <f t="shared" si="5"/>
        <v>0.48285610071825802</v>
      </c>
      <c r="L99" s="170">
        <f t="shared" si="5"/>
        <v>0.48285613732198907</v>
      </c>
      <c r="M99" s="170">
        <f t="shared" si="5"/>
        <v>0.4828561237203251</v>
      </c>
      <c r="N99" s="170">
        <f t="shared" si="5"/>
        <v>0.48285612877459921</v>
      </c>
      <c r="O99" s="170">
        <f t="shared" si="5"/>
        <v>0.48285612689646973</v>
      </c>
      <c r="P99" s="170">
        <f t="shared" si="5"/>
        <v>0.48285612759436825</v>
      </c>
      <c r="Q99" s="100"/>
      <c r="R99" s="100"/>
      <c r="S99" s="100"/>
      <c r="T99" s="100"/>
      <c r="U99" s="100"/>
      <c r="V99" s="100"/>
      <c r="W99" s="100"/>
      <c r="X99" s="100"/>
    </row>
    <row r="100" spans="1:24">
      <c r="A100" s="100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</row>
    <row r="101" spans="1:24">
      <c r="A101" s="100" t="s">
        <v>345</v>
      </c>
      <c r="B101" s="100" t="s">
        <v>315</v>
      </c>
      <c r="C101" s="100" t="s">
        <v>318</v>
      </c>
      <c r="D101" s="100" t="s">
        <v>319</v>
      </c>
      <c r="E101" s="100" t="s">
        <v>320</v>
      </c>
      <c r="F101" s="100" t="s">
        <v>321</v>
      </c>
      <c r="G101" s="100" t="s">
        <v>322</v>
      </c>
      <c r="H101" s="100" t="s">
        <v>323</v>
      </c>
      <c r="I101" s="100" t="s">
        <v>337</v>
      </c>
      <c r="J101" s="100" t="s">
        <v>338</v>
      </c>
      <c r="K101" s="100" t="s">
        <v>339</v>
      </c>
      <c r="L101" s="100" t="s">
        <v>340</v>
      </c>
      <c r="M101" s="100" t="s">
        <v>341</v>
      </c>
      <c r="N101" s="100" t="s">
        <v>342</v>
      </c>
      <c r="O101" s="100" t="s">
        <v>343</v>
      </c>
      <c r="P101" s="100" t="s">
        <v>344</v>
      </c>
      <c r="Q101" s="100"/>
      <c r="R101" s="100"/>
      <c r="S101" s="100"/>
      <c r="T101" s="100"/>
      <c r="U101" s="100"/>
      <c r="V101" s="100"/>
      <c r="W101" s="100"/>
      <c r="X101" s="100"/>
    </row>
    <row r="102" spans="1:24" ht="15.75">
      <c r="A102" s="100" t="s">
        <v>110</v>
      </c>
      <c r="B102" s="169">
        <f>N78</f>
        <v>258845.37583354252</v>
      </c>
      <c r="C102" s="169">
        <f>$C76/(1-$Q64-B103)</f>
        <v>259097.87216840379</v>
      </c>
      <c r="D102" s="169">
        <f t="shared" ref="D102:P102" si="6">$C76/(1-$Q64-C103)</f>
        <v>259003.94596420028</v>
      </c>
      <c r="E102" s="169">
        <f t="shared" si="6"/>
        <v>259038.86631518733</v>
      </c>
      <c r="F102" s="169">
        <f t="shared" si="6"/>
        <v>259025.88078654755</v>
      </c>
      <c r="G102" s="169">
        <f t="shared" si="6"/>
        <v>259030.70923389838</v>
      </c>
      <c r="H102" s="169">
        <f t="shared" si="6"/>
        <v>259028.91380711438</v>
      </c>
      <c r="I102" s="169">
        <f t="shared" si="6"/>
        <v>259029.58141785202</v>
      </c>
      <c r="J102" s="169">
        <f t="shared" si="6"/>
        <v>259029.33317278212</v>
      </c>
      <c r="K102" s="169">
        <f t="shared" si="6"/>
        <v>259029.42548035184</v>
      </c>
      <c r="L102" s="169">
        <f t="shared" si="6"/>
        <v>259029.39115664107</v>
      </c>
      <c r="M102" s="169">
        <f t="shared" si="6"/>
        <v>259029.40391959081</v>
      </c>
      <c r="N102" s="169">
        <f t="shared" si="6"/>
        <v>259029.399173807</v>
      </c>
      <c r="O102" s="169">
        <f t="shared" si="6"/>
        <v>259029.40093848261</v>
      </c>
      <c r="P102" s="169">
        <f t="shared" si="6"/>
        <v>259029.40028230438</v>
      </c>
      <c r="Q102" s="111" t="s">
        <v>38</v>
      </c>
      <c r="R102" s="100"/>
      <c r="S102" s="100"/>
      <c r="T102" s="100"/>
      <c r="U102" s="100"/>
      <c r="V102" s="100"/>
      <c r="W102" s="100"/>
      <c r="X102" s="100"/>
    </row>
    <row r="103" spans="1:24" ht="15.75">
      <c r="A103" s="100" t="s">
        <v>104</v>
      </c>
      <c r="B103" s="170">
        <f t="shared" ref="B103:P103" si="7">1.02*B102^(-0.06)*1</f>
        <v>0.48285612759436825</v>
      </c>
      <c r="C103" s="170">
        <f t="shared" si="7"/>
        <v>0.48282788144657846</v>
      </c>
      <c r="D103" s="170">
        <f t="shared" si="7"/>
        <v>0.48283838533189</v>
      </c>
      <c r="E103" s="170">
        <f t="shared" si="7"/>
        <v>0.48283447967375104</v>
      </c>
      <c r="F103" s="170">
        <f t="shared" si="7"/>
        <v>0.48283593197184987</v>
      </c>
      <c r="G103" s="170">
        <f t="shared" si="7"/>
        <v>0.48283539195055858</v>
      </c>
      <c r="H103" s="170">
        <f t="shared" si="7"/>
        <v>0.48283559275272192</v>
      </c>
      <c r="I103" s="170">
        <f t="shared" si="7"/>
        <v>0.48283551808635788</v>
      </c>
      <c r="J103" s="170">
        <f t="shared" si="7"/>
        <v>0.48283554585035238</v>
      </c>
      <c r="K103" s="170">
        <f t="shared" si="7"/>
        <v>0.48283553552657171</v>
      </c>
      <c r="L103" s="170">
        <f t="shared" si="7"/>
        <v>0.48283553936537299</v>
      </c>
      <c r="M103" s="170">
        <f t="shared" si="7"/>
        <v>0.48283553793795059</v>
      </c>
      <c r="N103" s="170">
        <f t="shared" si="7"/>
        <v>0.48283553846872435</v>
      </c>
      <c r="O103" s="170">
        <f t="shared" si="7"/>
        <v>0.48283553827136105</v>
      </c>
      <c r="P103" s="170">
        <f t="shared" si="7"/>
        <v>0.48283553834474879</v>
      </c>
      <c r="Q103" s="100"/>
      <c r="R103" s="100"/>
      <c r="S103" s="100"/>
      <c r="T103" s="100"/>
      <c r="U103" s="100"/>
      <c r="V103" s="100"/>
      <c r="W103" s="100"/>
      <c r="X103" s="100"/>
    </row>
    <row r="104" spans="1:24">
      <c r="A104" s="100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</row>
    <row r="105" spans="1:24">
      <c r="A105" s="100" t="s">
        <v>346</v>
      </c>
      <c r="B105" s="100" t="s">
        <v>315</v>
      </c>
      <c r="C105" s="100" t="s">
        <v>318</v>
      </c>
      <c r="D105" s="100" t="s">
        <v>319</v>
      </c>
      <c r="E105" s="100" t="s">
        <v>320</v>
      </c>
      <c r="F105" s="100" t="s">
        <v>321</v>
      </c>
      <c r="G105" s="100" t="s">
        <v>322</v>
      </c>
      <c r="H105" s="100" t="s">
        <v>323</v>
      </c>
      <c r="I105" s="100" t="s">
        <v>337</v>
      </c>
      <c r="J105" s="100" t="s">
        <v>338</v>
      </c>
      <c r="K105" s="100" t="s">
        <v>339</v>
      </c>
      <c r="L105" s="100" t="s">
        <v>340</v>
      </c>
      <c r="M105" s="100" t="s">
        <v>341</v>
      </c>
      <c r="N105" s="100" t="s">
        <v>342</v>
      </c>
      <c r="O105" s="100" t="s">
        <v>343</v>
      </c>
      <c r="P105" s="100" t="s">
        <v>344</v>
      </c>
      <c r="Q105" s="100"/>
      <c r="R105" s="100"/>
      <c r="S105" s="100"/>
      <c r="T105" s="100"/>
      <c r="U105" s="100"/>
      <c r="V105" s="100"/>
      <c r="W105" s="100"/>
      <c r="X105" s="100"/>
    </row>
    <row r="106" spans="1:24" ht="15.75">
      <c r="A106" s="100" t="s">
        <v>110</v>
      </c>
      <c r="B106" s="169">
        <f>Q78</f>
        <v>259029.40028230438</v>
      </c>
      <c r="C106" s="169">
        <f>$C76/(1-$T64-B107)</f>
        <v>259055.73531875422</v>
      </c>
      <c r="D106" s="169">
        <f t="shared" ref="D106:P106" si="8">$C76/(1-$T64-C107)</f>
        <v>259045.94178861793</v>
      </c>
      <c r="E106" s="169">
        <f t="shared" si="8"/>
        <v>259049.58361797821</v>
      </c>
      <c r="F106" s="169">
        <f t="shared" si="8"/>
        <v>259048.22933561492</v>
      </c>
      <c r="G106" s="169">
        <f t="shared" si="8"/>
        <v>259048.73294683112</v>
      </c>
      <c r="H106" s="169">
        <f t="shared" si="8"/>
        <v>259048.54567051757</v>
      </c>
      <c r="I106" s="169">
        <f t="shared" si="8"/>
        <v>259048.61531229259</v>
      </c>
      <c r="J106" s="169">
        <f t="shared" si="8"/>
        <v>259048.58941484339</v>
      </c>
      <c r="K106" s="169">
        <f t="shared" si="8"/>
        <v>259048.59904523802</v>
      </c>
      <c r="L106" s="169">
        <f t="shared" si="8"/>
        <v>259048.59546401651</v>
      </c>
      <c r="M106" s="169">
        <f t="shared" si="8"/>
        <v>259048.59679575267</v>
      </c>
      <c r="N106" s="169">
        <f t="shared" si="8"/>
        <v>259048.59630052469</v>
      </c>
      <c r="O106" s="169">
        <f t="shared" si="8"/>
        <v>259048.59648468337</v>
      </c>
      <c r="P106" s="169">
        <f t="shared" si="8"/>
        <v>259048.59641620083</v>
      </c>
      <c r="Q106" s="111" t="s">
        <v>38</v>
      </c>
      <c r="R106" s="100"/>
      <c r="S106" s="100"/>
      <c r="T106" s="100"/>
      <c r="U106" s="100"/>
      <c r="V106" s="100"/>
      <c r="W106" s="100"/>
      <c r="X106" s="100"/>
    </row>
    <row r="107" spans="1:24" ht="15.75">
      <c r="A107" s="100" t="s">
        <v>104</v>
      </c>
      <c r="B107" s="170">
        <f t="shared" ref="B107:P107" si="9">1.02*B106^(-0.06)*1</f>
        <v>0.48283553834474879</v>
      </c>
      <c r="C107" s="170">
        <f t="shared" si="9"/>
        <v>0.48283259316407678</v>
      </c>
      <c r="D107" s="170">
        <f t="shared" si="9"/>
        <v>0.48283368838714774</v>
      </c>
      <c r="E107" s="170">
        <f t="shared" si="9"/>
        <v>0.4828332811115606</v>
      </c>
      <c r="F107" s="170">
        <f t="shared" si="9"/>
        <v>0.48283343256389644</v>
      </c>
      <c r="G107" s="170">
        <f t="shared" si="9"/>
        <v>0.48283337624386308</v>
      </c>
      <c r="H107" s="170">
        <f t="shared" si="9"/>
        <v>0.48283339718740259</v>
      </c>
      <c r="I107" s="170">
        <f t="shared" si="9"/>
        <v>0.48283338939920134</v>
      </c>
      <c r="J107" s="170">
        <f t="shared" si="9"/>
        <v>0.48283339229537292</v>
      </c>
      <c r="K107" s="170">
        <f t="shared" si="9"/>
        <v>0.48283339121838365</v>
      </c>
      <c r="L107" s="170">
        <f t="shared" si="9"/>
        <v>0.48283339161887984</v>
      </c>
      <c r="M107" s="170">
        <f t="shared" si="9"/>
        <v>0.48283339146994875</v>
      </c>
      <c r="N107" s="170">
        <f t="shared" si="9"/>
        <v>0.48283339152533122</v>
      </c>
      <c r="O107" s="170">
        <f t="shared" si="9"/>
        <v>0.48283339150473631</v>
      </c>
      <c r="P107" s="170">
        <f t="shared" si="9"/>
        <v>0.4828333915123949</v>
      </c>
      <c r="Q107" s="100"/>
      <c r="R107" s="100"/>
      <c r="S107" s="100"/>
      <c r="T107" s="100"/>
      <c r="U107" s="100"/>
      <c r="V107" s="100"/>
      <c r="W107" s="100"/>
      <c r="X107" s="100"/>
    </row>
    <row r="108" spans="1:24">
      <c r="A108" s="100"/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100"/>
      <c r="X108" s="100"/>
    </row>
    <row r="109" spans="1:24">
      <c r="A109" s="100"/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</row>
    <row r="111" spans="1:24">
      <c r="A111" s="165" t="s">
        <v>354</v>
      </c>
    </row>
    <row r="112" spans="1:24">
      <c r="A112" s="100"/>
    </row>
    <row r="113" spans="1:20">
      <c r="A113" s="100"/>
    </row>
    <row r="115" spans="1:20">
      <c r="A115" s="71"/>
      <c r="B115" s="71"/>
      <c r="C115" s="160"/>
      <c r="D115" s="71"/>
      <c r="E115" s="71"/>
      <c r="F115" s="159"/>
      <c r="G115" s="71"/>
      <c r="H115" s="71"/>
      <c r="I115" s="71"/>
      <c r="J115" s="71"/>
      <c r="K115" s="71"/>
      <c r="L115" s="160"/>
      <c r="M115" s="71"/>
      <c r="N115" s="71"/>
      <c r="O115" s="160"/>
      <c r="P115" s="71"/>
      <c r="Q115" s="71"/>
      <c r="R115" s="160"/>
      <c r="S115" s="71"/>
      <c r="T115" s="71"/>
    </row>
    <row r="116" spans="1:20">
      <c r="A116" s="71"/>
      <c r="B116" s="71"/>
      <c r="C116" s="161"/>
      <c r="D116" s="71"/>
      <c r="E116" s="71"/>
      <c r="F116" s="71"/>
      <c r="G116" s="71"/>
      <c r="H116" s="71"/>
      <c r="I116" s="71"/>
      <c r="J116" s="71"/>
      <c r="K116" s="71"/>
      <c r="L116" s="161"/>
      <c r="M116" s="71"/>
      <c r="N116" s="71"/>
      <c r="O116" s="161"/>
      <c r="P116" s="71"/>
      <c r="Q116" s="71"/>
      <c r="R116" s="161"/>
      <c r="S116" s="71"/>
      <c r="T116" s="71"/>
    </row>
    <row r="117" spans="1:20">
      <c r="A117" s="58" t="s">
        <v>200</v>
      </c>
      <c r="B117" s="33"/>
      <c r="C117" s="32" t="s">
        <v>201</v>
      </c>
      <c r="D117" s="32"/>
      <c r="E117" s="32"/>
      <c r="F117" s="33"/>
      <c r="G117" s="34" t="s">
        <v>157</v>
      </c>
      <c r="H117" s="34" t="s">
        <v>202</v>
      </c>
      <c r="I117" s="34" t="s">
        <v>152</v>
      </c>
      <c r="J117" s="34" t="s">
        <v>201</v>
      </c>
      <c r="K117" s="34" t="s">
        <v>148</v>
      </c>
    </row>
    <row r="118" spans="1:20" ht="15.75">
      <c r="A118" s="36" t="s">
        <v>16</v>
      </c>
      <c r="B118" s="23" t="s">
        <v>17</v>
      </c>
      <c r="C118" s="3" t="s">
        <v>0</v>
      </c>
      <c r="D118" s="3" t="s">
        <v>18</v>
      </c>
      <c r="E118" s="3" t="s">
        <v>19</v>
      </c>
      <c r="F118" s="25" t="s">
        <v>331</v>
      </c>
      <c r="G118" s="27" t="s">
        <v>18</v>
      </c>
      <c r="H118" s="27" t="s">
        <v>18</v>
      </c>
      <c r="I118" s="27" t="s">
        <v>18</v>
      </c>
      <c r="J118" s="27" t="s">
        <v>18</v>
      </c>
      <c r="K118" s="27" t="s">
        <v>18</v>
      </c>
    </row>
    <row r="119" spans="1:20">
      <c r="A119" s="37">
        <v>0</v>
      </c>
      <c r="B119" s="24">
        <f>A119*1000*3.281</f>
        <v>0</v>
      </c>
      <c r="C119" s="14">
        <f>(0.0013*BPR-0.0397)*A119-0.0248*BPR+0.7125</f>
        <v>0.47689999999999999</v>
      </c>
      <c r="D119" s="14">
        <f>1/(C119*L_D)</f>
        <v>0.11902028365237356</v>
      </c>
      <c r="E119" s="6">
        <f>p0*POWER(1-0.02256*A119,5.256)</f>
        <v>101325</v>
      </c>
      <c r="F119" s="26">
        <f t="shared" ref="F119:F134" si="10">(CL*M*M/g*gamma/2*E119)^(3/2)/T$81^(1/2)</f>
        <v>177.19092571695771</v>
      </c>
      <c r="G119" s="28">
        <f>'1.) Preliminary Sizing I'!$C$62</f>
        <v>0.23064223875828477</v>
      </c>
      <c r="H119" s="28">
        <f>'1.) Preliminary Sizing I'!$C$79</f>
        <v>0.19172786937678182</v>
      </c>
      <c r="I119" s="31">
        <f>('1.) Preliminary Sizing I'!C$44^(3/2)*'3.) Preliminary Sizing II'!F119*'3.) Preliminary Sizing II'!$T$81^(1/2))^(2/3)</f>
        <v>0.74226495940061177</v>
      </c>
      <c r="J119" s="31">
        <f>D119</f>
        <v>0.11902028365237356</v>
      </c>
      <c r="K119" s="29"/>
    </row>
    <row r="120" spans="1:20">
      <c r="A120" s="37">
        <v>1</v>
      </c>
      <c r="B120" s="24">
        <f t="shared" ref="B120:B134" si="11">A120*1000*3.281</f>
        <v>3281</v>
      </c>
      <c r="C120" s="14">
        <f t="shared" ref="C120:C132" si="12">(0.0013*BPR-0.0397)*A120-0.0248*BPR+0.7125</f>
        <v>0.44955000000000001</v>
      </c>
      <c r="D120" s="14">
        <f>1/(C120*L_D)</f>
        <v>0.12626131303262586</v>
      </c>
      <c r="E120" s="6">
        <f t="shared" ref="E120:E130" si="13">p0*POWER(1-0.02256*A120,5.256)</f>
        <v>89873.202817172307</v>
      </c>
      <c r="F120" s="26">
        <f t="shared" si="10"/>
        <v>148.01709855550826</v>
      </c>
      <c r="G120" s="28">
        <f>'1.) Preliminary Sizing I'!$C$62</f>
        <v>0.23064223875828477</v>
      </c>
      <c r="H120" s="28">
        <f>'1.) Preliminary Sizing I'!$C$79</f>
        <v>0.19172786937678182</v>
      </c>
      <c r="I120" s="31">
        <f>('1.) Preliminary Sizing I'!C$44^(3/2)*'3.) Preliminary Sizing II'!F120*'3.) Preliminary Sizing II'!$T$81^(1/2))^(2/3)</f>
        <v>0.65837383903569036</v>
      </c>
      <c r="J120" s="31">
        <f t="shared" ref="J120:J132" si="14">D120</f>
        <v>0.12626131303262586</v>
      </c>
      <c r="K120" s="29"/>
    </row>
    <row r="121" spans="1:20">
      <c r="A121" s="37">
        <v>2</v>
      </c>
      <c r="B121" s="24">
        <f t="shared" si="11"/>
        <v>6562</v>
      </c>
      <c r="C121" s="14">
        <f t="shared" si="12"/>
        <v>0.42220000000000002</v>
      </c>
      <c r="D121" s="14">
        <f t="shared" ref="D121:D134" si="15">1/(C121*L_D)</f>
        <v>0.13444048620041912</v>
      </c>
      <c r="E121" s="6">
        <f t="shared" si="13"/>
        <v>79492.744270966257</v>
      </c>
      <c r="F121" s="26">
        <f t="shared" si="10"/>
        <v>123.12827455521699</v>
      </c>
      <c r="G121" s="28">
        <f>'1.) Preliminary Sizing I'!$C$62</f>
        <v>0.23064223875828477</v>
      </c>
      <c r="H121" s="28">
        <f>'1.) Preliminary Sizing I'!$C$79</f>
        <v>0.19172786937678182</v>
      </c>
      <c r="I121" s="31">
        <f>('1.) Preliminary Sizing I'!C$44^(3/2)*'3.) Preliminary Sizing II'!F121*'3.) Preliminary Sizing II'!$T$81^(1/2))^(2/3)</f>
        <v>0.58233090154386313</v>
      </c>
      <c r="J121" s="31">
        <f t="shared" si="14"/>
        <v>0.13444048620041912</v>
      </c>
      <c r="K121" s="29"/>
    </row>
    <row r="122" spans="1:20">
      <c r="A122" s="37">
        <v>3</v>
      </c>
      <c r="B122" s="24">
        <f t="shared" si="11"/>
        <v>9843</v>
      </c>
      <c r="C122" s="14">
        <f t="shared" si="12"/>
        <v>0.39485000000000003</v>
      </c>
      <c r="D122" s="14">
        <f t="shared" si="15"/>
        <v>0.14375274983871583</v>
      </c>
      <c r="E122" s="6">
        <f t="shared" si="13"/>
        <v>70105.203827362144</v>
      </c>
      <c r="F122" s="26">
        <f t="shared" si="10"/>
        <v>101.97458415220478</v>
      </c>
      <c r="G122" s="28">
        <f>'1.) Preliminary Sizing I'!$C$62</f>
        <v>0.23064223875828477</v>
      </c>
      <c r="H122" s="28">
        <f>'1.) Preliminary Sizing I'!$C$79</f>
        <v>0.19172786937678182</v>
      </c>
      <c r="I122" s="31">
        <f>('1.) Preliminary Sizing I'!C$44^(3/2)*'3.) Preliminary Sizing II'!F122*'3.) Preliminary Sizing II'!$T$81^(1/2))^(2/3)</f>
        <v>0.51356167059154723</v>
      </c>
      <c r="J122" s="31">
        <f t="shared" si="14"/>
        <v>0.14375274983871583</v>
      </c>
      <c r="K122" s="29"/>
    </row>
    <row r="123" spans="1:20">
      <c r="A123" s="37">
        <v>4</v>
      </c>
      <c r="B123" s="24">
        <f t="shared" si="11"/>
        <v>13124</v>
      </c>
      <c r="C123" s="14">
        <f t="shared" si="12"/>
        <v>0.36750000000000005</v>
      </c>
      <c r="D123" s="14">
        <f t="shared" si="15"/>
        <v>0.1544510837382774</v>
      </c>
      <c r="E123" s="6">
        <f t="shared" si="13"/>
        <v>61636.230837376737</v>
      </c>
      <c r="F123" s="26">
        <f t="shared" si="10"/>
        <v>84.066055069518356</v>
      </c>
      <c r="G123" s="28">
        <f>'1.) Preliminary Sizing I'!$C$62</f>
        <v>0.23064223875828477</v>
      </c>
      <c r="H123" s="28">
        <f>'1.) Preliminary Sizing I'!$C$79</f>
        <v>0.19172786937678182</v>
      </c>
      <c r="I123" s="31">
        <f>('1.) Preliminary Sizing I'!C$44^(3/2)*'3.) Preliminary Sizing II'!F123*'3.) Preliminary Sizing II'!$T$81^(1/2))^(2/3)</f>
        <v>0.4515214841363151</v>
      </c>
      <c r="J123" s="31">
        <f t="shared" si="14"/>
        <v>0.1544510837382774</v>
      </c>
      <c r="K123" s="29"/>
    </row>
    <row r="124" spans="1:20">
      <c r="A124" s="37">
        <v>5</v>
      </c>
      <c r="B124" s="24">
        <f t="shared" si="11"/>
        <v>16405</v>
      </c>
      <c r="C124" s="14">
        <f t="shared" si="12"/>
        <v>0.34015000000000006</v>
      </c>
      <c r="D124" s="14">
        <f t="shared" si="15"/>
        <v>0.16686983176191958</v>
      </c>
      <c r="E124" s="6">
        <f t="shared" si="13"/>
        <v>54015.424139401664</v>
      </c>
      <c r="F124" s="26">
        <f t="shared" si="10"/>
        <v>68.967303212488957</v>
      </c>
      <c r="G124" s="28">
        <f>'1.) Preliminary Sizing I'!$C$62</f>
        <v>0.23064223875828477</v>
      </c>
      <c r="H124" s="28">
        <f>'1.) Preliminary Sizing I'!$C$79</f>
        <v>0.19172786937678182</v>
      </c>
      <c r="I124" s="31">
        <f>('1.) Preliminary Sizing I'!C$44^(3/2)*'3.) Preliminary Sizing II'!F124*'3.) Preliminary Sizing II'!$T$81^(1/2))^(2/3)</f>
        <v>0.395694612443521</v>
      </c>
      <c r="J124" s="31">
        <f t="shared" si="14"/>
        <v>0.16686983176191958</v>
      </c>
      <c r="K124" s="29"/>
    </row>
    <row r="125" spans="1:20">
      <c r="A125" s="37">
        <v>6</v>
      </c>
      <c r="B125" s="24">
        <f t="shared" si="11"/>
        <v>19686</v>
      </c>
      <c r="C125" s="14">
        <f t="shared" si="12"/>
        <v>0.31280000000000002</v>
      </c>
      <c r="D125" s="14">
        <f t="shared" si="15"/>
        <v>0.18146027261450431</v>
      </c>
      <c r="E125" s="6">
        <f t="shared" si="13"/>
        <v>47176.212405223559</v>
      </c>
      <c r="F125" s="26">
        <f t="shared" si="10"/>
        <v>56.292581291854908</v>
      </c>
      <c r="G125" s="28">
        <f>'1.) Preliminary Sizing I'!$C$62</f>
        <v>0.23064223875828477</v>
      </c>
      <c r="H125" s="28">
        <f>'1.) Preliminary Sizing I'!$C$79</f>
        <v>0.19172786937678182</v>
      </c>
      <c r="I125" s="31">
        <f>('1.) Preliminary Sizing I'!C$44^(3/2)*'3.) Preliminary Sizing II'!F125*'3.) Preliminary Sizing II'!$T$81^(1/2))^(2/3)</f>
        <v>0.34559338155083014</v>
      </c>
      <c r="J125" s="31">
        <f t="shared" si="14"/>
        <v>0.18146027261450431</v>
      </c>
      <c r="K125" s="29"/>
    </row>
    <row r="126" spans="1:20">
      <c r="A126" s="37">
        <v>7</v>
      </c>
      <c r="B126" s="24">
        <f t="shared" si="11"/>
        <v>22967</v>
      </c>
      <c r="C126" s="14">
        <f t="shared" si="12"/>
        <v>0.28544999999999998</v>
      </c>
      <c r="D126" s="14">
        <f t="shared" si="15"/>
        <v>0.19884663959998933</v>
      </c>
      <c r="E126" s="6">
        <f t="shared" si="13"/>
        <v>41055.73524341148</v>
      </c>
      <c r="F126" s="26">
        <f t="shared" si="10"/>
        <v>45.701169045158743</v>
      </c>
      <c r="G126" s="28">
        <f>'1.) Preliminary Sizing I'!$C$62</f>
        <v>0.23064223875828477</v>
      </c>
      <c r="H126" s="28">
        <f>'1.) Preliminary Sizing I'!$C$79</f>
        <v>0.19172786937678182</v>
      </c>
      <c r="I126" s="31">
        <f>('1.) Preliminary Sizing I'!C$44^(3/2)*'3.) Preliminary Sizing II'!F126*'3.) Preliminary Sizing II'!$T$81^(1/2))^(2/3)</f>
        <v>0.30075730228090869</v>
      </c>
      <c r="J126" s="31">
        <f t="shared" si="14"/>
        <v>0.19884663959998933</v>
      </c>
      <c r="K126" s="29"/>
    </row>
    <row r="127" spans="1:20">
      <c r="A127" s="37">
        <v>8</v>
      </c>
      <c r="B127" s="24">
        <f t="shared" si="11"/>
        <v>26248</v>
      </c>
      <c r="C127" s="14">
        <f t="shared" si="12"/>
        <v>0.2581</v>
      </c>
      <c r="D127" s="14">
        <f t="shared" si="15"/>
        <v>0.21991775774435085</v>
      </c>
      <c r="E127" s="6">
        <f t="shared" si="13"/>
        <v>35594.725074361399</v>
      </c>
      <c r="F127" s="26">
        <f t="shared" si="10"/>
        <v>36.893089276686666</v>
      </c>
      <c r="G127" s="28">
        <f>'1.) Preliminary Sizing I'!$C$62</f>
        <v>0.23064223875828477</v>
      </c>
      <c r="H127" s="28">
        <f>'1.) Preliminary Sizing I'!$C$79</f>
        <v>0.19172786937678182</v>
      </c>
      <c r="I127" s="31">
        <f>('1.) Preliminary Sizing I'!C$44^(3/2)*'3.) Preliminary Sizing II'!F127*'3.) Preliminary Sizing II'!$T$81^(1/2))^(2/3)</f>
        <v>0.26075220490695072</v>
      </c>
      <c r="J127" s="31">
        <f t="shared" si="14"/>
        <v>0.21991775774435085</v>
      </c>
      <c r="K127" s="29"/>
    </row>
    <row r="128" spans="1:20">
      <c r="A128" s="37">
        <v>9</v>
      </c>
      <c r="B128" s="24">
        <f t="shared" si="11"/>
        <v>29529</v>
      </c>
      <c r="C128" s="14">
        <f t="shared" si="12"/>
        <v>0.23075000000000001</v>
      </c>
      <c r="D128" s="14">
        <f t="shared" si="15"/>
        <v>0.2459838495073324</v>
      </c>
      <c r="E128" s="6">
        <f t="shared" si="13"/>
        <v>30737.389791936654</v>
      </c>
      <c r="F128" s="26">
        <f t="shared" si="10"/>
        <v>29.605134287005846</v>
      </c>
      <c r="G128" s="28">
        <f>'1.) Preliminary Sizing I'!$C$62</f>
        <v>0.23064223875828477</v>
      </c>
      <c r="H128" s="28">
        <f>'1.) Preliminary Sizing I'!$C$79</f>
        <v>0.19172786937678182</v>
      </c>
      <c r="I128" s="31">
        <f>('1.) Preliminary Sizing I'!C$44^(3/2)*'3.) Preliminary Sizing II'!F128*'3.) Preliminary Sizing II'!$T$81^(1/2))^(2/3)</f>
        <v>0.22516937958048491</v>
      </c>
      <c r="J128" s="31">
        <f t="shared" si="14"/>
        <v>0.2459838495073324</v>
      </c>
      <c r="K128" s="29"/>
    </row>
    <row r="129" spans="1:20">
      <c r="A129" s="37">
        <v>10</v>
      </c>
      <c r="B129" s="24">
        <f t="shared" si="11"/>
        <v>32810</v>
      </c>
      <c r="C129" s="14">
        <f t="shared" si="12"/>
        <v>0.20340000000000003</v>
      </c>
      <c r="D129" s="14">
        <f t="shared" si="15"/>
        <v>0.27905984893715313</v>
      </c>
      <c r="E129" s="6">
        <f t="shared" si="13"/>
        <v>26431.296227339873</v>
      </c>
      <c r="F129" s="26">
        <f t="shared" si="10"/>
        <v>23.607187614985982</v>
      </c>
      <c r="G129" s="28">
        <f>'1.) Preliminary Sizing I'!$C$62</f>
        <v>0.23064223875828477</v>
      </c>
      <c r="H129" s="28">
        <f>'1.) Preliminary Sizing I'!$C$79</f>
        <v>0.19172786937678182</v>
      </c>
      <c r="I129" s="31">
        <f>('1.) Preliminary Sizing I'!C$44^(3/2)*'3.) Preliminary Sizing II'!F129*'3.) Preliminary Sizing II'!$T$81^(1/2))^(2/3)</f>
        <v>0.19362472263599287</v>
      </c>
      <c r="J129" s="31">
        <f t="shared" si="14"/>
        <v>0.27905984893715313</v>
      </c>
      <c r="K129" s="29"/>
    </row>
    <row r="130" spans="1:20">
      <c r="A130" s="89">
        <v>11</v>
      </c>
      <c r="B130" s="25">
        <f t="shared" si="11"/>
        <v>36091</v>
      </c>
      <c r="C130" s="90">
        <f t="shared" si="12"/>
        <v>0.17605000000000004</v>
      </c>
      <c r="D130" s="90">
        <f t="shared" si="15"/>
        <v>0.32241279905604625</v>
      </c>
      <c r="E130" s="7">
        <f t="shared" si="13"/>
        <v>22627.254431599747</v>
      </c>
      <c r="F130" s="26">
        <f t="shared" si="10"/>
        <v>18.69882636810814</v>
      </c>
      <c r="G130" s="28">
        <f>'1.) Preliminary Sizing I'!$C$62</f>
        <v>0.23064223875828477</v>
      </c>
      <c r="H130" s="28">
        <f>'1.) Preliminary Sizing I'!$C$79</f>
        <v>0.19172786937678182</v>
      </c>
      <c r="I130" s="31">
        <f>('1.) Preliminary Sizing I'!C$44^(3/2)*'3.) Preliminary Sizing II'!F130*'3.) Preliminary Sizing II'!$T$81^(1/2))^(2/3)</f>
        <v>0.16575788889236315</v>
      </c>
      <c r="J130" s="31">
        <f t="shared" si="14"/>
        <v>0.32241279905604625</v>
      </c>
      <c r="K130" s="29"/>
    </row>
    <row r="131" spans="1:20">
      <c r="A131" s="37">
        <v>12</v>
      </c>
      <c r="B131" s="24">
        <f t="shared" si="11"/>
        <v>39372</v>
      </c>
      <c r="C131" s="14">
        <f t="shared" si="12"/>
        <v>0.14870000000000005</v>
      </c>
      <c r="D131" s="14">
        <f t="shared" si="15"/>
        <v>0.38171333741638824</v>
      </c>
      <c r="E131" s="6">
        <f>p0*0.2232*POWER(e,-0.1577*(A131-11))</f>
        <v>19316.238670822768</v>
      </c>
      <c r="F131" s="26">
        <f t="shared" si="10"/>
        <v>14.748586606392507</v>
      </c>
      <c r="G131" s="28">
        <f>'1.) Preliminary Sizing I'!$C$62</f>
        <v>0.23064223875828477</v>
      </c>
      <c r="H131" s="28">
        <f>'1.) Preliminary Sizing I'!$C$79</f>
        <v>0.19172786937678182</v>
      </c>
      <c r="I131" s="31">
        <f>('1.) Preliminary Sizing I'!C$44^(3/2)*'3.) Preliminary Sizing II'!F131*'3.) Preliminary Sizing II'!$T$81^(1/2))^(2/3)</f>
        <v>0.14150275956349156</v>
      </c>
      <c r="J131" s="31">
        <f t="shared" si="14"/>
        <v>0.38171333741638824</v>
      </c>
      <c r="K131" s="29"/>
    </row>
    <row r="132" spans="1:20">
      <c r="A132" s="37">
        <v>13</v>
      </c>
      <c r="B132" s="24">
        <f t="shared" si="11"/>
        <v>42653</v>
      </c>
      <c r="C132" s="14">
        <f t="shared" si="12"/>
        <v>0.12135000000000007</v>
      </c>
      <c r="D132" s="14">
        <f t="shared" si="15"/>
        <v>0.46774432034459756</v>
      </c>
      <c r="E132" s="11">
        <f>p0*0.2232*POWER(e,-0.1577*(A132-11))</f>
        <v>16498.114869917543</v>
      </c>
      <c r="F132" s="26">
        <f t="shared" si="10"/>
        <v>11.641743949524134</v>
      </c>
      <c r="G132" s="28">
        <f>'1.) Preliminary Sizing I'!$C$62</f>
        <v>0.23064223875828477</v>
      </c>
      <c r="H132" s="28">
        <f>'1.) Preliminary Sizing I'!$C$79</f>
        <v>0.19172786937678182</v>
      </c>
      <c r="I132" s="31">
        <f>('1.) Preliminary Sizing I'!C$44^(3/2)*'3.) Preliminary Sizing II'!F132*'3.) Preliminary Sizing II'!$T$81^(1/2))^(2/3)</f>
        <v>0.12085835247082134</v>
      </c>
      <c r="J132" s="31">
        <f t="shared" si="14"/>
        <v>0.46774432034459756</v>
      </c>
      <c r="K132" s="29"/>
    </row>
    <row r="133" spans="1:20">
      <c r="A133" s="37">
        <v>14</v>
      </c>
      <c r="B133" s="24">
        <f t="shared" si="11"/>
        <v>45934</v>
      </c>
      <c r="C133" s="14">
        <f>(0.0013*BPR-0.0397)*A133-0.0248*BPR+0.7125</f>
        <v>9.3999999999999972E-2</v>
      </c>
      <c r="D133" s="14">
        <f t="shared" si="15"/>
        <v>0.60383801355124433</v>
      </c>
      <c r="E133" s="11">
        <f>p0*0.2232*POWER(e,-0.1577*(A133-11))</f>
        <v>14091.138492305688</v>
      </c>
      <c r="F133" s="26">
        <f t="shared" si="10"/>
        <v>9.1893688394207516</v>
      </c>
      <c r="G133" s="28">
        <f>'1.) Preliminary Sizing I'!$C$62</f>
        <v>0.23064223875828477</v>
      </c>
      <c r="H133" s="28">
        <f>'1.) Preliminary Sizing I'!$C$79</f>
        <v>0.19172786937678182</v>
      </c>
      <c r="I133" s="31">
        <f>('1.) Preliminary Sizing I'!C$44^(3/2)*'3.) Preliminary Sizing II'!F133*'3.) Preliminary Sizing II'!$T$81^(1/2))^(2/3)</f>
        <v>0.10322584101554079</v>
      </c>
      <c r="J133" s="31">
        <f>D133</f>
        <v>0.60383801355124433</v>
      </c>
      <c r="K133" s="29"/>
    </row>
    <row r="134" spans="1:20">
      <c r="A134" s="37">
        <v>15</v>
      </c>
      <c r="B134" s="24">
        <f t="shared" si="11"/>
        <v>49215</v>
      </c>
      <c r="C134" s="14">
        <f>(0.0013*BPR-0.0397)*A134-0.0248*BPR+0.7125</f>
        <v>6.6649999999999987E-2</v>
      </c>
      <c r="D134" s="14">
        <f t="shared" si="15"/>
        <v>0.85162450523356292</v>
      </c>
      <c r="E134" s="11">
        <f>p0*0.2232*POWER(e,-0.1577*(A134-11))</f>
        <v>12035.325585675922</v>
      </c>
      <c r="F134" s="26">
        <f t="shared" si="10"/>
        <v>7.253595340444587</v>
      </c>
      <c r="G134" s="28">
        <f>'1.) Preliminary Sizing I'!$C$62</f>
        <v>0.23064223875828477</v>
      </c>
      <c r="H134" s="28">
        <f>'1.) Preliminary Sizing I'!$C$79</f>
        <v>0.19172786937678182</v>
      </c>
      <c r="I134" s="31">
        <f>('1.) Preliminary Sizing I'!C$44^(3/2)*'3.) Preliminary Sizing II'!F134*'3.) Preliminary Sizing II'!$T$81^(1/2))^(2/3)</f>
        <v>8.8165807621266981E-2</v>
      </c>
      <c r="J134" s="31">
        <f>D134</f>
        <v>0.85162450523356292</v>
      </c>
      <c r="K134" s="29"/>
    </row>
    <row r="135" spans="1:20">
      <c r="A135" s="37"/>
      <c r="B135" s="24"/>
      <c r="C135" s="10"/>
      <c r="D135" s="10"/>
      <c r="E135" s="11"/>
      <c r="F135" s="26">
        <f>'1.) Preliminary Sizing I'!C35</f>
        <v>31.769783981656172</v>
      </c>
      <c r="G135" s="29"/>
      <c r="H135" s="29"/>
      <c r="I135" s="31"/>
      <c r="J135" s="31"/>
      <c r="K135" s="29">
        <v>0</v>
      </c>
    </row>
    <row r="136" spans="1:20">
      <c r="A136" s="37"/>
      <c r="B136" s="24"/>
      <c r="C136" s="10"/>
      <c r="D136" s="10"/>
      <c r="E136" s="11"/>
      <c r="F136" s="26">
        <f>F135+0.1</f>
        <v>31.869783981656173</v>
      </c>
      <c r="G136" s="29"/>
      <c r="H136" s="29"/>
      <c r="I136" s="31"/>
      <c r="J136" s="31"/>
      <c r="K136" s="29">
        <v>0.5</v>
      </c>
    </row>
    <row r="137" spans="1:20" ht="15.75">
      <c r="A137" s="51" t="s">
        <v>203</v>
      </c>
      <c r="B137" s="55" t="s">
        <v>46</v>
      </c>
      <c r="C137" s="52" t="s">
        <v>125</v>
      </c>
      <c r="D137" s="53" t="s">
        <v>20</v>
      </c>
      <c r="E137" s="52" t="s">
        <v>21</v>
      </c>
      <c r="F137" s="55" t="s">
        <v>22</v>
      </c>
      <c r="G137" s="42" t="s">
        <v>204</v>
      </c>
      <c r="H137" s="42" t="s">
        <v>204</v>
      </c>
      <c r="I137" s="42" t="s">
        <v>204</v>
      </c>
      <c r="J137" s="56" t="s">
        <v>205</v>
      </c>
      <c r="K137" s="42" t="s">
        <v>204</v>
      </c>
    </row>
    <row r="138" spans="1:20">
      <c r="A138" s="36"/>
      <c r="B138" s="23"/>
      <c r="C138" s="3" t="s">
        <v>126</v>
      </c>
      <c r="D138" s="54"/>
      <c r="E138" s="3"/>
      <c r="F138" s="23"/>
      <c r="G138" s="30"/>
      <c r="H138" s="30"/>
      <c r="I138" s="30"/>
      <c r="J138" s="57" t="s">
        <v>206</v>
      </c>
      <c r="K138" s="30"/>
    </row>
    <row r="140" spans="1:20" ht="15.75">
      <c r="A140" t="s">
        <v>325</v>
      </c>
      <c r="B140" t="s">
        <v>333</v>
      </c>
      <c r="C140" s="38">
        <f>'1.) Preliminary Sizing I'!C35</f>
        <v>31.769783981656172</v>
      </c>
      <c r="D140" s="22" t="s">
        <v>326</v>
      </c>
      <c r="E140" s="12" t="s">
        <v>272</v>
      </c>
      <c r="L140" s="38"/>
      <c r="O140" s="38"/>
      <c r="R140" s="38"/>
    </row>
    <row r="141" spans="1:20" ht="15.75">
      <c r="A141" t="s">
        <v>156</v>
      </c>
      <c r="B141" t="s">
        <v>69</v>
      </c>
      <c r="C141" s="45">
        <f>'1.) Preliminary Sizing I'!C45</f>
        <v>0.23601565755226361</v>
      </c>
      <c r="E141" s="12" t="s">
        <v>273</v>
      </c>
      <c r="L141" s="45"/>
      <c r="O141" s="45"/>
      <c r="R141" s="45"/>
    </row>
    <row r="142" spans="1:20">
      <c r="A142" s="71"/>
      <c r="B142" s="71"/>
      <c r="C142" s="144"/>
      <c r="D142" s="71"/>
      <c r="E142" s="71"/>
      <c r="F142" s="71"/>
      <c r="G142" s="71"/>
      <c r="H142" s="71"/>
      <c r="I142" s="71"/>
      <c r="J142" s="71"/>
      <c r="K142" s="71"/>
      <c r="L142" s="144"/>
      <c r="M142" s="71"/>
      <c r="N142" s="71"/>
      <c r="O142" s="144"/>
      <c r="P142" s="71"/>
      <c r="Q142" s="71"/>
      <c r="R142" s="144"/>
      <c r="S142" s="71"/>
      <c r="T142" s="71"/>
    </row>
    <row r="144" spans="1:20" ht="15.75">
      <c r="A144" t="s">
        <v>243</v>
      </c>
      <c r="B144" t="s">
        <v>111</v>
      </c>
      <c r="C144" s="46">
        <f>T81*'1.) Preliminary Sizing I'!C32</f>
        <v>194286.44731215062</v>
      </c>
      <c r="D144" s="47" t="s">
        <v>38</v>
      </c>
    </row>
    <row r="145" spans="1:5" ht="15.75">
      <c r="A145" t="s">
        <v>244</v>
      </c>
      <c r="B145" t="s">
        <v>112</v>
      </c>
      <c r="C145" s="46">
        <f>T69*T81</f>
        <v>118088.59791930723</v>
      </c>
      <c r="D145" s="47" t="s">
        <v>38</v>
      </c>
    </row>
    <row r="146" spans="1:5" ht="15.75">
      <c r="A146" t="s">
        <v>246</v>
      </c>
      <c r="B146" t="s">
        <v>130</v>
      </c>
      <c r="C146" s="46">
        <f>T81*T64</f>
        <v>113790.2840440249</v>
      </c>
      <c r="D146" s="47" t="s">
        <v>38</v>
      </c>
    </row>
    <row r="147" spans="1:5" ht="15.75">
      <c r="A147" t="s">
        <v>247</v>
      </c>
      <c r="B147" t="s">
        <v>113</v>
      </c>
      <c r="C147" s="46">
        <f>(T81/C140)^(2/3)</f>
        <v>405.11468646582284</v>
      </c>
      <c r="D147" s="47" t="s">
        <v>39</v>
      </c>
    </row>
    <row r="148" spans="1:5" ht="15.75">
      <c r="A148" t="s">
        <v>248</v>
      </c>
      <c r="B148" t="s">
        <v>114</v>
      </c>
      <c r="C148" s="6">
        <f>T84*g*T81</f>
        <v>599778.73849558551</v>
      </c>
      <c r="D148" t="s">
        <v>40</v>
      </c>
      <c r="E148" s="16" t="s">
        <v>259</v>
      </c>
    </row>
    <row r="149" spans="1:5" ht="15.75">
      <c r="A149" t="s">
        <v>249</v>
      </c>
      <c r="B149" t="s">
        <v>115</v>
      </c>
      <c r="C149" s="46">
        <f>C148/'1.) Preliminary Sizing I'!C60</f>
        <v>299889.36924779275</v>
      </c>
      <c r="D149" s="47" t="s">
        <v>40</v>
      </c>
      <c r="E149" s="16" t="s">
        <v>258</v>
      </c>
    </row>
    <row r="150" spans="1:5" ht="15.75">
      <c r="A150" t="s">
        <v>249</v>
      </c>
      <c r="B150" t="s">
        <v>115</v>
      </c>
      <c r="C150" s="6">
        <f>C149*0.2248</f>
        <v>67415.130206903807</v>
      </c>
      <c r="D150" t="s">
        <v>41</v>
      </c>
      <c r="E150" s="16" t="s">
        <v>258</v>
      </c>
    </row>
    <row r="152" spans="1:5" ht="15.75">
      <c r="A152" t="s">
        <v>250</v>
      </c>
      <c r="B152" t="s">
        <v>294</v>
      </c>
      <c r="C152" s="6">
        <f>T81*(1-T63*T55*T54)</f>
        <v>259048.59641620083</v>
      </c>
      <c r="D152" t="s">
        <v>38</v>
      </c>
    </row>
    <row r="153" spans="1:5" ht="15.75">
      <c r="A153" t="s">
        <v>251</v>
      </c>
      <c r="B153" s="4" t="s">
        <v>116</v>
      </c>
      <c r="C153" s="61">
        <v>800</v>
      </c>
      <c r="D153" s="61" t="s">
        <v>7</v>
      </c>
    </row>
    <row r="154" spans="1:5" ht="15.75">
      <c r="A154" t="s">
        <v>252</v>
      </c>
      <c r="B154" t="s">
        <v>295</v>
      </c>
      <c r="C154" s="63">
        <f>C152/C153</f>
        <v>323.81074552025103</v>
      </c>
      <c r="D154" s="47" t="s">
        <v>42</v>
      </c>
      <c r="E154" t="s">
        <v>257</v>
      </c>
    </row>
    <row r="156" spans="1:5" ht="15.75">
      <c r="A156" t="s">
        <v>253</v>
      </c>
      <c r="B156" t="s">
        <v>117</v>
      </c>
      <c r="C156" s="38">
        <f>T76</f>
        <v>0</v>
      </c>
      <c r="D156" s="22" t="s">
        <v>38</v>
      </c>
    </row>
    <row r="157" spans="1:5" ht="15.75">
      <c r="A157" t="s">
        <v>254</v>
      </c>
      <c r="B157" t="s">
        <v>118</v>
      </c>
      <c r="C157" s="6">
        <f>C145+C156</f>
        <v>118088.59791930723</v>
      </c>
      <c r="D157" t="s">
        <v>38</v>
      </c>
    </row>
    <row r="158" spans="1:5" ht="15.75">
      <c r="A158" t="s">
        <v>285</v>
      </c>
      <c r="B158" t="s">
        <v>286</v>
      </c>
      <c r="C158" s="6">
        <f>C145+T76</f>
        <v>118088.59791930723</v>
      </c>
      <c r="D158" t="s">
        <v>38</v>
      </c>
    </row>
    <row r="160" spans="1:5" ht="15.75">
      <c r="A160" t="s">
        <v>255</v>
      </c>
      <c r="B160" t="s">
        <v>119</v>
      </c>
      <c r="C160" s="6">
        <f>T81*(1-T62)</f>
        <v>15676.751234420724</v>
      </c>
      <c r="D160" t="s">
        <v>38</v>
      </c>
    </row>
    <row r="162" spans="1:17" ht="15.75">
      <c r="A162" t="s">
        <v>256</v>
      </c>
      <c r="B162" t="s">
        <v>43</v>
      </c>
      <c r="C162" s="85" t="s">
        <v>121</v>
      </c>
      <c r="E162" s="20" t="s">
        <v>45</v>
      </c>
      <c r="F162" s="20" t="s">
        <v>287</v>
      </c>
      <c r="G162" s="16" t="s">
        <v>44</v>
      </c>
    </row>
    <row r="163" spans="1:17">
      <c r="C163" s="6">
        <f>C144</f>
        <v>194286.44731215062</v>
      </c>
      <c r="D163" t="s">
        <v>38</v>
      </c>
      <c r="E163" s="20" t="s">
        <v>45</v>
      </c>
      <c r="F163" s="6">
        <f>C158+C160</f>
        <v>133765.34915372796</v>
      </c>
      <c r="G163" t="s">
        <v>38</v>
      </c>
    </row>
    <row r="164" spans="1:17">
      <c r="E164" s="73" t="str">
        <f>IF(C144&gt;C157+C160, "yes","no")</f>
        <v>yes</v>
      </c>
    </row>
    <row r="165" spans="1:17">
      <c r="E165" s="74" t="str">
        <f>IF(E164="yes","Aircraft sizing finished!","Increase value mML/mMTO in table '1.) Preliminary Sizing I' !")</f>
        <v>Aircraft sizing finished!</v>
      </c>
    </row>
    <row r="169" spans="1:17">
      <c r="A169" s="100"/>
      <c r="B169" s="100"/>
      <c r="C169" s="100"/>
      <c r="D169" s="100"/>
      <c r="E169" s="100"/>
      <c r="F169" s="100"/>
      <c r="G169" s="100"/>
      <c r="H169" s="100"/>
      <c r="I169" s="100"/>
      <c r="J169" s="100"/>
      <c r="K169" s="100"/>
      <c r="L169" s="100"/>
      <c r="M169" s="100"/>
      <c r="N169" s="100"/>
      <c r="O169" s="100"/>
      <c r="P169" s="100"/>
      <c r="Q169" s="100"/>
    </row>
    <row r="170" spans="1:17">
      <c r="A170" s="100"/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</row>
    <row r="171" spans="1:17">
      <c r="A171" s="100"/>
      <c r="B171" s="100"/>
      <c r="C171" s="100"/>
      <c r="D171" s="100"/>
      <c r="E171" s="100"/>
      <c r="F171" s="100"/>
      <c r="G171" s="100"/>
      <c r="H171" s="100"/>
      <c r="I171" s="100"/>
      <c r="J171" s="100"/>
      <c r="K171" s="100"/>
      <c r="L171" s="100"/>
      <c r="M171" s="100"/>
      <c r="N171" s="100"/>
      <c r="O171" s="100"/>
      <c r="P171" s="100"/>
      <c r="Q171" s="100"/>
    </row>
    <row r="172" spans="1:17">
      <c r="A172" s="100"/>
      <c r="B172" s="100"/>
      <c r="C172" s="100"/>
      <c r="D172" s="100"/>
      <c r="E172" s="100"/>
      <c r="F172" s="100"/>
      <c r="G172" s="100"/>
      <c r="H172" s="100"/>
      <c r="I172" s="100"/>
      <c r="J172" s="100"/>
      <c r="K172" s="100"/>
      <c r="L172" s="100"/>
      <c r="M172" s="100"/>
      <c r="N172" s="100"/>
      <c r="O172" s="100"/>
      <c r="P172" s="100"/>
      <c r="Q172" s="100"/>
    </row>
    <row r="173" spans="1:17">
      <c r="A173" s="100"/>
      <c r="B173" s="100"/>
      <c r="C173" s="100"/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</row>
    <row r="174" spans="1:17">
      <c r="A174" s="100"/>
      <c r="B174" s="100"/>
      <c r="C174" s="100"/>
      <c r="D174" s="100"/>
      <c r="E174" s="100"/>
      <c r="F174" s="100"/>
      <c r="G174" s="100"/>
      <c r="H174" s="100"/>
      <c r="I174" s="100"/>
      <c r="J174" s="100"/>
      <c r="K174" s="100"/>
      <c r="L174" s="100"/>
      <c r="M174" s="100"/>
      <c r="N174" s="100"/>
      <c r="O174" s="100"/>
      <c r="P174" s="100"/>
      <c r="Q174" s="100"/>
    </row>
    <row r="175" spans="1:17">
      <c r="A175" s="100"/>
      <c r="B175" s="107"/>
      <c r="C175" s="100"/>
      <c r="D175" s="100"/>
      <c r="E175" s="100"/>
      <c r="F175" s="100"/>
      <c r="G175" s="100"/>
      <c r="H175" s="100"/>
      <c r="I175" s="100"/>
      <c r="J175" s="100"/>
      <c r="K175" s="100"/>
      <c r="L175" s="100"/>
      <c r="M175" s="100"/>
      <c r="N175" s="100"/>
      <c r="O175" s="100"/>
      <c r="P175" s="100"/>
      <c r="Q175" s="100"/>
    </row>
    <row r="176" spans="1:17">
      <c r="A176" s="100"/>
      <c r="B176" s="100"/>
      <c r="C176" s="100"/>
      <c r="D176" s="100"/>
      <c r="E176" s="100"/>
      <c r="F176" s="100"/>
      <c r="G176" s="100"/>
      <c r="H176" s="100"/>
      <c r="I176" s="100"/>
      <c r="J176" s="100"/>
      <c r="K176" s="100"/>
      <c r="L176" s="100"/>
      <c r="M176" s="100"/>
      <c r="N176" s="100"/>
      <c r="O176" s="100"/>
      <c r="P176" s="100"/>
      <c r="Q176" s="100"/>
    </row>
    <row r="177" spans="1:17">
      <c r="A177" s="100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0"/>
    </row>
    <row r="178" spans="1:17">
      <c r="A178" s="100"/>
      <c r="B178" s="100"/>
      <c r="C178" s="100"/>
      <c r="D178" s="100"/>
      <c r="E178" s="100"/>
      <c r="F178" s="100"/>
      <c r="G178" s="100"/>
      <c r="H178" s="100"/>
      <c r="I178" s="100"/>
      <c r="J178" s="100"/>
      <c r="K178" s="100"/>
      <c r="L178" s="100"/>
      <c r="M178" s="100"/>
      <c r="N178" s="100"/>
      <c r="O178" s="100"/>
      <c r="P178" s="100"/>
      <c r="Q178" s="100"/>
    </row>
    <row r="179" spans="1:17">
      <c r="A179" s="100"/>
      <c r="B179" s="107"/>
      <c r="C179" s="100"/>
      <c r="D179" s="100"/>
      <c r="E179" s="100"/>
      <c r="F179" s="100"/>
      <c r="G179" s="100"/>
      <c r="H179" s="100"/>
      <c r="I179" s="100"/>
      <c r="J179" s="100"/>
      <c r="K179" s="100"/>
      <c r="L179" s="100"/>
      <c r="M179" s="100"/>
      <c r="N179" s="100"/>
      <c r="O179" s="100"/>
      <c r="P179" s="100"/>
      <c r="Q179" s="100"/>
    </row>
    <row r="180" spans="1:17">
      <c r="A180" s="100"/>
      <c r="B180" s="100"/>
      <c r="C180" s="100"/>
      <c r="D180" s="100"/>
      <c r="E180" s="100"/>
      <c r="F180" s="100"/>
      <c r="G180" s="100"/>
      <c r="H180" s="100"/>
      <c r="I180" s="100"/>
      <c r="J180" s="100"/>
      <c r="K180" s="100"/>
      <c r="L180" s="100"/>
      <c r="M180" s="100"/>
      <c r="N180" s="100"/>
      <c r="O180" s="100"/>
      <c r="P180" s="100"/>
      <c r="Q180" s="100"/>
    </row>
    <row r="181" spans="1:17">
      <c r="A181" s="100"/>
      <c r="B181" s="100"/>
      <c r="C181" s="100"/>
      <c r="D181" s="100"/>
      <c r="E181" s="100"/>
      <c r="F181" s="100"/>
      <c r="G181" s="100"/>
      <c r="H181" s="100"/>
      <c r="I181" s="100"/>
      <c r="J181" s="100"/>
      <c r="K181" s="100"/>
      <c r="L181" s="100"/>
      <c r="M181" s="100"/>
      <c r="N181" s="100"/>
      <c r="O181" s="100"/>
      <c r="P181" s="100"/>
      <c r="Q181" s="100"/>
    </row>
    <row r="182" spans="1:17">
      <c r="A182" s="100"/>
      <c r="B182" s="100"/>
      <c r="C182" s="100"/>
      <c r="D182" s="100"/>
      <c r="E182" s="100"/>
      <c r="F182" s="100"/>
      <c r="G182" s="100"/>
      <c r="H182" s="100"/>
      <c r="I182" s="100"/>
      <c r="J182" s="100"/>
      <c r="K182" s="100"/>
      <c r="L182" s="100"/>
      <c r="M182" s="100"/>
      <c r="N182" s="100"/>
      <c r="O182" s="100"/>
      <c r="P182" s="100"/>
      <c r="Q182" s="100"/>
    </row>
    <row r="183" spans="1:17">
      <c r="A183" s="100"/>
      <c r="B183" s="107"/>
      <c r="C183" s="100"/>
      <c r="D183" s="100"/>
      <c r="E183" s="100"/>
      <c r="F183" s="100"/>
      <c r="G183" s="100"/>
      <c r="H183" s="100"/>
      <c r="I183" s="100"/>
      <c r="J183" s="100"/>
      <c r="K183" s="100"/>
      <c r="L183" s="100"/>
      <c r="M183" s="100"/>
      <c r="N183" s="100"/>
      <c r="O183" s="100"/>
      <c r="P183" s="100"/>
      <c r="Q183" s="100"/>
    </row>
    <row r="184" spans="1:17">
      <c r="A184" s="100"/>
      <c r="B184" s="100"/>
      <c r="C184" s="100"/>
      <c r="D184" s="100"/>
      <c r="E184" s="100"/>
      <c r="F184" s="100"/>
      <c r="G184" s="100"/>
      <c r="H184" s="100"/>
      <c r="I184" s="100"/>
      <c r="J184" s="100"/>
      <c r="K184" s="100"/>
      <c r="L184" s="100"/>
      <c r="M184" s="100"/>
      <c r="N184" s="100"/>
      <c r="O184" s="100"/>
      <c r="P184" s="100"/>
      <c r="Q184" s="100"/>
    </row>
    <row r="185" spans="1:17">
      <c r="A185" s="100"/>
      <c r="B185" s="100"/>
      <c r="C185" s="100"/>
      <c r="D185" s="100"/>
      <c r="E185" s="100"/>
      <c r="F185" s="100"/>
      <c r="G185" s="100"/>
      <c r="H185" s="100"/>
      <c r="I185" s="100"/>
      <c r="J185" s="100"/>
      <c r="K185" s="100"/>
      <c r="L185" s="100"/>
      <c r="M185" s="100"/>
      <c r="N185" s="100"/>
      <c r="O185" s="100"/>
      <c r="P185" s="100"/>
      <c r="Q185" s="100"/>
    </row>
    <row r="186" spans="1:17">
      <c r="A186" s="100"/>
      <c r="B186" s="100"/>
      <c r="C186" s="100"/>
      <c r="D186" s="100"/>
      <c r="E186" s="100"/>
      <c r="F186" s="100"/>
      <c r="G186" s="100"/>
      <c r="H186" s="100"/>
      <c r="I186" s="100"/>
      <c r="J186" s="100"/>
      <c r="K186" s="100"/>
      <c r="L186" s="100"/>
      <c r="M186" s="100"/>
      <c r="N186" s="100"/>
      <c r="O186" s="100"/>
      <c r="P186" s="100"/>
      <c r="Q186" s="100"/>
    </row>
    <row r="187" spans="1:17">
      <c r="A187" s="100"/>
      <c r="B187" s="107"/>
      <c r="C187" s="100"/>
      <c r="D187" s="100"/>
      <c r="E187" s="100"/>
      <c r="F187" s="100"/>
      <c r="G187" s="100"/>
      <c r="H187" s="100"/>
      <c r="I187" s="100"/>
      <c r="J187" s="100"/>
      <c r="K187" s="100"/>
      <c r="L187" s="100"/>
      <c r="M187" s="100"/>
      <c r="N187" s="100"/>
      <c r="O187" s="100"/>
      <c r="P187" s="100"/>
      <c r="Q187" s="100"/>
    </row>
    <row r="188" spans="1:17">
      <c r="A188" s="100"/>
      <c r="B188" s="100"/>
      <c r="C188" s="100"/>
      <c r="D188" s="100"/>
      <c r="E188" s="100"/>
      <c r="F188" s="100"/>
      <c r="G188" s="100"/>
      <c r="H188" s="100"/>
      <c r="I188" s="100"/>
      <c r="J188" s="100"/>
      <c r="K188" s="100"/>
      <c r="L188" s="100"/>
      <c r="M188" s="100"/>
      <c r="N188" s="100"/>
      <c r="O188" s="100"/>
      <c r="P188" s="100"/>
      <c r="Q188" s="100"/>
    </row>
    <row r="189" spans="1:17">
      <c r="A189" s="100"/>
      <c r="B189" s="100"/>
      <c r="C189" s="100"/>
      <c r="D189" s="100"/>
      <c r="E189" s="100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</row>
    <row r="190" spans="1:17">
      <c r="A190" s="100"/>
      <c r="B190" s="100"/>
      <c r="C190" s="100"/>
      <c r="D190" s="100"/>
      <c r="E190" s="100"/>
      <c r="F190" s="100"/>
      <c r="G190" s="100"/>
      <c r="H190" s="100"/>
      <c r="I190" s="100"/>
      <c r="J190" s="100"/>
      <c r="K190" s="100"/>
      <c r="L190" s="100"/>
      <c r="M190" s="100"/>
      <c r="N190" s="100"/>
      <c r="O190" s="100"/>
      <c r="P190" s="100"/>
      <c r="Q190" s="100"/>
    </row>
  </sheetData>
  <dataConsolidate/>
  <phoneticPr fontId="4" type="noConversion"/>
  <dataValidations count="2">
    <dataValidation type="list" allowBlank="1" showInputMessage="1" showErrorMessage="1" sqref="T71 C37 C71 K37 K71 N37 N71 Q37 Q71 T37">
      <formula1>"yes, no"</formula1>
    </dataValidation>
    <dataValidation type="custom" allowBlank="1" showInputMessage="1" showErrorMessage="1" sqref="D66:D67 U66:U67">
      <formula1>OR(D66="yes",D66="no")</formula1>
    </dataValidation>
  </dataValidations>
  <pageMargins left="0.78740157499999996" right="0.5" top="0.77" bottom="0.74" header="0.4921259845" footer="0.4921259845"/>
  <pageSetup paperSize="9" scale="85" orientation="landscape" horizontalDpi="300" verticalDpi="300" r:id="rId1"/>
  <headerFooter alignWithMargins="0">
    <oddHeader>&amp;A</oddHeader>
    <oddFooter>Seite &amp;P</oddFooter>
  </headerFooter>
  <rowBreaks count="1" manualBreakCount="1">
    <brk id="44" max="16383" man="1"/>
  </rowBreaks>
  <drawing r:id="rId2"/>
  <legacyDrawing r:id="rId3"/>
  <oleObjects>
    <oleObject progId="Equation.3" shapeId="3080" r:id="rId4"/>
    <oleObject progId="Equation.3" shapeId="3085" r:id="rId5"/>
    <oleObject progId="Equation.3" shapeId="3086" r:id="rId6"/>
    <oleObject progId="Equation.3" shapeId="3087" r:id="rId7"/>
    <oleObject progId="Equation.3" shapeId="3116" r:id="rId8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4" sqref="C4"/>
    </sheetView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15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10</vt:i4>
      </vt:variant>
    </vt:vector>
  </HeadingPairs>
  <TitlesOfParts>
    <vt:vector size="26" baseType="lpstr">
      <vt:lpstr>1.) Preliminary Sizing I</vt:lpstr>
      <vt:lpstr>2.) Max. Glide Ratio in Cruise</vt:lpstr>
      <vt:lpstr>3.) Preliminary Sizing II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Matching Chart </vt:lpstr>
      <vt:lpstr>BPR</vt:lpstr>
      <vt:lpstr>CL</vt:lpstr>
      <vt:lpstr>CL_m</vt:lpstr>
      <vt:lpstr>e</vt:lpstr>
      <vt:lpstr>g</vt:lpstr>
      <vt:lpstr>gamma</vt:lpstr>
      <vt:lpstr>L_D</vt:lpstr>
      <vt:lpstr>L_D_max</vt:lpstr>
      <vt:lpstr>M</vt:lpstr>
      <vt:lpstr>p0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Dieter SCHOLZ</cp:lastModifiedBy>
  <cp:lastPrinted>2021-08-07T10:46:34Z</cp:lastPrinted>
  <dcterms:created xsi:type="dcterms:W3CDTF">1998-10-31T17:05:42Z</dcterms:created>
  <dcterms:modified xsi:type="dcterms:W3CDTF">2021-11-15T16:39:19Z</dcterms:modified>
</cp:coreProperties>
</file>