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21.bin" ContentType="application/vnd.openxmlformats-officedocument.oleObject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7.xml" ContentType="application/vnd.openxmlformats-officedocument.spreadsheetml.externalLink+xml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mbeddings/oleObject2.bin" ContentType="application/vnd.openxmlformats-officedocument.oleObject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chartsheets/sheet1.xml" ContentType="application/vnd.openxmlformats-officedocument.spreadsheetml.chart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Default Extension="png" ContentType="image/png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8.xml" ContentType="application/vnd.openxmlformats-officedocument.spreadsheetml.externalLink+xml"/>
  <Override PartName="/xl/embeddings/oleObject5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6.xml" ContentType="application/vnd.openxmlformats-officedocument.spreadsheetml.externalLink+xml"/>
  <Override PartName="/xl/embeddings/oleObject3.bin" ContentType="application/vnd.openxmlformats-officedocument.oleObject"/>
  <Default Extension="emf" ContentType="image/x-emf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40" windowHeight="11565" tabRatio="732"/>
  </bookViews>
  <sheets>
    <sheet name="Abstract" sheetId="35" r:id="rId1"/>
    <sheet name="1.) Preliminary Sizing I" sheetId="2" r:id="rId2"/>
    <sheet name="2.) Max. Glide Ratio in Cruise" sheetId="17" r:id="rId3"/>
    <sheet name="2.1.) Wetted Area" sheetId="28" r:id="rId4"/>
    <sheet name="3.) Preliminary Sizing II" sheetId="3" r:id="rId5"/>
    <sheet name="4.) Matching Chart" sheetId="4" r:id="rId6"/>
    <sheet name="5.) Fuel consumption" sheetId="30" r:id="rId7"/>
    <sheet name="6.) Fuel Containment System" sheetId="27" r:id="rId8"/>
    <sheet name="7.) Fuel cell" sheetId="33" r:id="rId9"/>
    <sheet name="7.1.) Heat Exchanger" sheetId="29" r:id="rId10"/>
    <sheet name="8.) Electric Propulsion System" sheetId="32" r:id="rId11"/>
    <sheet name="8.1.) Thrust Device" sheetId="31" r:id="rId12"/>
    <sheet name="9.) Mass H2 Powertrain" sheetId="34" r:id="rId13"/>
    <sheet name="(c)" sheetId="36" r:id="rId14"/>
    <sheet name="Tabelle5" sheetId="5" state="hidden" r:id="rId15"/>
    <sheet name="Tabelle6" sheetId="6" state="hidden" r:id="rId16"/>
    <sheet name="Tabelle7" sheetId="7" state="hidden" r:id="rId17"/>
    <sheet name="Tabelle8" sheetId="8" state="hidden" r:id="rId18"/>
    <sheet name="Tabelle9" sheetId="9" state="hidden" r:id="rId19"/>
    <sheet name="Tabelle10" sheetId="10" state="hidden" r:id="rId20"/>
    <sheet name="Tabelle11" sheetId="11" state="hidden" r:id="rId21"/>
    <sheet name="Tabelle12" sheetId="12" state="hidden" r:id="rId22"/>
    <sheet name="Tabelle13" sheetId="13" state="hidden" r:id="rId23"/>
    <sheet name="Tabelle14" sheetId="14" state="hidden" r:id="rId24"/>
    <sheet name="Tabelle15" sheetId="15" state="hidden" r:id="rId25"/>
    <sheet name="Tabelle16" sheetId="16" state="hidden" r:id="rId26"/>
  </sheets>
  <externalReferences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c">#REF!</definedName>
    <definedName name="_R">#REF!</definedName>
    <definedName name="_z">'[3]Input Data'!$E$12</definedName>
    <definedName name="A" localSheetId="13">'[3]Input Data'!$E$47</definedName>
    <definedName name="a_7000">#REF!</definedName>
    <definedName name="A_neu">[2]SFC!#REF!</definedName>
    <definedName name="a_S">#REF!</definedName>
    <definedName name="a_sound">[4]Inputs_Outputs!$J$5</definedName>
    <definedName name="a_strato">#REF!</definedName>
    <definedName name="a0">[2]Const.!#REF!</definedName>
    <definedName name="AA">#REF!</definedName>
    <definedName name="Acoef" localSheetId="13">'[8]Preliminary Sizing II'!$I$19</definedName>
    <definedName name="Acoef">'3.) Preliminary Sizing II'!$I$22</definedName>
    <definedName name="Airfoil">'[3]Input Data'!$I$27</definedName>
    <definedName name="Airfoil_transition">[5]Results!$Q$14</definedName>
    <definedName name="Airfoils">#REF!</definedName>
    <definedName name="AirfoilTransition">'[3]Input Data'!#REF!</definedName>
    <definedName name="Alpha_min">'[3]Subroutine Xi'!$B$3</definedName>
    <definedName name="AOA_EpsilonMax_NACA0012">[3]Airfoils!$L$5</definedName>
    <definedName name="AOA_EpsilonMax_NACA0015">[3]Airfoils!$D$5</definedName>
    <definedName name="AOA_EpsilonMax_NACA0018">[3]Airfoils!$T$5</definedName>
    <definedName name="AR">#REF!</definedName>
    <definedName name="AUSGANGSDATEN">#REF!</definedName>
    <definedName name="b">#REF!</definedName>
    <definedName name="B_3">#REF!</definedName>
    <definedName name="BB">#REF!</definedName>
    <definedName name="Beta0">'[3]Input Data'!$M$12</definedName>
    <definedName name="BetaS">'[3]Input Data'!$M$14</definedName>
    <definedName name="Betat">'[3]Input Data'!$M$10</definedName>
    <definedName name="BEZUGSGRÖßEN">#REF!</definedName>
    <definedName name="BPR" localSheetId="13">[4]Inputs_Outputs!$F$3</definedName>
    <definedName name="c_dw">[4]Fuel!$C$23</definedName>
    <definedName name="C_L_1">#REF!</definedName>
    <definedName name="C_L_bar">#REF!</definedName>
    <definedName name="Cd">[4]Fuel!$C$31</definedName>
    <definedName name="Cd0">[4]Fuel!$C$28</definedName>
    <definedName name="Cdoc">[4]DOC!$C$92</definedName>
    <definedName name="CF_AIC">[4]Environmental!$C$65</definedName>
    <definedName name="CF_NOx">[4]Environmental!$C$64</definedName>
    <definedName name="CL" localSheetId="13">[4]Fuel!$C$29</definedName>
    <definedName name="CL" localSheetId="0">'[6]3.) Preliminary Sizing II'!$G$9</definedName>
    <definedName name="CL">'3.) Preliminary Sizing II'!$G$9</definedName>
    <definedName name="CL_m" localSheetId="13">#REF!</definedName>
    <definedName name="CL_m" localSheetId="0">'[6]3.) Preliminary Sizing II'!$C$11</definedName>
    <definedName name="CL_m">'3.) Preliminary Sizing II'!$C$11</definedName>
    <definedName name="Cleaning">#REF!</definedName>
    <definedName name="Cleaning_LEJ">#REF!</definedName>
    <definedName name="d_f">[4]Inputs_Outputs!#REF!</definedName>
    <definedName name="Delta_R">'[3]Input Data'!$E$22</definedName>
    <definedName name="Delta_Theta">'[3]Input Data'!$E$20</definedName>
    <definedName name="df">[4]Inputs_Outputs!#REF!</definedName>
    <definedName name="DmG">'[7]Schneeballfaktor '!$B$32</definedName>
    <definedName name="DmL">'[7]Schneeballfaktor '!$B$4</definedName>
    <definedName name="Dp">#REF!</definedName>
    <definedName name="DT">#REF!</definedName>
    <definedName name="e" localSheetId="13">[4]Fuel!$C$15</definedName>
    <definedName name="e" localSheetId="0">'[6]3.) Preliminary Sizing II'!$C$26</definedName>
    <definedName name="e">'3.) Preliminary Sizing II'!$C$26</definedName>
    <definedName name="E_glide">[4]Fuel!$C$33</definedName>
    <definedName name="EI_NOx">[4]Environmental!$C$50</definedName>
    <definedName name="ep">[2]Const.!#REF!</definedName>
    <definedName name="erho">[2]Const.!#REF!</definedName>
    <definedName name="euler" localSheetId="13">'[8]Preliminary Sizing II'!$C$23</definedName>
    <definedName name="euler" localSheetId="0">'[6]3.) Preliminary Sizing II'!$C$26</definedName>
    <definedName name="euler">'3.) Preliminary Sizing II'!$C$26</definedName>
    <definedName name="FL">'[4]Flight time'!$B$167</definedName>
    <definedName name="Flugzeugkonfiguration">[2]Input!#REF!</definedName>
    <definedName name="ft_to_m">[2]Const.!#REF!</definedName>
    <definedName name="fuel_km">[4]Fuel!$I$41</definedName>
    <definedName name="fuel_mile">[4]Fuel!$I$42</definedName>
    <definedName name="g" localSheetId="13">[4]Inputs_Outputs!$N$2</definedName>
    <definedName name="g" localSheetId="0">'[6]3.) Preliminary Sizing II'!$C$24</definedName>
    <definedName name="g">'3.) Preliminary Sizing II'!$C$24</definedName>
    <definedName name="g_alt">#REF!</definedName>
    <definedName name="gamma" localSheetId="13">#REF!</definedName>
    <definedName name="gamma" localSheetId="0">'[6]3.) Preliminary Sizing II'!$C$23</definedName>
    <definedName name="gamma">'3.) Preliminary Sizing II'!$C$23</definedName>
    <definedName name="H" localSheetId="13">[4]Inputs_Outputs!$J$3</definedName>
    <definedName name="H">#REF!</definedName>
    <definedName name="H_S">#REF!</definedName>
    <definedName name="Hft">[4]Inputs_Outputs!$J$4</definedName>
    <definedName name="hp_to_kW">[2]Const.!#REF!</definedName>
    <definedName name="k_inf">[4]DOC!$C$10</definedName>
    <definedName name="K_to_Rankine">[2]Const.!#REF!</definedName>
    <definedName name="ka">[2]Const.!#REF!</definedName>
    <definedName name="KALKULATION">#REF!</definedName>
    <definedName name="Kappa">'[3]Input Data'!$H$4</definedName>
    <definedName name="kg_to_lb">[2]Const.!#REF!</definedName>
    <definedName name="km_per_h_to_m_per_s">[2]Const.!#REF!</definedName>
    <definedName name="kt_to_m_per_s">[2]Const.!$C$14</definedName>
    <definedName name="kW_to_hp">[2]Const.!#REF!</definedName>
    <definedName name="L" localSheetId="13">'[3]Input Data'!$E$8</definedName>
    <definedName name="L" localSheetId="0">'[6]3.) Preliminary Sizing II'!$C$27</definedName>
    <definedName name="L">'3.) Preliminary Sizing II'!$C$27</definedName>
    <definedName name="L_D" localSheetId="13">#REF!</definedName>
    <definedName name="L_D" localSheetId="0">'[6]3.) Preliminary Sizing II'!$G$10</definedName>
    <definedName name="L_D">'3.) Preliminary Sizing II'!$G$10</definedName>
    <definedName name="L_D_max" localSheetId="13">#REF!</definedName>
    <definedName name="L_D_max" localSheetId="0">'[6]3.) Preliminary Sizing II'!$C$7</definedName>
    <definedName name="L_D_max">'3.) Preliminary Sizing II'!$C$7</definedName>
    <definedName name="L0">'[3]Input Data'!$E$10</definedName>
    <definedName name="lb_to_kg">[2]Const.!#REF!</definedName>
    <definedName name="M" localSheetId="13">[4]Inputs_Outputs!$J$2</definedName>
    <definedName name="M" localSheetId="0">'[6]3.) Preliminary Sizing II'!$C$12</definedName>
    <definedName name="M">'3.) Preliminary Sizing II'!$C$12</definedName>
    <definedName name="m_1">#REF!</definedName>
    <definedName name="m_2">#REF!</definedName>
    <definedName name="M_crit">#REF!</definedName>
    <definedName name="M_D">#REF!</definedName>
    <definedName name="m_e">[4]Inputs_Outputs!$F$8</definedName>
    <definedName name="m_MLW">#REF!</definedName>
    <definedName name="m_MTOW">#REF!</definedName>
    <definedName name="m_OE">#REF!</definedName>
    <definedName name="M_opt">[4]Inputs_Outputs!$B$13</definedName>
    <definedName name="m_per_s_to_km_per_h">[2]Const.!#REF!</definedName>
    <definedName name="m_PL" localSheetId="13">[4]DOC!$C$84</definedName>
    <definedName name="m_PL">#REF!</definedName>
    <definedName name="m_PLmax">[4]Inputs_Outputs!$B$10</definedName>
    <definedName name="m_to_ft">[2]Const.!$C$12</definedName>
    <definedName name="m_to_NM">[2]Const.!#REF!</definedName>
    <definedName name="mcoef" localSheetId="13">'[8]Preliminary Sizing II'!$I$20</definedName>
    <definedName name="mcoef" localSheetId="0">'[6]3.) Preliminary Sizing II'!#REF!</definedName>
    <definedName name="mcoef">'3.) Preliminary Sizing II'!#REF!</definedName>
    <definedName name="mF">'[7]Schneeballfaktor '!$B$9</definedName>
    <definedName name="Mff">[4]DOC!$C$43</definedName>
    <definedName name="mFmMTO">'[7]Schneeballfaktor '!$B$8</definedName>
    <definedName name="mFOB">[4]DOC!$C$50</definedName>
    <definedName name="mMPL">'[7]Schneeballfaktor '!$B$10</definedName>
    <definedName name="mMTO" localSheetId="13">'[7]Schneeballfaktor '!$B$5</definedName>
    <definedName name="mMTO">[1]Tabelle1!$B$17</definedName>
    <definedName name="mMTOG">'[7]Schneeballfaktor '!$B$13</definedName>
    <definedName name="mOE" localSheetId="13">'[7]Schneeballfaktor '!$B$7</definedName>
    <definedName name="mOE">[1]Tabelle1!$B$18</definedName>
    <definedName name="mOEmMTO">'[7]Schneeballfaktor '!$B$6</definedName>
    <definedName name="mPL">[1]Tabelle1!$B$19</definedName>
    <definedName name="MTOW">[4]Inputs_Outputs!$B$2</definedName>
    <definedName name="MZFW">[4]Inputs_Outputs!$B$6</definedName>
    <definedName name="n_E" localSheetId="13">[4]Inputs_Outputs!$F$2</definedName>
    <definedName name="n_E">'[2]PS I'!$C$65</definedName>
    <definedName name="n_PAX">[4]Inputs_Outputs!$B$11</definedName>
    <definedName name="n_shafts">[4]Inputs_Outputs!$F$7</definedName>
    <definedName name="n_stages">[4]Inputs_Outputs!$F$6</definedName>
    <definedName name="nacas">'[3]Input Data'!$F$30:$F$32</definedName>
    <definedName name="ncoef" localSheetId="13">'[8]Preliminary Sizing II'!$I$21</definedName>
    <definedName name="ncoef">'3.) Preliminary Sizing II'!$I$24</definedName>
    <definedName name="NM_to_m">[2]Const.!$C$15</definedName>
    <definedName name="nt_a">[4]DOC!$C$40</definedName>
    <definedName name="OAPR">[4]Inputs_Outputs!$F$5</definedName>
    <definedName name="OEW">[4]Inputs_Outputs!$B$9</definedName>
    <definedName name="on_off">[3]Airfoils!$AB$50:$AB$51</definedName>
    <definedName name="p" localSheetId="13">[4]Inputs_Outputs!$J$7</definedName>
    <definedName name="p">#REF!</definedName>
    <definedName name="p_t">[4]Inputs_Outputs!$N$9</definedName>
    <definedName name="p0" localSheetId="13">[4]Inputs_Outputs!$N$6</definedName>
    <definedName name="p0" localSheetId="0">'[6]3.) Preliminary Sizing II'!$C$25</definedName>
    <definedName name="p0">'3.) Preliminary Sizing II'!$C$25</definedName>
    <definedName name="phi">[4]Inputs_Outputs!$B$7</definedName>
    <definedName name="phi_0.V">#REF!</definedName>
    <definedName name="phi_rad">[4]Inputs_Outputs!$B$8</definedName>
    <definedName name="price_fuel">[4]DOC!$C$7</definedName>
    <definedName name="Prop_eff_formula">'[8]Propeller Efficiency'!$C$5</definedName>
    <definedName name="propefcruise" localSheetId="13">'[8]Preliminary Sizing II'!$C$17</definedName>
    <definedName name="propefcruise" localSheetId="0">'[6]3.) Preliminary Sizing II'!$C$16</definedName>
    <definedName name="propefcruise">'3.) Preliminary Sizing II'!$C$16</definedName>
    <definedName name="Q">'[3]Input Data'!$E$39</definedName>
    <definedName name="R_const" localSheetId="13">[4]Inputs_Outputs!$N$3</definedName>
    <definedName name="R_const">[2]Const.!$C$7</definedName>
    <definedName name="R_step">#REF!</definedName>
    <definedName name="Radius">'[3]Input Data'!$E$41</definedName>
    <definedName name="range" localSheetId="13">[4]Inputs_Outputs!$J$12</definedName>
    <definedName name="Range">#REF!</definedName>
    <definedName name="range_added">'[4]Flight time'!$B$170</definedName>
    <definedName name="range_mile">[4]DOC!$D$41</definedName>
    <definedName name="Rconstant" localSheetId="13">'[8]Preliminary Sizing II'!$C$25</definedName>
    <definedName name="Rconstant" localSheetId="0">'[6]3.) Preliminary Sizing II'!$C$28</definedName>
    <definedName name="Rconstant">'3.) Preliminary Sizing II'!$C$28</definedName>
    <definedName name="Res" localSheetId="13">#REF!</definedName>
    <definedName name="Res">#REF!</definedName>
    <definedName name="RESSOURCENBEDARF">#REF!</definedName>
    <definedName name="Reynolds">[3]Airfoils!$AB$46:$AB$48</definedName>
    <definedName name="rho" localSheetId="13">[4]Inputs_Outputs!$J$8</definedName>
    <definedName name="rho">#REF!</definedName>
    <definedName name="rho_2">#REF!</definedName>
    <definedName name="rho_S">#REF!</definedName>
    <definedName name="rho_t">[4]Inputs_Outputs!$N$10</definedName>
    <definedName name="rho0" localSheetId="13">[4]Inputs_Outputs!$N$7</definedName>
    <definedName name="rho0">[2]Const.!$C$8</definedName>
    <definedName name="Root">[3]Results!#REF!</definedName>
    <definedName name="Rt">'[3]Input Data'!$E$37</definedName>
    <definedName name="S_LFL">#REF!</definedName>
    <definedName name="S_TOFL">#REF!</definedName>
    <definedName name="S_V">#REF!</definedName>
    <definedName name="S_W">#REF!</definedName>
    <definedName name="S_W_A320">#REF!</definedName>
    <definedName name="SS">[4]Inputs_Outputs!$B$3</definedName>
    <definedName name="Swet">[4]Inputs_Outputs!#REF!</definedName>
    <definedName name="t" localSheetId="13">'[3]Input Data'!$E$43</definedName>
    <definedName name="T">#REF!</definedName>
    <definedName name="T_S">#REF!</definedName>
    <definedName name="T_t">[4]Inputs_Outputs!$N$8</definedName>
    <definedName name="T_to">[4]Inputs_Outputs!$F$4</definedName>
    <definedName name="T_TO_A1">#REF!</definedName>
    <definedName name="T_TO_B4">#REF!</definedName>
    <definedName name="t0" localSheetId="13">'[3]Input Data'!$M$6</definedName>
    <definedName name="T0" localSheetId="0">'[6]3.) Preliminary Sizing II'!$C$29</definedName>
    <definedName name="T0">'3.) Preliminary Sizing II'!$C$29</definedName>
    <definedName name="TAS">[4]Inputs_Outputs!$J$10</definedName>
    <definedName name="TAS_regulated">'[4]Flight time'!$B$166</definedName>
    <definedName name="Tau">'[3]Input Data'!$H$6</definedName>
    <definedName name="tb">[4]DOC!$C$79</definedName>
    <definedName name="tf">[4]DOC!$C$59</definedName>
    <definedName name="tf_added">'[4]Flight time'!$B$168</definedName>
    <definedName name="TSFC">[4]Fuel!$I$35</definedName>
    <definedName name="tt">'[3]Input Data'!$R$4</definedName>
    <definedName name="U">'[3]Input Data'!$E$45</definedName>
    <definedName name="Uaf">[4]DOC!$C$96</definedName>
    <definedName name="V">#REF!</definedName>
    <definedName name="V_App">#REF!</definedName>
    <definedName name="V_CR" localSheetId="13">#REF!</definedName>
    <definedName name="V_CR">'7.) Fuel cell'!$C$49</definedName>
    <definedName name="V_E">#REF!</definedName>
    <definedName name="V_md">#REF!</definedName>
    <definedName name="Vcr_Vmd">[1]Tabelle1!$B$23</definedName>
    <definedName name="Vcruise" localSheetId="13">#REF!</definedName>
    <definedName name="Vcruise">#REF!</definedName>
    <definedName name="w">'[3]Input Data'!$H$14</definedName>
    <definedName name="w_co2">[4]Inputs_Outputs!$B$164</definedName>
    <definedName name="w_doc">[4]Inputs_Outputs!$B$157</definedName>
    <definedName name="w_env">[4]Inputs_Outputs!$B$158</definedName>
    <definedName name="w_resource">[4]Inputs_Outputs!$B$163</definedName>
    <definedName name="Xn" localSheetId="13">#REF!</definedName>
    <definedName name="Xn" localSheetId="0">'[6]8.1.) Thrust Device'!#REF!</definedName>
    <definedName name="Xn">'8.1.) Thrust Device'!#REF!</definedName>
    <definedName name="xxxx">#REF!</definedName>
    <definedName name="xxxxx">#REF!</definedName>
    <definedName name="YA" localSheetId="13">#REF!</definedName>
    <definedName name="YA">#REF!</definedName>
    <definedName name="ZEITBEDARF">#REF!</definedName>
    <definedName name="ρ0" localSheetId="13">#REF!</definedName>
    <definedName name="ρ0">#REF!</definedName>
  </definedNames>
  <calcPr calcId="125725" iterate="1" iterateCount="75" iterateDelta="0.01" calcOnSave="0"/>
</workbook>
</file>

<file path=xl/calcChain.xml><?xml version="1.0" encoding="utf-8"?>
<calcChain xmlns="http://schemas.openxmlformats.org/spreadsheetml/2006/main">
  <c r="C20" i="17"/>
  <c r="C8" i="34"/>
  <c r="C9"/>
  <c r="C26" i="2"/>
  <c r="C16" i="29"/>
  <c r="C95" i="2"/>
  <c r="C74"/>
  <c r="C9" i="31"/>
  <c r="C27" i="3"/>
  <c r="C38"/>
  <c r="G16" i="31"/>
  <c r="C18" i="28"/>
  <c r="C16" i="2"/>
  <c r="C17"/>
  <c r="C43"/>
  <c r="C44"/>
  <c r="C45"/>
  <c r="C46" s="1"/>
  <c r="C39"/>
  <c r="C8" i="3"/>
  <c r="G8"/>
  <c r="B32"/>
  <c r="E32"/>
  <c r="C59" i="2"/>
  <c r="C80"/>
  <c r="C82"/>
  <c r="C28"/>
  <c r="C32"/>
  <c r="C33" s="1"/>
  <c r="B33" i="3"/>
  <c r="E33"/>
  <c r="B34"/>
  <c r="E34"/>
  <c r="B35"/>
  <c r="E35"/>
  <c r="B36"/>
  <c r="E36"/>
  <c r="B37"/>
  <c r="E37"/>
  <c r="B38"/>
  <c r="E38"/>
  <c r="B39"/>
  <c r="E39"/>
  <c r="B40"/>
  <c r="E40"/>
  <c r="B41"/>
  <c r="E41"/>
  <c r="B42"/>
  <c r="E42"/>
  <c r="B43"/>
  <c r="E43"/>
  <c r="B44"/>
  <c r="E44"/>
  <c r="B45"/>
  <c r="E45"/>
  <c r="B46"/>
  <c r="E46"/>
  <c r="B47"/>
  <c r="E47"/>
  <c r="B48"/>
  <c r="E48"/>
  <c r="B49"/>
  <c r="C49"/>
  <c r="I49" s="1"/>
  <c r="E49"/>
  <c r="B50"/>
  <c r="E50"/>
  <c r="B51"/>
  <c r="E51"/>
  <c r="B52"/>
  <c r="E52"/>
  <c r="B53"/>
  <c r="E53"/>
  <c r="B54"/>
  <c r="E54"/>
  <c r="B55"/>
  <c r="D55"/>
  <c r="E55"/>
  <c r="I55"/>
  <c r="B56"/>
  <c r="D56"/>
  <c r="E56"/>
  <c r="I56"/>
  <c r="B57"/>
  <c r="D57"/>
  <c r="E57"/>
  <c r="I57"/>
  <c r="B58"/>
  <c r="D58"/>
  <c r="E58"/>
  <c r="I58"/>
  <c r="C78"/>
  <c r="C80"/>
  <c r="F82"/>
  <c r="C85"/>
  <c r="C82"/>
  <c r="C92"/>
  <c r="C115"/>
  <c r="C119"/>
  <c r="C142"/>
  <c r="C8" i="17"/>
  <c r="C12" i="2"/>
  <c r="C19"/>
  <c r="C21"/>
  <c r="C22"/>
  <c r="C41"/>
  <c r="C61"/>
  <c r="C62"/>
  <c r="C85"/>
  <c r="C86"/>
  <c r="C92"/>
  <c r="C48" i="3"/>
  <c r="D48" s="1"/>
  <c r="C53"/>
  <c r="D53" s="1"/>
  <c r="C33"/>
  <c r="I33" s="1"/>
  <c r="C36"/>
  <c r="I36" s="1"/>
  <c r="C34"/>
  <c r="D34" s="1"/>
  <c r="C54"/>
  <c r="I54" s="1"/>
  <c r="C43"/>
  <c r="I43" s="1"/>
  <c r="C51"/>
  <c r="D51" s="1"/>
  <c r="C35"/>
  <c r="I35" s="1"/>
  <c r="C37"/>
  <c r="D37" s="1"/>
  <c r="D38"/>
  <c r="I38"/>
  <c r="C41"/>
  <c r="I41" s="1"/>
  <c r="C32"/>
  <c r="I32" s="1"/>
  <c r="C52"/>
  <c r="D52" s="1"/>
  <c r="C40"/>
  <c r="I40" s="1"/>
  <c r="C47"/>
  <c r="D47" s="1"/>
  <c r="C39"/>
  <c r="D39" s="1"/>
  <c r="C44"/>
  <c r="D44" s="1"/>
  <c r="C45"/>
  <c r="D45" s="1"/>
  <c r="C42"/>
  <c r="D42" s="1"/>
  <c r="C50"/>
  <c r="D50" s="1"/>
  <c r="C46"/>
  <c r="D46" s="1"/>
  <c r="I37"/>
  <c r="D32"/>
  <c r="I47"/>
  <c r="I39"/>
  <c r="D41"/>
  <c r="I45"/>
  <c r="F83"/>
  <c r="C71" i="2"/>
  <c r="D40" i="3" l="1"/>
  <c r="I34"/>
  <c r="D49"/>
  <c r="I48"/>
  <c r="D54"/>
  <c r="I50"/>
  <c r="D36"/>
  <c r="I44"/>
  <c r="N50"/>
  <c r="C62"/>
  <c r="N32"/>
  <c r="I52"/>
  <c r="D35"/>
  <c r="I46"/>
  <c r="I42"/>
  <c r="I53"/>
  <c r="D43"/>
  <c r="D33"/>
  <c r="I51"/>
  <c r="C47" i="2" l="1"/>
  <c r="C48"/>
  <c r="C49"/>
  <c r="C50"/>
  <c r="C51"/>
  <c r="C52"/>
  <c r="C53"/>
  <c r="C60"/>
  <c r="C64"/>
  <c r="C67"/>
  <c r="C72"/>
  <c r="C73"/>
  <c r="C75"/>
  <c r="C81"/>
  <c r="C88"/>
  <c r="C89"/>
  <c r="C93"/>
  <c r="C94"/>
  <c r="C96"/>
  <c r="C19" i="17"/>
  <c r="C21"/>
  <c r="C25"/>
  <c r="C31"/>
  <c r="C32"/>
  <c r="C7" i="28"/>
  <c r="C8"/>
  <c r="C10"/>
  <c r="C15"/>
  <c r="C20"/>
  <c r="C32"/>
  <c r="C34"/>
  <c r="C7" i="3"/>
  <c r="G9"/>
  <c r="C10"/>
  <c r="G10"/>
  <c r="C11"/>
  <c r="C13"/>
  <c r="C14"/>
  <c r="C16"/>
  <c r="F32"/>
  <c r="G32"/>
  <c r="H32"/>
  <c r="J32"/>
  <c r="K32"/>
  <c r="L32"/>
  <c r="M32"/>
  <c r="F33"/>
  <c r="G33"/>
  <c r="H33"/>
  <c r="J33"/>
  <c r="K33"/>
  <c r="L33"/>
  <c r="M33"/>
  <c r="F34"/>
  <c r="G34"/>
  <c r="H34"/>
  <c r="J34"/>
  <c r="K34"/>
  <c r="L34"/>
  <c r="M34"/>
  <c r="F35"/>
  <c r="G35"/>
  <c r="H35"/>
  <c r="J35"/>
  <c r="K35"/>
  <c r="L35"/>
  <c r="M35"/>
  <c r="F36"/>
  <c r="G36"/>
  <c r="H36"/>
  <c r="J36"/>
  <c r="K36"/>
  <c r="L36"/>
  <c r="M36"/>
  <c r="F37"/>
  <c r="G37"/>
  <c r="H37"/>
  <c r="J37"/>
  <c r="K37"/>
  <c r="L37"/>
  <c r="M37"/>
  <c r="F38"/>
  <c r="G38"/>
  <c r="H38"/>
  <c r="J38"/>
  <c r="K38"/>
  <c r="L38"/>
  <c r="M38"/>
  <c r="F39"/>
  <c r="G39"/>
  <c r="H39"/>
  <c r="J39"/>
  <c r="K39"/>
  <c r="L39"/>
  <c r="M39"/>
  <c r="F40"/>
  <c r="G40"/>
  <c r="H40"/>
  <c r="J40"/>
  <c r="K40"/>
  <c r="L40"/>
  <c r="M40"/>
  <c r="F41"/>
  <c r="G41"/>
  <c r="H41"/>
  <c r="J41"/>
  <c r="K41"/>
  <c r="L41"/>
  <c r="M41"/>
  <c r="F42"/>
  <c r="G42"/>
  <c r="H42"/>
  <c r="J42"/>
  <c r="K42"/>
  <c r="L42"/>
  <c r="M42"/>
  <c r="F43"/>
  <c r="G43"/>
  <c r="H43"/>
  <c r="J43"/>
  <c r="K43"/>
  <c r="L43"/>
  <c r="M43"/>
  <c r="F44"/>
  <c r="G44"/>
  <c r="H44"/>
  <c r="J44"/>
  <c r="K44"/>
  <c r="L44"/>
  <c r="M44"/>
  <c r="F45"/>
  <c r="G45"/>
  <c r="H45"/>
  <c r="J45"/>
  <c r="K45"/>
  <c r="L45"/>
  <c r="M45"/>
  <c r="F46"/>
  <c r="G46"/>
  <c r="H46"/>
  <c r="J46"/>
  <c r="K46"/>
  <c r="L46"/>
  <c r="M46"/>
  <c r="F47"/>
  <c r="G47"/>
  <c r="H47"/>
  <c r="J47"/>
  <c r="K47"/>
  <c r="L47"/>
  <c r="M47"/>
  <c r="F48"/>
  <c r="G48"/>
  <c r="H48"/>
  <c r="J48"/>
  <c r="K48"/>
  <c r="L48"/>
  <c r="M48"/>
  <c r="F49"/>
  <c r="G49"/>
  <c r="H49"/>
  <c r="J49"/>
  <c r="K49"/>
  <c r="L49"/>
  <c r="M49"/>
  <c r="F50"/>
  <c r="G50"/>
  <c r="H50"/>
  <c r="J50"/>
  <c r="K50"/>
  <c r="L50"/>
  <c r="M50"/>
  <c r="F51"/>
  <c r="G51"/>
  <c r="H51"/>
  <c r="J51"/>
  <c r="K51"/>
  <c r="L51"/>
  <c r="M51"/>
  <c r="F52"/>
  <c r="G52"/>
  <c r="H52"/>
  <c r="J52"/>
  <c r="K52"/>
  <c r="L52"/>
  <c r="M52"/>
  <c r="F53"/>
  <c r="G53"/>
  <c r="H53"/>
  <c r="J53"/>
  <c r="K53"/>
  <c r="L53"/>
  <c r="M53"/>
  <c r="F54"/>
  <c r="G54"/>
  <c r="H54"/>
  <c r="J54"/>
  <c r="K54"/>
  <c r="L54"/>
  <c r="M54"/>
  <c r="F55"/>
  <c r="G55"/>
  <c r="H55"/>
  <c r="J55"/>
  <c r="K55"/>
  <c r="L55"/>
  <c r="M55"/>
  <c r="F56"/>
  <c r="G56"/>
  <c r="H56"/>
  <c r="J56"/>
  <c r="K56"/>
  <c r="L56"/>
  <c r="M56"/>
  <c r="F57"/>
  <c r="G57"/>
  <c r="H57"/>
  <c r="J57"/>
  <c r="K57"/>
  <c r="L57"/>
  <c r="M57"/>
  <c r="F58"/>
  <c r="G58"/>
  <c r="H58"/>
  <c r="J58"/>
  <c r="K58"/>
  <c r="L58"/>
  <c r="M58"/>
  <c r="C63"/>
  <c r="C64"/>
  <c r="C65"/>
  <c r="C66"/>
  <c r="C67"/>
  <c r="C68"/>
  <c r="C69"/>
  <c r="C70"/>
  <c r="C71"/>
  <c r="C73"/>
  <c r="C86"/>
  <c r="C88"/>
  <c r="C89"/>
  <c r="C90"/>
  <c r="C93"/>
  <c r="C94"/>
  <c r="C95"/>
  <c r="C105"/>
  <c r="C106"/>
  <c r="C107"/>
  <c r="C108"/>
  <c r="C110"/>
  <c r="C112"/>
  <c r="C121"/>
  <c r="C122"/>
  <c r="C123"/>
  <c r="C124"/>
  <c r="C125"/>
  <c r="C126"/>
  <c r="C127"/>
  <c r="C128"/>
  <c r="C129"/>
  <c r="F129"/>
  <c r="C130"/>
  <c r="C132"/>
  <c r="C133"/>
  <c r="C134"/>
  <c r="C136"/>
  <c r="C137"/>
  <c r="C140"/>
  <c r="C143"/>
  <c r="C145"/>
  <c r="C148"/>
  <c r="F148"/>
  <c r="E149"/>
  <c r="E150"/>
  <c r="C8" i="30"/>
  <c r="C9"/>
  <c r="C13"/>
  <c r="C14"/>
  <c r="C17"/>
  <c r="C18"/>
  <c r="C19"/>
  <c r="C21"/>
  <c r="C22"/>
  <c r="C25"/>
  <c r="C26"/>
  <c r="C27"/>
  <c r="C29"/>
  <c r="C33"/>
  <c r="C34"/>
  <c r="C6" i="27"/>
  <c r="C7"/>
  <c r="C8"/>
  <c r="C9"/>
  <c r="C10"/>
  <c r="C11"/>
  <c r="C12"/>
  <c r="C14"/>
  <c r="C3" i="33"/>
  <c r="C11"/>
  <c r="C19"/>
  <c r="C20"/>
  <c r="C21"/>
  <c r="C26"/>
  <c r="C27"/>
  <c r="C28"/>
  <c r="C29"/>
  <c r="C30"/>
  <c r="C31"/>
  <c r="C32"/>
  <c r="C33"/>
  <c r="C37"/>
  <c r="C38"/>
  <c r="C39"/>
  <c r="C40"/>
  <c r="C41"/>
  <c r="C42"/>
  <c r="C49"/>
  <c r="C52"/>
  <c r="C57"/>
  <c r="C59"/>
  <c r="C18" i="29"/>
  <c r="C19"/>
  <c r="C21"/>
  <c r="C23"/>
  <c r="C24"/>
  <c r="C26"/>
  <c r="C27"/>
  <c r="C3" i="32"/>
  <c r="C5"/>
  <c r="C6"/>
  <c r="C7"/>
  <c r="C9"/>
  <c r="C6" i="31"/>
  <c r="C7"/>
  <c r="C8"/>
  <c r="C11"/>
  <c r="C16"/>
  <c r="C17"/>
  <c r="G17"/>
  <c r="C18"/>
  <c r="C19"/>
  <c r="C24"/>
  <c r="C25"/>
  <c r="C28"/>
  <c r="C29"/>
  <c r="C31"/>
  <c r="C1" i="34"/>
  <c r="C10"/>
  <c r="C11"/>
  <c r="C13"/>
  <c r="C17"/>
  <c r="C19"/>
  <c r="C20"/>
  <c r="C22"/>
</calcChain>
</file>

<file path=xl/sharedStrings.xml><?xml version="1.0" encoding="utf-8"?>
<sst xmlns="http://schemas.openxmlformats.org/spreadsheetml/2006/main" count="1162" uniqueCount="811">
  <si>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</si>
  <si>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</si>
  <si>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</si>
  <si>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</si>
  <si>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</si>
  <si>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</si>
  <si>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</si>
  <si>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</si>
  <si>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</si>
  <si>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</si>
  <si>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</si>
  <si>
    <t>g</t>
  </si>
  <si>
    <t>m/s²</t>
  </si>
  <si>
    <t>Pa</t>
  </si>
  <si>
    <t>h [km]</t>
  </si>
  <si>
    <t>h [ft]</t>
  </si>
  <si>
    <t>p(h) [Pa]</t>
  </si>
  <si>
    <t>K</t>
  </si>
  <si>
    <t>R</t>
  </si>
  <si>
    <t>FAR Part 121</t>
  </si>
  <si>
    <t>domestic</t>
  </si>
  <si>
    <t>s</t>
  </si>
  <si>
    <t>Phase</t>
  </si>
  <si>
    <t>taxi</t>
  </si>
  <si>
    <t>take-off</t>
  </si>
  <si>
    <t>climb</t>
  </si>
  <si>
    <t>descent</t>
  </si>
  <si>
    <t>landing</t>
  </si>
  <si>
    <t>kg</t>
  </si>
  <si>
    <t>m²</t>
  </si>
  <si>
    <t>lb</t>
  </si>
  <si>
    <t>m³</t>
  </si>
  <si>
    <t>check:</t>
  </si>
  <si>
    <t>&gt;</t>
  </si>
  <si>
    <r>
      <t>C</t>
    </r>
    <r>
      <rPr>
        <vertAlign val="subscript"/>
        <sz val="10"/>
        <rFont val="Arial"/>
        <family val="2"/>
      </rPr>
      <t>D,0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</si>
  <si>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</si>
  <si>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</si>
  <si>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</si>
  <si>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</si>
  <si>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t>m/s -&gt; kt</t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</si>
  <si>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</si>
  <si>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</si>
  <si>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</si>
  <si>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</si>
  <si>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</si>
  <si>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</si>
  <si>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V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</si>
  <si>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</si>
  <si>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</si>
  <si>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</si>
  <si>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</si>
  <si>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</si>
  <si>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</si>
  <si>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</si>
  <si>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</si>
  <si>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</si>
  <si>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</si>
  <si>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</si>
  <si>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</si>
  <si>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</si>
  <si>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</si>
  <si>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</si>
  <si>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</si>
  <si>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</si>
  <si>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</si>
  <si>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</si>
  <si>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</si>
  <si>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</si>
  <si>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</si>
  <si>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</si>
  <si>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</si>
  <si>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</si>
  <si>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</si>
  <si>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</si>
  <si>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</si>
  <si>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</si>
  <si>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</si>
  <si>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</si>
  <si>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</si>
  <si>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</si>
  <si>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</si>
  <si>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</si>
  <si>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</si>
  <si>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</si>
  <si>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</si>
  <si>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</si>
  <si>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</si>
  <si>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</si>
  <si>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</si>
  <si>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</si>
  <si>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</si>
  <si>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</si>
  <si>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</si>
  <si>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</si>
  <si>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</si>
  <si>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</si>
  <si>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</si>
  <si>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</si>
  <si>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</si>
  <si>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</si>
  <si>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</si>
  <si>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</si>
  <si>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</si>
  <si>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</si>
  <si>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</si>
  <si>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</si>
  <si>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</si>
  <si>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m</t>
    </r>
    <r>
      <rPr>
        <vertAlign val="subscript"/>
        <sz val="10"/>
        <rFont val="Arial"/>
        <family val="2"/>
      </rPr>
      <t>F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</si>
  <si>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</si>
  <si>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</si>
  <si>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</si>
  <si>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</si>
  <si>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</si>
  <si>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</si>
  <si>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</si>
  <si>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</si>
  <si>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</si>
  <si>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</si>
  <si>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</si>
  <si>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</si>
  <si>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</si>
  <si>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</si>
  <si>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</si>
  <si>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</si>
  <si>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</si>
  <si>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</si>
  <si>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</si>
  <si>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</si>
  <si>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</si>
  <si>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</si>
  <si>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</si>
  <si>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</si>
  <si>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</si>
  <si>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</si>
  <si>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</si>
  <si>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</si>
  <si>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</si>
  <si>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</si>
  <si>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</si>
  <si>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</si>
  <si>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</si>
  <si>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</si>
  <si>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</si>
  <si>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</si>
  <si>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</si>
  <si>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</si>
  <si>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</si>
  <si>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</si>
  <si>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</si>
  <si>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</si>
  <si>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</si>
  <si>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</si>
  <si>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</si>
  <si>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</si>
  <si>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</si>
  <si>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</si>
  <si>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</si>
  <si>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</si>
  <si>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r>
      <t>k</t>
    </r>
    <r>
      <rPr>
        <vertAlign val="subscript"/>
        <sz val="10"/>
        <rFont val="Arial"/>
        <family val="2"/>
      </rPr>
      <t>E    chosen</t>
    </r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</si>
  <si>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</si>
  <si>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</si>
  <si>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</si>
  <si>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Oswald eff. factor, clean</t>
  </si>
  <si>
    <t>Constants</t>
  </si>
  <si>
    <t>Earth acceleration</t>
  </si>
  <si>
    <t>Air pressure, ISA, standard</t>
  </si>
  <si>
    <t>Euler number</t>
  </si>
  <si>
    <t>Wing loading</t>
  </si>
  <si>
    <t>Design range</t>
  </si>
  <si>
    <t>Distance to alternate</t>
  </si>
  <si>
    <t>Extra-fuel for long range</t>
  </si>
  <si>
    <t>typical value</t>
  </si>
  <si>
    <t>Extra time:</t>
  </si>
  <si>
    <t>Extra flight distance</t>
  </si>
  <si>
    <t>Breguet-Factor, cruise</t>
  </si>
  <si>
    <t>Fuel-Fraction, cruise</t>
  </si>
  <si>
    <t>Loiter time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</si>
  <si>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</si>
  <si>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</si>
  <si>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</si>
  <si>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</si>
  <si>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</si>
  <si>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</si>
  <si>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</si>
  <si>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</si>
  <si>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</si>
  <si>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</si>
  <si>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</si>
  <si>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</si>
  <si>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</si>
  <si>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</si>
  <si>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</si>
  <si>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</si>
  <si>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</si>
  <si>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</si>
  <si>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</si>
  <si>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</si>
  <si>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</si>
  <si>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</si>
  <si>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</si>
  <si>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</si>
  <si>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</si>
  <si>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</si>
  <si>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</si>
  <si>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</si>
  <si>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</si>
  <si>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</si>
  <si>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</si>
  <si>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</si>
  <si>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</si>
  <si>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</si>
  <si>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</si>
  <si>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</si>
  <si>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</si>
  <si>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</si>
  <si>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</si>
  <si>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</si>
  <si>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</si>
  <si>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</si>
  <si>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Slope</t>
  </si>
  <si>
    <t>Max. lift coefficient, landing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</si>
  <si>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</si>
  <si>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</si>
  <si>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</si>
  <si>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</si>
  <si>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</si>
  <si>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</si>
  <si>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</si>
  <si>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</si>
  <si>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t>yes</t>
  </si>
  <si>
    <t>no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</si>
  <si>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</si>
  <si>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Ratio of specific heats, air (adiabatic index)</t>
  </si>
  <si>
    <r>
      <t>&lt;&lt;&lt;&lt; Choose according to task</t>
    </r>
    <r>
      <rPr>
        <sz val="10"/>
        <rFont val="Arial"/>
        <family val="2"/>
      </rPr>
      <t xml:space="preserve"> </t>
    </r>
  </si>
  <si>
    <t>Calculations for flight phases approach, landing, take-off, 2nd segment and missed approach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</si>
  <si>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</si>
  <si>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t>Lift-coefficient, landing</t>
  </si>
  <si>
    <r>
      <t>C</t>
    </r>
    <r>
      <rPr>
        <sz val="8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</si>
  <si>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  </t>
    </r>
  </si>
  <si>
    <r>
      <t>Lift coefficient, C</t>
    </r>
    <r>
      <rPr>
        <sz val="8"/>
        <rFont val="Arial"/>
        <family val="2"/>
      </rPr>
      <t>L,md</t>
    </r>
  </si>
  <si>
    <r>
      <t>C</t>
    </r>
    <r>
      <rPr>
        <sz val="8"/>
        <rFont val="Arial"/>
        <family val="2"/>
      </rPr>
      <t>L,md</t>
    </r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</si>
  <si>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L,md</t>
    </r>
  </si>
  <si>
    <r>
      <t>V/V</t>
    </r>
    <r>
      <rPr>
        <vertAlign val="subscript"/>
        <sz val="10"/>
        <rFont val="Arial"/>
        <family val="2"/>
      </rPr>
      <t>md</t>
    </r>
  </si>
  <si>
    <t>T[K]</t>
  </si>
  <si>
    <t>σ</t>
  </si>
  <si>
    <t>relative density</t>
  </si>
  <si>
    <t>and presure in troposphere</t>
  </si>
  <si>
    <t>Lapse rate in troposphere</t>
  </si>
  <si>
    <t>L</t>
  </si>
  <si>
    <t>K/m</t>
  </si>
  <si>
    <t>Gas constant</t>
  </si>
  <si>
    <r>
      <t>M</t>
    </r>
    <r>
      <rPr>
        <vertAlign val="subscript"/>
        <sz val="10"/>
        <rFont val="Arial"/>
        <family val="2"/>
      </rPr>
      <t xml:space="preserve">CR   </t>
    </r>
  </si>
  <si>
    <r>
      <t>Chose:</t>
    </r>
    <r>
      <rPr>
        <sz val="10"/>
        <rFont val="Arial"/>
        <family val="2"/>
      </rPr>
      <t xml:space="preserve"> FAR Part121-Reserves</t>
    </r>
  </si>
  <si>
    <t>Propeller efficiency</t>
  </si>
  <si>
    <r>
      <t>SFC</t>
    </r>
    <r>
      <rPr>
        <vertAlign val="subscript"/>
        <sz val="10"/>
        <rFont val="Arial"/>
        <family val="2"/>
      </rPr>
      <t>P</t>
    </r>
  </si>
  <si>
    <t>index</t>
  </si>
  <si>
    <t>TO</t>
  </si>
  <si>
    <t>CLB</t>
  </si>
  <si>
    <t>DES</t>
  </si>
  <si>
    <t>ES</t>
  </si>
  <si>
    <t>T</t>
  </si>
  <si>
    <t>value</t>
  </si>
  <si>
    <t xml:space="preserve">            mOE+mMPL+mF,res       </t>
  </si>
  <si>
    <r>
      <t>k</t>
    </r>
    <r>
      <rPr>
        <vertAlign val="subscript"/>
        <sz val="10"/>
        <rFont val="Arial"/>
        <family val="2"/>
      </rPr>
      <t xml:space="preserve">TO               </t>
    </r>
  </si>
  <si>
    <t>2. segment</t>
  </si>
  <si>
    <t>Missed Approach</t>
  </si>
  <si>
    <t>slope, a</t>
  </si>
  <si>
    <t>Cruise</t>
  </si>
  <si>
    <t xml:space="preserve">               Landing</t>
  </si>
  <si>
    <t xml:space="preserve">             Take-off</t>
  </si>
  <si>
    <t>Power-to-weight ratio</t>
  </si>
  <si>
    <r>
      <t xml:space="preserve">     in landing position (selected from literature), and </t>
    </r>
    <r>
      <rPr>
        <u/>
        <sz val="10"/>
        <color indexed="62"/>
        <rFont val="Arial"/>
        <family val="2"/>
      </rPr>
      <t>landing field length</t>
    </r>
  </si>
  <si>
    <r>
      <t>## this block provides a max value for</t>
    </r>
    <r>
      <rPr>
        <i/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wing loading</t>
    </r>
  </si>
  <si>
    <r>
      <t xml:space="preserve">## this block provides a minimum value for </t>
    </r>
    <r>
      <rPr>
        <b/>
        <i/>
        <sz val="10"/>
        <color indexed="62"/>
        <rFont val="Arial"/>
        <family val="2"/>
      </rPr>
      <t>power to weight</t>
    </r>
    <r>
      <rPr>
        <sz val="10"/>
        <color indexed="62"/>
        <rFont val="Arial"/>
        <family val="2"/>
      </rPr>
      <t xml:space="preserve"> </t>
    </r>
  </si>
  <si>
    <t>## these blocks refer to climb rate in 2nd seg and during missed</t>
  </si>
  <si>
    <r>
      <t xml:space="preserve">    approach and provide </t>
    </r>
    <r>
      <rPr>
        <b/>
        <i/>
        <sz val="10"/>
        <color indexed="62"/>
        <rFont val="Arial"/>
        <family val="2"/>
      </rPr>
      <t>min values for power to weight ratio</t>
    </r>
  </si>
  <si>
    <r>
      <t xml:space="preserve">     while the input value is </t>
    </r>
    <r>
      <rPr>
        <u/>
        <sz val="10"/>
        <color indexed="62"/>
        <rFont val="Arial"/>
        <family val="2"/>
      </rPr>
      <t>lift to drag ratio</t>
    </r>
    <r>
      <rPr>
        <sz val="10"/>
        <color indexed="62"/>
        <rFont val="Arial"/>
        <family val="2"/>
      </rPr>
      <t xml:space="preserve"> </t>
    </r>
  </si>
  <si>
    <t>Calculation of power-to-weight ratio</t>
  </si>
  <si>
    <r>
      <t>k</t>
    </r>
    <r>
      <rPr>
        <vertAlign val="subscript"/>
        <sz val="10"/>
        <rFont val="Arial"/>
        <family val="2"/>
      </rPr>
      <t xml:space="preserve">E                </t>
    </r>
  </si>
  <si>
    <r>
      <t xml:space="preserve">## The set of relationships between </t>
    </r>
    <r>
      <rPr>
        <b/>
        <i/>
        <sz val="10"/>
        <color indexed="62"/>
        <rFont val="Arial"/>
        <family val="2"/>
      </rPr>
      <t>power to weight ratio and the</t>
    </r>
  </si>
  <si>
    <r>
      <rPr>
        <b/>
        <i/>
        <sz val="10"/>
        <color indexed="62"/>
        <rFont val="Arial"/>
        <family val="2"/>
      </rPr>
      <t>wing loading</t>
    </r>
    <r>
      <rPr>
        <sz val="10"/>
        <color indexed="62"/>
        <rFont val="Arial"/>
        <family val="2"/>
      </rPr>
      <t xml:space="preserve"> represented in the matching chart give a</t>
    </r>
    <r>
      <rPr>
        <u/>
        <sz val="10"/>
        <color indexed="62"/>
        <rFont val="Arial"/>
        <family val="2"/>
      </rPr>
      <t xml:space="preserve"> single pair</t>
    </r>
    <r>
      <rPr>
        <sz val="10"/>
        <color indexed="62"/>
        <rFont val="Arial"/>
        <family val="2"/>
      </rPr>
      <t xml:space="preserve"> of values</t>
    </r>
  </si>
  <si>
    <t>T-O power of ONE engine</t>
  </si>
  <si>
    <t>Propeller Efficiency-2nd Segment</t>
  </si>
  <si>
    <t>ηP</t>
  </si>
  <si>
    <t>Propeller Efficiency-Missed Approach</t>
  </si>
  <si>
    <t>Propeller Efficiency-Cruise</t>
  </si>
  <si>
    <t>kg/W/s</t>
  </si>
  <si>
    <t>W</t>
  </si>
  <si>
    <t>start-up</t>
  </si>
  <si>
    <t>Cruise altitude</t>
  </si>
  <si>
    <t>Standard temperature,sea level</t>
  </si>
  <si>
    <t>Fuselage</t>
  </si>
  <si>
    <t>Wing</t>
  </si>
  <si>
    <t xml:space="preserve">       temperature at any H</t>
  </si>
  <si>
    <t>chosen</t>
  </si>
  <si>
    <t>(from worksheet 4)</t>
  </si>
  <si>
    <t>(from worksheet 3)</t>
  </si>
  <si>
    <t>Preliminary Sizing I</t>
  </si>
  <si>
    <t>Preliminary Sizing II</t>
  </si>
  <si>
    <t>Author:</t>
  </si>
  <si>
    <t>HAW Hamburg</t>
  </si>
  <si>
    <t>Dipl.-Ing. Mihaela Nita</t>
  </si>
  <si>
    <t>For more information see the following links:</t>
  </si>
  <si>
    <r>
      <t xml:space="preserve">SCHOLZ, Dieter; NIŢĂ, Mihaela: </t>
    </r>
    <r>
      <rPr>
        <b/>
        <sz val="10"/>
        <rFont val="Arial"/>
        <family val="2"/>
      </rPr>
      <t>Preliminary Sizing of Large Propeller Driven Aeroplanes</t>
    </r>
  </si>
  <si>
    <t>http://Aero.ProfScholz.de</t>
  </si>
  <si>
    <t>Prof. Dr.-Ing. Dieter Scholz, MSME</t>
  </si>
  <si>
    <r>
      <t xml:space="preserve">     in take-off config. and </t>
    </r>
    <r>
      <rPr>
        <u/>
        <sz val="10"/>
        <color indexed="62"/>
        <rFont val="Arial"/>
        <family val="2"/>
      </rPr>
      <t>take-off field length</t>
    </r>
  </si>
  <si>
    <t>## this block provides a min value for power to weight ratio</t>
  </si>
  <si>
    <t xml:space="preserve">     and also the cruise altitude; the input values are lift to drag </t>
  </si>
  <si>
    <t xml:space="preserve">     characteristics of the atmosphere</t>
  </si>
  <si>
    <t>1 m = 3,281 ft</t>
  </si>
  <si>
    <r>
      <t xml:space="preserve">that meet </t>
    </r>
    <r>
      <rPr>
        <u/>
        <sz val="10"/>
        <color indexed="62"/>
        <rFont val="Arial"/>
        <family val="2"/>
      </rPr>
      <t>all requirements</t>
    </r>
    <r>
      <rPr>
        <sz val="10"/>
        <color indexed="62"/>
        <rFont val="Arial"/>
        <family val="2"/>
      </rPr>
      <t xml:space="preserve"> and constraints in an economical manner----&gt;see below</t>
    </r>
  </si>
  <si>
    <t>Specific fuel consumption</t>
  </si>
  <si>
    <t>Fuel-Fraction, extra flight distance</t>
  </si>
  <si>
    <t>Specific fuel consumption, loiter</t>
  </si>
  <si>
    <r>
      <t>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</si>
  <si>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</si>
  <si>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t>http://paper.ProfScholz.de</t>
  </si>
  <si>
    <t>Stall speed, landing configuration</t>
  </si>
  <si>
    <t>Stall speed, take-off configuration</t>
  </si>
  <si>
    <r>
      <t>P</t>
    </r>
    <r>
      <rPr>
        <vertAlign val="subscript"/>
        <sz val="10"/>
        <rFont val="Arial"/>
        <family val="2"/>
      </rPr>
      <t>STO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MTO,</t>
    </r>
    <r>
      <rPr>
        <sz val="10"/>
        <rFont val="Arial"/>
        <family val="2"/>
      </rPr>
      <t xml:space="preserve">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</si>
  <si>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W/kg</t>
  </si>
  <si>
    <t>&lt;&lt;&lt;&lt; from 7.) Propeller Efficiency</t>
  </si>
  <si>
    <t>a [m/s]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</si>
  <si>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</si>
  <si>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r>
      <t>P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/P</t>
    </r>
    <r>
      <rPr>
        <vertAlign val="subscript"/>
        <sz val="10"/>
        <rFont val="Arial"/>
        <family val="2"/>
      </rPr>
      <t>S,TO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</si>
  <si>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[W/kg]</t>
    </r>
  </si>
  <si>
    <r>
      <t xml:space="preserve"> 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</si>
  <si>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</si>
  <si>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</si>
  <si>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t>K m² / s²</t>
  </si>
  <si>
    <r>
      <t>T</t>
    </r>
    <r>
      <rPr>
        <vertAlign val="subscript"/>
        <sz val="10"/>
        <rFont val="Arial"/>
        <family val="2"/>
      </rPr>
      <t>0</t>
    </r>
  </si>
  <si>
    <t>Maximum lift coefficient, take-off</t>
  </si>
  <si>
    <t>Take-off safety speed</t>
  </si>
  <si>
    <r>
      <t>V</t>
    </r>
    <r>
      <rPr>
        <vertAlign val="subscript"/>
        <sz val="10"/>
        <rFont val="Arial"/>
        <family val="2"/>
      </rPr>
      <t>S,0</t>
    </r>
  </si>
  <si>
    <r>
      <t>V</t>
    </r>
    <r>
      <rPr>
        <vertAlign val="subscript"/>
        <sz val="10"/>
        <rFont val="Arial"/>
        <family val="2"/>
      </rPr>
      <t>S,1</t>
    </r>
  </si>
  <si>
    <r>
      <t>V</t>
    </r>
    <r>
      <rPr>
        <vertAlign val="subscript"/>
        <sz val="10"/>
        <rFont val="Arial"/>
        <family val="2"/>
      </rPr>
      <t>2</t>
    </r>
  </si>
  <si>
    <r>
      <t>η</t>
    </r>
    <r>
      <rPr>
        <vertAlign val="subscript"/>
        <sz val="10"/>
        <rFont val="Arial"/>
        <family val="2"/>
      </rPr>
      <t>P</t>
    </r>
  </si>
  <si>
    <r>
      <t xml:space="preserve">    </t>
    </r>
    <r>
      <rPr>
        <b/>
        <i/>
        <sz val="10"/>
        <color indexed="62"/>
        <rFont val="Arial"/>
        <family val="2"/>
      </rPr>
      <t xml:space="preserve"> ratio</t>
    </r>
    <r>
      <rPr>
        <sz val="10"/>
        <color indexed="62"/>
        <rFont val="Arial"/>
        <family val="2"/>
      </rPr>
      <t xml:space="preserve"> </t>
    </r>
    <r>
      <rPr>
        <b/>
        <i/>
        <sz val="10"/>
        <color indexed="62"/>
        <rFont val="Arial"/>
        <family val="2"/>
      </rPr>
      <t>as a function of wing loading</t>
    </r>
    <r>
      <rPr>
        <sz val="10"/>
        <color indexed="62"/>
        <rFont val="Arial"/>
        <family val="2"/>
      </rPr>
      <t xml:space="preserve"> dependent of </t>
    </r>
    <r>
      <rPr>
        <u/>
        <sz val="10"/>
        <color indexed="62"/>
        <rFont val="Arial"/>
        <family val="2"/>
      </rPr>
      <t>max lift coefficient</t>
    </r>
  </si>
  <si>
    <r>
      <t xml:space="preserve">     when input data are </t>
    </r>
    <r>
      <rPr>
        <u/>
        <sz val="10"/>
        <color indexed="62"/>
        <rFont val="Arial"/>
        <family val="2"/>
      </rPr>
      <t>max lift  coefficient</t>
    </r>
    <r>
      <rPr>
        <sz val="10"/>
        <color indexed="62"/>
        <rFont val="Arial"/>
        <family val="2"/>
      </rPr>
      <t xml:space="preserve"> with flaps</t>
    </r>
  </si>
  <si>
    <r>
      <t>in case of a redesign: C</t>
    </r>
    <r>
      <rPr>
        <vertAlign val="subscript"/>
        <sz val="10"/>
        <rFont val="Arial"/>
        <family val="2"/>
      </rPr>
      <t>L,max,L</t>
    </r>
    <r>
      <rPr>
        <sz val="10"/>
        <rFont val="Arial"/>
        <family val="2"/>
      </rPr>
      <t xml:space="preserve"> can be estimated from:</t>
    </r>
  </si>
  <si>
    <r>
      <t>V</t>
    </r>
    <r>
      <rPr>
        <vertAlign val="subscript"/>
        <sz val="10"/>
        <rFont val="Arial"/>
        <family val="2"/>
      </rPr>
      <t>S,0</t>
    </r>
    <r>
      <rPr>
        <sz val="10"/>
        <rFont val="Arial"/>
        <family val="2"/>
      </rPr>
      <t xml:space="preserve"> see below</t>
    </r>
  </si>
  <si>
    <r>
      <t>C</t>
    </r>
    <r>
      <rPr>
        <vertAlign val="subscript"/>
        <sz val="10"/>
        <rFont val="Arial"/>
        <family val="2"/>
      </rPr>
      <t>L,max,L</t>
    </r>
  </si>
  <si>
    <t>Propeller disc area</t>
  </si>
  <si>
    <t>Disc loading</t>
  </si>
  <si>
    <t>Propeller disc diameter</t>
  </si>
  <si>
    <r>
      <t>d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</si>
  <si>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</si>
  <si>
    <r>
      <t>L</t>
    </r>
    <r>
      <rPr>
        <vertAlign val="subscript"/>
        <sz val="10"/>
        <rFont val="Arial"/>
        <family val="2"/>
      </rPr>
      <t>D</t>
    </r>
  </si>
  <si>
    <t>all eng. together</t>
  </si>
  <si>
    <t>Calculating propeller efficiency</t>
  </si>
  <si>
    <t>with Take-Off power setting</t>
  </si>
  <si>
    <t xml:space="preserve">     ratio, the given cruise Mach number, engine parameters and</t>
  </si>
  <si>
    <t>Remark:</t>
  </si>
  <si>
    <r>
      <t>P</t>
    </r>
    <r>
      <rPr>
        <vertAlign val="subscript"/>
        <sz val="10"/>
        <rFont val="Arial"/>
        <family val="2"/>
      </rPr>
      <t>S,TO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</si>
  <si>
    <t>Relative power in cruise</t>
  </si>
  <si>
    <t>from statistics for turboprops (Jenkinson 1999)</t>
  </si>
  <si>
    <t>CR power of ONE engine</t>
  </si>
  <si>
    <t>Disc loading, estimated</t>
  </si>
  <si>
    <r>
      <t>L</t>
    </r>
    <r>
      <rPr>
        <vertAlign val="subscript"/>
        <sz val="10"/>
        <rFont val="Arial"/>
        <family val="2"/>
      </rPr>
      <t>D   calculated</t>
    </r>
  </si>
  <si>
    <t>Relative density in cruise</t>
  </si>
  <si>
    <t>Temperature in cruise</t>
  </si>
  <si>
    <r>
      <t>h</t>
    </r>
    <r>
      <rPr>
        <vertAlign val="subscript"/>
        <sz val="10"/>
        <rFont val="Arial"/>
        <family val="2"/>
      </rPr>
      <t>CR</t>
    </r>
  </si>
  <si>
    <t>ft</t>
  </si>
  <si>
    <t>Cruise speed, calculated</t>
  </si>
  <si>
    <t>Speed of sound</t>
  </si>
  <si>
    <r>
      <t>V</t>
    </r>
    <r>
      <rPr>
        <vertAlign val="subscript"/>
        <sz val="10"/>
        <rFont val="Arial"/>
        <family val="2"/>
      </rPr>
      <t>CR    3. iteration</t>
    </r>
  </si>
  <si>
    <t>kWm/kg</t>
  </si>
  <si>
    <t xml:space="preserve"> for retractable propeller aircraft</t>
  </si>
  <si>
    <t xml:space="preserve"> for large propeller driven aircraft: statistics give a value 11,22 --- See 1.) Parameters-Statistics</t>
  </si>
  <si>
    <t xml:space="preserve"> Roskam / Raymer (see FE-Script)</t>
  </si>
  <si>
    <t xml:space="preserve">These worksheets show the method and example calculation </t>
  </si>
  <si>
    <t>http://www.profscholz.de</t>
  </si>
  <si>
    <r>
      <t xml:space="preserve">for the </t>
    </r>
    <r>
      <rPr>
        <b/>
        <sz val="12"/>
        <color indexed="10"/>
        <rFont val="Arial"/>
        <family val="2"/>
      </rPr>
      <t>preliminary sizing of large propeller driven aircrafts</t>
    </r>
    <r>
      <rPr>
        <b/>
        <sz val="12"/>
        <rFont val="Arial"/>
        <family val="2"/>
      </rPr>
      <t xml:space="preserve"> certified with respect to CS-25.</t>
    </r>
  </si>
  <si>
    <t>see below</t>
  </si>
  <si>
    <t>Average take-off safety speed</t>
  </si>
  <si>
    <r>
      <t>0,707 * V</t>
    </r>
    <r>
      <rPr>
        <vertAlign val="subscript"/>
        <sz val="10"/>
        <rFont val="Arial"/>
        <family val="2"/>
      </rPr>
      <t>2</t>
    </r>
  </si>
  <si>
    <t>from Take-Off</t>
  </si>
  <si>
    <t>Excess Volume boil-off</t>
  </si>
  <si>
    <t>number of tanks</t>
  </si>
  <si>
    <t>kW</t>
  </si>
  <si>
    <t>Radius of the tank</t>
  </si>
  <si>
    <t>Length cylindric part of ONE tank</t>
  </si>
  <si>
    <t>overall lenght of ONE tank</t>
  </si>
  <si>
    <t>Surface of the ONE tank</t>
  </si>
  <si>
    <t>mass of ONE tank</t>
  </si>
  <si>
    <t>mass tank per surface</t>
  </si>
  <si>
    <t>mass insulation ONE tank</t>
  </si>
  <si>
    <t>mass insulation per surface</t>
  </si>
  <si>
    <t>mass attachments ONE tank</t>
  </si>
  <si>
    <t>mass attachments per volume</t>
  </si>
  <si>
    <t>mass of ONE tank system</t>
  </si>
  <si>
    <r>
      <t>m</t>
    </r>
    <r>
      <rPr>
        <vertAlign val="subscript"/>
        <sz val="10"/>
        <rFont val="Arial"/>
        <family val="2"/>
      </rPr>
      <t>ts</t>
    </r>
  </si>
  <si>
    <t>mass of fuel containment system</t>
  </si>
  <si>
    <t>mass fuel cells</t>
  </si>
  <si>
    <t>kW/kg</t>
  </si>
  <si>
    <t>mass electric propulsion system</t>
  </si>
  <si>
    <t>mass of the electronic motor</t>
  </si>
  <si>
    <t>mass power electronics</t>
  </si>
  <si>
    <t>mass cooling electric motor</t>
  </si>
  <si>
    <t>total mass electric propulsion system</t>
  </si>
  <si>
    <t>fuel cell efficiency</t>
  </si>
  <si>
    <t>waste heat</t>
  </si>
  <si>
    <t>specific heat capacity hydrogen</t>
  </si>
  <si>
    <t>kJ/kg/K</t>
  </si>
  <si>
    <t>storage temperature hydrogen</t>
  </si>
  <si>
    <t>Energy line heater fuel cell</t>
  </si>
  <si>
    <t>exzessive waste heat</t>
  </si>
  <si>
    <t>fuel cell thermal managment system</t>
  </si>
  <si>
    <t>condenser</t>
  </si>
  <si>
    <t>refrigerant compressor</t>
  </si>
  <si>
    <t>compressor electric motor</t>
  </si>
  <si>
    <t>refrigerant tank</t>
  </si>
  <si>
    <t>refrigerant and pipes</t>
  </si>
  <si>
    <t>heat exchanger H2-Refrigerant</t>
  </si>
  <si>
    <t>Expansion valves</t>
  </si>
  <si>
    <t>air system TMS</t>
  </si>
  <si>
    <t>coolant pumps</t>
  </si>
  <si>
    <t>coolant tanks</t>
  </si>
  <si>
    <t>pipes and coolant</t>
  </si>
  <si>
    <t>water system</t>
  </si>
  <si>
    <t>water pump</t>
  </si>
  <si>
    <t>water tank</t>
  </si>
  <si>
    <t>time for takeoff run and reaching 1000 m over ground</t>
  </si>
  <si>
    <t>sec</t>
  </si>
  <si>
    <t>air water seperator</t>
  </si>
  <si>
    <t>Mass of the hydrogen propulsion system</t>
  </si>
  <si>
    <t>Check operating empty weight</t>
  </si>
  <si>
    <t>maximum zero fuel weight H2 plane</t>
  </si>
  <si>
    <t>kWh/kg</t>
  </si>
  <si>
    <t>efficiency fuel cell</t>
  </si>
  <si>
    <t>efficiency eletric motor</t>
  </si>
  <si>
    <t>efficiency eletric converter</t>
  </si>
  <si>
    <t>efficiency gear box</t>
  </si>
  <si>
    <t>efficiency power propulsion system cruise</t>
  </si>
  <si>
    <t>efficiency power propulsion system takeoff</t>
  </si>
  <si>
    <t>power demand cruise</t>
  </si>
  <si>
    <t>total power demand cruise</t>
  </si>
  <si>
    <t>fuel flow cruise</t>
  </si>
  <si>
    <t>kg/s</t>
  </si>
  <si>
    <t>specific fuel consumption cruise</t>
  </si>
  <si>
    <t>kg/N/s</t>
  </si>
  <si>
    <t>propulsive power demand takeoff</t>
  </si>
  <si>
    <t>additonal power demand condensers TO</t>
  </si>
  <si>
    <t>total power demand takeoff</t>
  </si>
  <si>
    <t>fuel flow takeoff</t>
  </si>
  <si>
    <r>
      <t>P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/P</t>
    </r>
    <r>
      <rPr>
        <vertAlign val="subscript"/>
        <sz val="10"/>
        <rFont val="Arial"/>
        <family val="2"/>
      </rPr>
      <t>SSL</t>
    </r>
  </si>
  <si>
    <t>power density fuel cell future</t>
  </si>
  <si>
    <t>power density fuel cell current</t>
  </si>
  <si>
    <t>mass to power ratio future</t>
  </si>
  <si>
    <t>mass to power ratio current</t>
  </si>
  <si>
    <t>zero lift drag coefficient</t>
  </si>
  <si>
    <t>Oswald eff. factor, clean, example plan</t>
  </si>
  <si>
    <t>drag coefficient heat exchanger</t>
  </si>
  <si>
    <t>drag coefficient heat exchanger hoerner</t>
  </si>
  <si>
    <t>max. glide ratio</t>
  </si>
  <si>
    <r>
      <t>V</t>
    </r>
    <r>
      <rPr>
        <vertAlign val="subscript"/>
        <sz val="10"/>
        <rFont val="Arial"/>
        <family val="2"/>
      </rPr>
      <t xml:space="preserve">CR    </t>
    </r>
  </si>
  <si>
    <t>horizontal tail</t>
  </si>
  <si>
    <t>vertical tail</t>
  </si>
  <si>
    <t>nacelle</t>
  </si>
  <si>
    <t>wetted area h2 plane</t>
  </si>
  <si>
    <t>diameter of the fuselage</t>
  </si>
  <si>
    <t>lenght of the fuselage h2 plane</t>
  </si>
  <si>
    <t>length fuselage example plane</t>
  </si>
  <si>
    <t>slenderness ratio</t>
  </si>
  <si>
    <t>wetted area fuselage</t>
  </si>
  <si>
    <t>exposed wing area</t>
  </si>
  <si>
    <t>τ</t>
  </si>
  <si>
    <t>λ</t>
  </si>
  <si>
    <t>wetted area wing</t>
  </si>
  <si>
    <t>wetted area horizontal tail</t>
  </si>
  <si>
    <t>wetted area vertical tail</t>
  </si>
  <si>
    <t>wetted area nacelle</t>
  </si>
  <si>
    <t>sizing considerations heat exchanger</t>
  </si>
  <si>
    <t>Isobaric mass heat capacity air</t>
  </si>
  <si>
    <t>tempature ambient air</t>
  </si>
  <si>
    <t>tempature inlet coolant</t>
  </si>
  <si>
    <t>total temperature difference</t>
  </si>
  <si>
    <t>needed mass flow air</t>
  </si>
  <si>
    <t>needed mass flow water</t>
  </si>
  <si>
    <t>needed air inlet</t>
  </si>
  <si>
    <t>density air sea-level</t>
  </si>
  <si>
    <r>
      <rPr>
        <sz val="10"/>
        <rFont val="Calibri"/>
        <family val="2"/>
      </rPr>
      <t>ρ</t>
    </r>
    <r>
      <rPr>
        <sz val="10"/>
        <rFont val="Arial"/>
        <family val="2"/>
      </rPr>
      <t>air</t>
    </r>
  </si>
  <si>
    <t>N</t>
  </si>
  <si>
    <t>core drag cruise</t>
  </si>
  <si>
    <t>core drag power cruise</t>
  </si>
  <si>
    <t>Take-off power first iteration</t>
  </si>
  <si>
    <t>T-O power of ONE engine first iteration</t>
  </si>
  <si>
    <t>power demand taxxing</t>
  </si>
  <si>
    <t xml:space="preserve">friction coefficient </t>
  </si>
  <si>
    <t>taxi speed</t>
  </si>
  <si>
    <t>time for taxxing</t>
  </si>
  <si>
    <t>from sheet 8</t>
  </si>
  <si>
    <t>from sheet 9</t>
  </si>
  <si>
    <t xml:space="preserve">Calculating the efficiency and fuel consumption </t>
  </si>
  <si>
    <t>from Gesell et al.</t>
  </si>
  <si>
    <t xml:space="preserve">Take-off power </t>
  </si>
  <si>
    <t xml:space="preserve">T-O power of ONE engine </t>
  </si>
  <si>
    <t>includes the additional drag power of the heat exchanger</t>
  </si>
  <si>
    <r>
      <t>C</t>
    </r>
    <r>
      <rPr>
        <vertAlign val="subscript"/>
        <sz val="10"/>
        <rFont val="Arial"/>
        <family val="2"/>
      </rPr>
      <t>D0</t>
    </r>
  </si>
  <si>
    <r>
      <t>C</t>
    </r>
    <r>
      <rPr>
        <vertAlign val="subscript"/>
        <sz val="10"/>
        <rFont val="Arial"/>
        <family val="2"/>
      </rPr>
      <t>D,hex</t>
    </r>
  </si>
  <si>
    <t>calculation max. glide ratio with additional drag due to the heat exchanger</t>
  </si>
  <si>
    <t>Efficiency of the powertrain</t>
  </si>
  <si>
    <t>additional drag power condensers cruise</t>
  </si>
  <si>
    <t>calculated power demand during cruise flight</t>
  </si>
  <si>
    <t>additional core drag power of the heat exchanger</t>
  </si>
  <si>
    <t>total power demand during cruise</t>
  </si>
  <si>
    <t>hydrogen fuel flow during cruise</t>
  </si>
  <si>
    <t>specific fuel consumption during cruise</t>
  </si>
  <si>
    <t>the minimum number are two tanks</t>
  </si>
  <si>
    <t>choosen according to the diameter of the fuselage of the plane</t>
  </si>
  <si>
    <t>Westenberger 2003, includes all atachments to the tank</t>
  </si>
  <si>
    <t>Seekt 2010, foam insulation of the tank</t>
  </si>
  <si>
    <t xml:space="preserve">Seekt 2010 </t>
  </si>
  <si>
    <t>Dimension and weight of the fuel containment system</t>
  </si>
  <si>
    <t>Kadyk et al. 2018</t>
  </si>
  <si>
    <t>Gesell et al 2018</t>
  </si>
  <si>
    <t>Flyzero 2021</t>
  </si>
  <si>
    <t>Flyzero 2022</t>
  </si>
  <si>
    <t>Mass of CFM56</t>
  </si>
  <si>
    <t>Calculation of the wetted area of the plane</t>
  </si>
  <si>
    <t>Butterworth-Heinemann 2000</t>
  </si>
  <si>
    <t>max. glide with the external drag from the heat exchanger</t>
  </si>
  <si>
    <t>coefficient of operative empty mass of the hydrogen plane and the max take-off mass</t>
  </si>
  <si>
    <r>
      <t>V</t>
    </r>
    <r>
      <rPr>
        <vertAlign val="subscript"/>
        <sz val="10"/>
        <rFont val="Arial"/>
        <family val="2"/>
      </rPr>
      <t>i</t>
    </r>
  </si>
  <si>
    <t>thickness of the insulation</t>
  </si>
  <si>
    <t>oversizing factor fuel cell</t>
  </si>
  <si>
    <t>mass  DC-DC converter</t>
  </si>
  <si>
    <t>Rotational speed propeller</t>
  </si>
  <si>
    <t>rpm</t>
  </si>
  <si>
    <t xml:space="preserve">mass estimation </t>
  </si>
  <si>
    <t>Number of blades</t>
  </si>
  <si>
    <t>B</t>
  </si>
  <si>
    <t>Propeller Disc Diameter</t>
  </si>
  <si>
    <t>Propeller Disc Area</t>
  </si>
  <si>
    <t>Propeller disc loading</t>
  </si>
  <si>
    <t>number of main rotors</t>
  </si>
  <si>
    <t>takeoff</t>
  </si>
  <si>
    <t>-</t>
  </si>
  <si>
    <t>2nd segment</t>
  </si>
  <si>
    <t>missed approach</t>
  </si>
  <si>
    <t>cruise</t>
  </si>
  <si>
    <t>S</t>
  </si>
  <si>
    <t>k</t>
  </si>
  <si>
    <t>mass estimation ONE propeller</t>
  </si>
  <si>
    <t>mass estimation ALL propeller</t>
  </si>
  <si>
    <t>tank and cabin combined</t>
  </si>
  <si>
    <t>according to preliminary sizing II</t>
  </si>
  <si>
    <r>
      <t>l</t>
    </r>
    <r>
      <rPr>
        <vertAlign val="subscript"/>
        <sz val="10"/>
        <rFont val="Arial"/>
        <family val="2"/>
      </rPr>
      <t>Fex</t>
    </r>
  </si>
  <si>
    <r>
      <t>d</t>
    </r>
    <r>
      <rPr>
        <vertAlign val="subscript"/>
        <sz val="10"/>
        <rFont val="Arial"/>
        <family val="2"/>
      </rPr>
      <t>F</t>
    </r>
  </si>
  <si>
    <r>
      <t>l</t>
    </r>
    <r>
      <rPr>
        <vertAlign val="subscript"/>
        <sz val="10"/>
        <rFont val="Arial"/>
        <family val="2"/>
      </rPr>
      <t>F,hydrogen</t>
    </r>
  </si>
  <si>
    <r>
      <rPr>
        <sz val="10"/>
        <rFont val="Calibri"/>
        <family val="2"/>
      </rPr>
      <t>λ</t>
    </r>
    <r>
      <rPr>
        <vertAlign val="subscript"/>
        <sz val="10"/>
        <rFont val="Arial"/>
        <family val="2"/>
      </rPr>
      <t>F</t>
    </r>
  </si>
  <si>
    <r>
      <t>S</t>
    </r>
    <r>
      <rPr>
        <vertAlign val="subscript"/>
        <sz val="10"/>
        <rFont val="Arial"/>
        <family val="2"/>
      </rPr>
      <t>wet,F</t>
    </r>
  </si>
  <si>
    <r>
      <t>t/c</t>
    </r>
    <r>
      <rPr>
        <vertAlign val="subscript"/>
        <sz val="10"/>
        <rFont val="Arial"/>
        <family val="2"/>
      </rPr>
      <t>t</t>
    </r>
  </si>
  <si>
    <r>
      <t>t/c</t>
    </r>
    <r>
      <rPr>
        <vertAlign val="subscript"/>
        <sz val="10"/>
        <rFont val="Arial"/>
        <family val="2"/>
      </rPr>
      <t>r</t>
    </r>
  </si>
  <si>
    <r>
      <t>S</t>
    </r>
    <r>
      <rPr>
        <vertAlign val="subscript"/>
        <sz val="10"/>
        <rFont val="Arial"/>
        <family val="2"/>
      </rPr>
      <t>wet,W</t>
    </r>
  </si>
  <si>
    <r>
      <t>S</t>
    </r>
    <r>
      <rPr>
        <vertAlign val="subscript"/>
        <sz val="10"/>
        <rFont val="Arial"/>
        <family val="2"/>
      </rPr>
      <t>wet,H</t>
    </r>
  </si>
  <si>
    <r>
      <t>S</t>
    </r>
    <r>
      <rPr>
        <vertAlign val="subscript"/>
        <sz val="10"/>
        <rFont val="Arial"/>
        <family val="2"/>
      </rPr>
      <t>wet,V</t>
    </r>
  </si>
  <si>
    <r>
      <t>S</t>
    </r>
    <r>
      <rPr>
        <vertAlign val="subscript"/>
        <sz val="10"/>
        <rFont val="Arial"/>
        <family val="2"/>
      </rPr>
      <t>wet,nacelle</t>
    </r>
  </si>
  <si>
    <r>
      <t>S</t>
    </r>
    <r>
      <rPr>
        <vertAlign val="subscript"/>
        <sz val="10"/>
        <rFont val="Arial"/>
        <family val="2"/>
      </rPr>
      <t>wet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</si>
  <si>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</si>
  <si>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r>
      <rPr>
        <sz val="10"/>
        <rFont val="Calibri"/>
        <family val="2"/>
      </rPr>
      <t>Δ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all</t>
    </r>
  </si>
  <si>
    <r>
      <t>m</t>
    </r>
    <r>
      <rPr>
        <vertAlign val="subscript"/>
        <sz val="10"/>
        <rFont val="Arial"/>
        <family val="2"/>
      </rPr>
      <t>air</t>
    </r>
  </si>
  <si>
    <r>
      <t>m</t>
    </r>
    <r>
      <rPr>
        <vertAlign val="subscript"/>
        <sz val="10"/>
        <rFont val="Arial"/>
        <family val="2"/>
      </rPr>
      <t>water</t>
    </r>
  </si>
  <si>
    <r>
      <t>A</t>
    </r>
    <r>
      <rPr>
        <vertAlign val="subscript"/>
        <sz val="10"/>
        <rFont val="Arial"/>
        <family val="2"/>
      </rPr>
      <t>inlet</t>
    </r>
  </si>
  <si>
    <t>Isobaric mass heat capacity R1233 liquid</t>
  </si>
  <si>
    <t>latent heat vaporisation</t>
  </si>
  <si>
    <t>kJ/kg</t>
  </si>
  <si>
    <t>Climalife 2014</t>
  </si>
  <si>
    <t>important for the drag considerations, sized for take-off speed</t>
  </si>
  <si>
    <t>maximum Temperature that could emitted to the ambient air</t>
  </si>
  <si>
    <t>ISA +40 conditions</t>
  </si>
  <si>
    <t xml:space="preserve">FlyZero </t>
  </si>
  <si>
    <t>mass to power ratio cooling electric motor</t>
  </si>
  <si>
    <t>mass to power ratio DC-DC converter</t>
  </si>
  <si>
    <t>mass to power ratio power electronics</t>
  </si>
  <si>
    <t>rejected heat/weight condensor</t>
  </si>
  <si>
    <t>rejected heat/weight refrigerant compressor</t>
  </si>
  <si>
    <t>rejected heat/weight compressor electric motors</t>
  </si>
  <si>
    <t>rejected heat/weight refrigerant tank</t>
  </si>
  <si>
    <t>rejected heat/weight refrigerant and pipes</t>
  </si>
  <si>
    <t>rejected heat/weight heat exchanger H2-Refrigerant</t>
  </si>
  <si>
    <t>rejected heat/weight expansion valves</t>
  </si>
  <si>
    <t>heat  exchanger air pre-cooler</t>
  </si>
  <si>
    <t>rejected heat/weight heat  exchanger air pre-cooler</t>
  </si>
  <si>
    <t>heat  exchanger hydrogen pre-cooler</t>
  </si>
  <si>
    <t>rejected heat/weight refrigerant heat  exchanger hydrogen pre-cooler</t>
  </si>
  <si>
    <t>rejected heat/weight coolant pumps</t>
  </si>
  <si>
    <t>rejected heat/weight coolant tanks</t>
  </si>
  <si>
    <t>rejected heat/weight pipes and coolant</t>
  </si>
  <si>
    <t>from sheet 1</t>
  </si>
  <si>
    <t>Wm/kg</t>
  </si>
  <si>
    <t>from Hepperle 2012</t>
  </si>
  <si>
    <t>weight of the hydrogen-electric powertrain</t>
  </si>
  <si>
    <t>weight of the conventional propulsion</t>
  </si>
  <si>
    <t>operative empty weight of the hydrogen plane (excluding the conventional propulsion)</t>
  </si>
  <si>
    <t xml:space="preserve">&lt;&lt;&lt;&lt; from sheet 8.1.) </t>
  </si>
  <si>
    <t>&lt;&lt;&lt;&lt; from sheet 8.1.)</t>
  </si>
  <si>
    <t>The calculation is ilustrated with modified data from the Airbus A320-200.</t>
  </si>
  <si>
    <t>The basic method of the preliminary sizing of the aircraft is shown in the worksheets "Preliminary Sizing I", "Max. Glide Ratio in Cruise", "Preliminary Sizing II".</t>
  </si>
  <si>
    <t>and the worksheets "Wetted Area", "Fuel consumption", "Fuel Containment System", "Fuel Cell System", "Heat Exchanger", "Electric Propulsion System", "Thrust Device", "Mass H2 Powertrain" have been added</t>
  </si>
  <si>
    <t>Max. Glide Ratio in Cruise</t>
  </si>
  <si>
    <t>from sheet 2.1.</t>
  </si>
  <si>
    <r>
      <t>P</t>
    </r>
    <r>
      <rPr>
        <vertAlign val="subscript"/>
        <sz val="10"/>
        <rFont val="Arial"/>
        <family val="2"/>
      </rPr>
      <t>S,CR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    calculated</t>
    </r>
  </si>
  <si>
    <t>FlyZero</t>
  </si>
  <si>
    <t xml:space="preserve"> temperature fuel cell feed</t>
  </si>
  <si>
    <t>total waste heat of the fuel cell system</t>
  </si>
  <si>
    <t>waste heat utilized for preconditioning the hydrogen fuel feed</t>
  </si>
  <si>
    <t>remaining waste heat to emitted to the ambient air</t>
  </si>
  <si>
    <t>W. Johnson 2015.</t>
  </si>
  <si>
    <t>Teeuwen 2018</t>
  </si>
  <si>
    <r>
      <t>ω</t>
    </r>
    <r>
      <rPr>
        <vertAlign val="subscript"/>
        <sz val="10"/>
        <rFont val="Arial"/>
        <family val="2"/>
      </rPr>
      <t>prop</t>
    </r>
  </si>
  <si>
    <r>
      <t>ω</t>
    </r>
    <r>
      <rPr>
        <vertAlign val="subscript"/>
        <sz val="10"/>
        <rFont val="Arial"/>
        <family val="2"/>
      </rPr>
      <t>eng</t>
    </r>
  </si>
  <si>
    <r>
      <t>N</t>
    </r>
    <r>
      <rPr>
        <vertAlign val="subscript"/>
        <sz val="10"/>
        <rFont val="Arial"/>
        <family val="2"/>
      </rPr>
      <t>rotor</t>
    </r>
  </si>
  <si>
    <r>
      <t>ηP</t>
    </r>
    <r>
      <rPr>
        <vertAlign val="subscript"/>
        <sz val="10"/>
        <rFont val="Arial"/>
        <family val="2"/>
      </rPr>
      <t>TO</t>
    </r>
  </si>
  <si>
    <r>
      <t>ηP</t>
    </r>
    <r>
      <rPr>
        <vertAlign val="subscript"/>
        <sz val="10"/>
        <rFont val="Arial"/>
        <family val="2"/>
      </rPr>
      <t>2ndS</t>
    </r>
  </si>
  <si>
    <r>
      <t>ηP</t>
    </r>
    <r>
      <rPr>
        <vertAlign val="subscript"/>
        <sz val="10"/>
        <rFont val="Arial"/>
        <family val="2"/>
      </rPr>
      <t>MA</t>
    </r>
  </si>
  <si>
    <r>
      <t>ηP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</si>
  <si>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prop,s</t>
    </r>
  </si>
  <si>
    <r>
      <t>m</t>
    </r>
    <r>
      <rPr>
        <vertAlign val="subscript"/>
        <sz val="10"/>
        <rFont val="Arial"/>
        <family val="2"/>
      </rPr>
      <t>prop</t>
    </r>
  </si>
  <si>
    <r>
      <t>m</t>
    </r>
    <r>
      <rPr>
        <vertAlign val="subscript"/>
        <sz val="10"/>
        <rFont val="Arial"/>
        <family val="2"/>
      </rPr>
      <t>gb</t>
    </r>
  </si>
  <si>
    <t>mass estimation gearbox ALL Gearbox</t>
  </si>
  <si>
    <r>
      <t>m</t>
    </r>
    <r>
      <rPr>
        <vertAlign val="subscript"/>
        <sz val="10"/>
        <rFont val="Arial"/>
        <family val="2"/>
      </rPr>
      <t>gb,S</t>
    </r>
  </si>
  <si>
    <t>maximum take-off weight H2 plane</t>
  </si>
  <si>
    <t>rotational speed electrical engine</t>
  </si>
  <si>
    <r>
      <t>cp</t>
    </r>
    <r>
      <rPr>
        <vertAlign val="subscript"/>
        <sz val="10"/>
        <rFont val="Arial"/>
        <family val="2"/>
      </rPr>
      <t>h2</t>
    </r>
  </si>
  <si>
    <t>total mass fuel cell tms</t>
  </si>
  <si>
    <t>total mass air system tms</t>
  </si>
  <si>
    <t>total mass water system</t>
  </si>
  <si>
    <t xml:space="preserve">total mass tms </t>
  </si>
  <si>
    <t>total mass fuel cell system</t>
  </si>
  <si>
    <r>
      <t>m</t>
    </r>
    <r>
      <rPr>
        <vertAlign val="subscript"/>
        <sz val="10"/>
        <rFont val="Arial"/>
        <family val="2"/>
      </rPr>
      <t>FCS</t>
    </r>
  </si>
  <si>
    <r>
      <t>m</t>
    </r>
    <r>
      <rPr>
        <vertAlign val="subscript"/>
        <sz val="10"/>
        <rFont val="Arial"/>
        <family val="2"/>
      </rPr>
      <t>FC</t>
    </r>
  </si>
  <si>
    <r>
      <t>m</t>
    </r>
    <r>
      <rPr>
        <vertAlign val="subscript"/>
        <sz val="10"/>
        <rFont val="Arial"/>
        <family val="2"/>
      </rPr>
      <t>C</t>
    </r>
  </si>
  <si>
    <r>
      <t>m</t>
    </r>
    <r>
      <rPr>
        <vertAlign val="subscript"/>
        <sz val="10"/>
        <rFont val="Arial"/>
        <family val="2"/>
      </rPr>
      <t>RC</t>
    </r>
  </si>
  <si>
    <r>
      <t>m</t>
    </r>
    <r>
      <rPr>
        <vertAlign val="subscript"/>
        <sz val="10"/>
        <rFont val="Arial"/>
        <family val="2"/>
      </rPr>
      <t>CEL</t>
    </r>
  </si>
  <si>
    <r>
      <t>m</t>
    </r>
    <r>
      <rPr>
        <vertAlign val="subscript"/>
        <sz val="10"/>
        <rFont val="Arial"/>
        <family val="2"/>
      </rPr>
      <t>RT</t>
    </r>
  </si>
  <si>
    <r>
      <t>m</t>
    </r>
    <r>
      <rPr>
        <vertAlign val="subscript"/>
        <sz val="10"/>
        <rFont val="Arial"/>
        <family val="2"/>
      </rPr>
      <t>RP</t>
    </r>
  </si>
  <si>
    <r>
      <t>m</t>
    </r>
    <r>
      <rPr>
        <vertAlign val="subscript"/>
        <sz val="10"/>
        <rFont val="Arial"/>
        <family val="2"/>
      </rPr>
      <t>EV</t>
    </r>
  </si>
  <si>
    <r>
      <t>m</t>
    </r>
    <r>
      <rPr>
        <vertAlign val="subscript"/>
        <sz val="10"/>
        <rFont val="Arial"/>
        <family val="2"/>
      </rPr>
      <t>FC,TMS</t>
    </r>
  </si>
  <si>
    <r>
      <t>m</t>
    </r>
    <r>
      <rPr>
        <vertAlign val="subscript"/>
        <sz val="10"/>
        <rFont val="Arial"/>
        <family val="2"/>
      </rPr>
      <t>HX,air</t>
    </r>
  </si>
  <si>
    <r>
      <t>m</t>
    </r>
    <r>
      <rPr>
        <vertAlign val="subscript"/>
        <sz val="10"/>
        <rFont val="Arial"/>
        <family val="2"/>
      </rPr>
      <t>CP</t>
    </r>
  </si>
  <si>
    <r>
      <t>m</t>
    </r>
    <r>
      <rPr>
        <vertAlign val="subscript"/>
        <sz val="10"/>
        <rFont val="Arial"/>
        <family val="2"/>
      </rPr>
      <t>CT</t>
    </r>
  </si>
  <si>
    <r>
      <t>m</t>
    </r>
    <r>
      <rPr>
        <vertAlign val="subscript"/>
        <sz val="10"/>
        <rFont val="Arial"/>
        <family val="2"/>
      </rPr>
      <t>WP</t>
    </r>
  </si>
  <si>
    <r>
      <t>m</t>
    </r>
    <r>
      <rPr>
        <vertAlign val="subscript"/>
        <sz val="10"/>
        <rFont val="Arial"/>
        <family val="2"/>
      </rPr>
      <t>WT</t>
    </r>
  </si>
  <si>
    <r>
      <t>m</t>
    </r>
    <r>
      <rPr>
        <vertAlign val="subscript"/>
        <sz val="10"/>
        <rFont val="Arial"/>
        <family val="2"/>
      </rPr>
      <t>AWS</t>
    </r>
  </si>
  <si>
    <r>
      <t>m</t>
    </r>
    <r>
      <rPr>
        <vertAlign val="subscript"/>
        <sz val="10"/>
        <rFont val="Arial"/>
        <family val="2"/>
      </rPr>
      <t>WS</t>
    </r>
  </si>
  <si>
    <r>
      <t>m</t>
    </r>
    <r>
      <rPr>
        <vertAlign val="subscript"/>
        <sz val="10"/>
        <rFont val="Arial"/>
        <family val="2"/>
      </rPr>
      <t>TMS</t>
    </r>
  </si>
  <si>
    <t>number of engine example plane</t>
  </si>
  <si>
    <r>
      <t>N</t>
    </r>
    <r>
      <rPr>
        <vertAlign val="subscript"/>
        <sz val="10"/>
        <rFont val="Arial"/>
        <family val="2"/>
      </rPr>
      <t>E,ex</t>
    </r>
  </si>
  <si>
    <r>
      <t>m</t>
    </r>
    <r>
      <rPr>
        <vertAlign val="subscript"/>
        <sz val="10"/>
        <rFont val="Arial"/>
        <family val="2"/>
      </rPr>
      <t>cp,ex</t>
    </r>
  </si>
  <si>
    <r>
      <t>m</t>
    </r>
    <r>
      <rPr>
        <vertAlign val="subscript"/>
        <sz val="10"/>
        <rFont val="Arial"/>
        <family val="2"/>
      </rPr>
      <t>HPS</t>
    </r>
  </si>
  <si>
    <t>core drag take-off</t>
  </si>
  <si>
    <t>core drag power take-off</t>
  </si>
  <si>
    <r>
      <t>P</t>
    </r>
    <r>
      <rPr>
        <vertAlign val="subscript"/>
        <sz val="10"/>
        <rFont val="Arial"/>
        <family val="2"/>
      </rPr>
      <t>core,CR</t>
    </r>
  </si>
  <si>
    <r>
      <t>P</t>
    </r>
    <r>
      <rPr>
        <vertAlign val="subscript"/>
        <sz val="10"/>
        <rFont val="Arial"/>
        <family val="2"/>
      </rPr>
      <t>core,TO</t>
    </r>
  </si>
  <si>
    <r>
      <t>P</t>
    </r>
    <r>
      <rPr>
        <vertAlign val="subscript"/>
        <sz val="10"/>
        <rFont val="Arial"/>
        <family val="2"/>
      </rPr>
      <t>WH</t>
    </r>
  </si>
  <si>
    <r>
      <t>P</t>
    </r>
    <r>
      <rPr>
        <vertAlign val="subscript"/>
        <sz val="10"/>
        <rFont val="Arial"/>
        <family val="2"/>
      </rPr>
      <t>LH</t>
    </r>
  </si>
  <si>
    <r>
      <t>P</t>
    </r>
    <r>
      <rPr>
        <vertAlign val="subscript"/>
        <sz val="10"/>
        <rFont val="Arial"/>
        <family val="2"/>
      </rPr>
      <t>EWH</t>
    </r>
  </si>
  <si>
    <r>
      <t>c</t>
    </r>
    <r>
      <rPr>
        <vertAlign val="subscript"/>
        <sz val="10"/>
        <rFont val="Arial"/>
        <family val="2"/>
      </rPr>
      <t>p,air</t>
    </r>
  </si>
  <si>
    <r>
      <t>c</t>
    </r>
    <r>
      <rPr>
        <vertAlign val="subscript"/>
        <sz val="10"/>
        <rFont val="Arial"/>
        <family val="2"/>
      </rPr>
      <t>p,r1233,liquid</t>
    </r>
  </si>
  <si>
    <r>
      <t>ΔH</t>
    </r>
    <r>
      <rPr>
        <vertAlign val="subscript"/>
        <sz val="10"/>
        <rFont val="Arial"/>
        <family val="2"/>
      </rPr>
      <t>v,R1233</t>
    </r>
  </si>
  <si>
    <t>boiling tempature 11 bar</t>
  </si>
  <si>
    <t>Isobaric mass heat capacity R1233 vapour</t>
  </si>
  <si>
    <r>
      <t>c</t>
    </r>
    <r>
      <rPr>
        <vertAlign val="subscript"/>
        <sz val="10"/>
        <rFont val="Arial"/>
        <family val="2"/>
      </rPr>
      <t>p,r1233,vapour</t>
    </r>
  </si>
  <si>
    <r>
      <t>T</t>
    </r>
    <r>
      <rPr>
        <vertAlign val="subscript"/>
        <sz val="10"/>
        <rFont val="Arial"/>
        <family val="2"/>
      </rPr>
      <t>Br1233</t>
    </r>
  </si>
  <si>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air,in</t>
    </r>
  </si>
  <si>
    <r>
      <t>T</t>
    </r>
    <r>
      <rPr>
        <vertAlign val="subscript"/>
        <sz val="10"/>
        <rFont val="Arial"/>
        <family val="2"/>
      </rPr>
      <t>cool,in</t>
    </r>
  </si>
  <si>
    <r>
      <t>D</t>
    </r>
    <r>
      <rPr>
        <vertAlign val="subscript"/>
        <sz val="10"/>
        <rFont val="Arial"/>
        <family val="2"/>
      </rPr>
      <t>core,CR</t>
    </r>
  </si>
  <si>
    <r>
      <t>D</t>
    </r>
    <r>
      <rPr>
        <vertAlign val="subscript"/>
        <sz val="10"/>
        <rFont val="Arial"/>
        <family val="2"/>
      </rPr>
      <t>core,TO</t>
    </r>
  </si>
  <si>
    <r>
      <t>φ</t>
    </r>
    <r>
      <rPr>
        <vertAlign val="subscript"/>
        <sz val="10"/>
        <rFont val="Calibri"/>
        <family val="2"/>
      </rPr>
      <t>FC,ct</t>
    </r>
  </si>
  <si>
    <r>
      <t>φ</t>
    </r>
    <r>
      <rPr>
        <vertAlign val="subscript"/>
        <sz val="10"/>
        <rFont val="Calibri"/>
        <family val="2"/>
      </rPr>
      <t>FC,ft</t>
    </r>
  </si>
  <si>
    <r>
      <t>of</t>
    </r>
    <r>
      <rPr>
        <vertAlign val="subscript"/>
        <sz val="10"/>
        <rFont val="Arial"/>
        <family val="2"/>
      </rPr>
      <t>FC</t>
    </r>
  </si>
  <si>
    <r>
      <t>η</t>
    </r>
    <r>
      <rPr>
        <vertAlign val="subscript"/>
        <sz val="10"/>
        <rFont val="Calibri"/>
        <family val="2"/>
      </rPr>
      <t>FC</t>
    </r>
  </si>
  <si>
    <r>
      <t>m</t>
    </r>
    <r>
      <rPr>
        <vertAlign val="subscript"/>
        <sz val="10"/>
        <rFont val="Arial"/>
        <family val="2"/>
      </rPr>
      <t>ATTach</t>
    </r>
    <r>
      <rPr>
        <sz val="10"/>
        <rFont val="Arial"/>
        <family val="2"/>
      </rPr>
      <t>/V</t>
    </r>
    <r>
      <rPr>
        <vertAlign val="subscript"/>
        <sz val="10"/>
        <rFont val="Arial"/>
        <family val="2"/>
      </rPr>
      <t>Tank</t>
    </r>
  </si>
  <si>
    <r>
      <t>m</t>
    </r>
    <r>
      <rPr>
        <vertAlign val="subscript"/>
        <sz val="10"/>
        <rFont val="Arial"/>
        <family val="2"/>
      </rPr>
      <t>INS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TANK</t>
    </r>
  </si>
  <si>
    <r>
      <t>S</t>
    </r>
    <r>
      <rPr>
        <vertAlign val="subscript"/>
        <sz val="10"/>
        <rFont val="Arial"/>
        <family val="2"/>
      </rPr>
      <t>TANK</t>
    </r>
  </si>
  <si>
    <r>
      <t>R</t>
    </r>
    <r>
      <rPr>
        <vertAlign val="subscript"/>
        <sz val="10"/>
        <rFont val="Arial"/>
        <family val="2"/>
      </rPr>
      <t>TANK</t>
    </r>
  </si>
  <si>
    <r>
      <t>N</t>
    </r>
    <r>
      <rPr>
        <vertAlign val="subscript"/>
        <sz val="10"/>
        <rFont val="Arial"/>
        <family val="2"/>
      </rPr>
      <t>TANK</t>
    </r>
  </si>
  <si>
    <r>
      <t>m</t>
    </r>
    <r>
      <rPr>
        <vertAlign val="subscript"/>
        <sz val="10"/>
        <rFont val="Arial"/>
        <family val="2"/>
      </rPr>
      <t>TANK</t>
    </r>
  </si>
  <si>
    <r>
      <t>m</t>
    </r>
    <r>
      <rPr>
        <vertAlign val="subscript"/>
        <sz val="10"/>
        <rFont val="Arial"/>
        <family val="2"/>
      </rPr>
      <t>INS</t>
    </r>
  </si>
  <si>
    <r>
      <t>m</t>
    </r>
    <r>
      <rPr>
        <vertAlign val="subscript"/>
        <sz val="10"/>
        <rFont val="Arial"/>
        <family val="2"/>
      </rPr>
      <t>ATTACH</t>
    </r>
  </si>
  <si>
    <r>
      <rPr>
        <sz val="10"/>
        <rFont val="Calibri"/>
        <family val="2"/>
      </rPr>
      <t>η</t>
    </r>
    <r>
      <rPr>
        <vertAlign val="subscript"/>
        <sz val="10"/>
        <rFont val="Arial"/>
        <family val="2"/>
      </rPr>
      <t>FC</t>
    </r>
  </si>
  <si>
    <r>
      <t>η</t>
    </r>
    <r>
      <rPr>
        <vertAlign val="subscript"/>
        <sz val="10"/>
        <rFont val="Arial"/>
        <family val="2"/>
      </rPr>
      <t>EL</t>
    </r>
  </si>
  <si>
    <r>
      <t>η</t>
    </r>
    <r>
      <rPr>
        <vertAlign val="subscript"/>
        <sz val="10"/>
        <rFont val="Arial"/>
        <family val="2"/>
      </rPr>
      <t>CONV</t>
    </r>
  </si>
  <si>
    <r>
      <t>η</t>
    </r>
    <r>
      <rPr>
        <vertAlign val="subscript"/>
        <sz val="10"/>
        <rFont val="Arial"/>
        <family val="2"/>
      </rPr>
      <t>GEAR</t>
    </r>
  </si>
  <si>
    <r>
      <t>η</t>
    </r>
    <r>
      <rPr>
        <vertAlign val="subscript"/>
        <sz val="10"/>
        <rFont val="Arial"/>
        <family val="2"/>
      </rPr>
      <t>CR</t>
    </r>
  </si>
  <si>
    <r>
      <t>η</t>
    </r>
    <r>
      <rPr>
        <vertAlign val="subscript"/>
        <sz val="10"/>
        <rFont val="Arial"/>
        <family val="2"/>
      </rPr>
      <t>TO</t>
    </r>
  </si>
  <si>
    <r>
      <t>P</t>
    </r>
    <r>
      <rPr>
        <vertAlign val="subscript"/>
        <sz val="10"/>
        <rFont val="Arial"/>
        <family val="2"/>
      </rPr>
      <t>S,TO,I</t>
    </r>
  </si>
  <si>
    <r>
      <t>P</t>
    </r>
    <r>
      <rPr>
        <vertAlign val="subscript"/>
        <sz val="10"/>
        <rFont val="Arial"/>
        <family val="2"/>
      </rPr>
      <t>S,TO / nE,I</t>
    </r>
  </si>
  <si>
    <r>
      <t>P</t>
    </r>
    <r>
      <rPr>
        <vertAlign val="subscript"/>
        <sz val="10"/>
        <rFont val="Arial"/>
        <family val="2"/>
      </rPr>
      <t>CR</t>
    </r>
  </si>
  <si>
    <r>
      <t>P</t>
    </r>
    <r>
      <rPr>
        <vertAlign val="subscript"/>
        <sz val="10"/>
        <rFont val="Arial"/>
        <family val="2"/>
      </rPr>
      <t>CR,total</t>
    </r>
  </si>
  <si>
    <r>
      <t>m</t>
    </r>
    <r>
      <rPr>
        <vertAlign val="subscript"/>
        <sz val="10"/>
        <rFont val="Arial"/>
        <family val="2"/>
      </rPr>
      <t>F,CR</t>
    </r>
  </si>
  <si>
    <r>
      <t>SFC</t>
    </r>
    <r>
      <rPr>
        <vertAlign val="subscript"/>
        <sz val="10"/>
        <rFont val="Arial"/>
        <family val="2"/>
      </rPr>
      <t>CR</t>
    </r>
  </si>
  <si>
    <r>
      <t>P</t>
    </r>
    <r>
      <rPr>
        <vertAlign val="subscript"/>
        <sz val="10"/>
        <rFont val="Arial"/>
        <family val="2"/>
      </rPr>
      <t>TO,total</t>
    </r>
  </si>
  <si>
    <r>
      <t>P</t>
    </r>
    <r>
      <rPr>
        <vertAlign val="subscript"/>
        <sz val="10"/>
        <rFont val="Arial"/>
        <family val="2"/>
      </rPr>
      <t>taxi</t>
    </r>
  </si>
  <si>
    <r>
      <t>P</t>
    </r>
    <r>
      <rPr>
        <vertAlign val="subscript"/>
        <sz val="10"/>
        <rFont val="Arial"/>
        <family val="2"/>
      </rPr>
      <t>CORE,CRUISE</t>
    </r>
  </si>
  <si>
    <t>from sheet 8.1</t>
  </si>
  <si>
    <r>
      <t>P</t>
    </r>
    <r>
      <rPr>
        <vertAlign val="subscript"/>
        <sz val="10"/>
        <rFont val="Arial"/>
        <family val="2"/>
      </rPr>
      <t>CORE,TO</t>
    </r>
  </si>
  <si>
    <r>
      <t>m</t>
    </r>
    <r>
      <rPr>
        <vertAlign val="subscript"/>
        <sz val="10"/>
        <rFont val="Arial"/>
        <family val="2"/>
      </rPr>
      <t>FF,TO</t>
    </r>
  </si>
  <si>
    <r>
      <t>V</t>
    </r>
    <r>
      <rPr>
        <vertAlign val="subscript"/>
        <sz val="10"/>
        <rFont val="Arial"/>
        <family val="2"/>
      </rPr>
      <t>taxi</t>
    </r>
  </si>
  <si>
    <t>Max. glide ratio first Iteration</t>
  </si>
  <si>
    <r>
      <t>E</t>
    </r>
    <r>
      <rPr>
        <vertAlign val="subscript"/>
        <sz val="10"/>
        <rFont val="Arial"/>
        <family val="2"/>
      </rPr>
      <t>max,I</t>
    </r>
  </si>
  <si>
    <t>total drag coefficient</t>
  </si>
  <si>
    <r>
      <t>C</t>
    </r>
    <r>
      <rPr>
        <vertAlign val="subscript"/>
        <sz val="10"/>
        <rFont val="Arial"/>
        <family val="2"/>
      </rPr>
      <t>D,total</t>
    </r>
  </si>
  <si>
    <r>
      <t>S</t>
    </r>
    <r>
      <rPr>
        <vertAlign val="subscript"/>
        <sz val="10"/>
        <rFont val="Arial"/>
        <family val="2"/>
      </rPr>
      <t>exp,W</t>
    </r>
  </si>
  <si>
    <t>Mass of the fuel cells</t>
  </si>
  <si>
    <t>Amount of waste heat</t>
  </si>
  <si>
    <t>internal drag of the heat exchanger due to the mass flow during cruise</t>
  </si>
  <si>
    <t>water tank take-off and climb</t>
  </si>
  <si>
    <t>temperature waste water</t>
  </si>
  <si>
    <t>Isobaric mass heat capacity water liquid</t>
  </si>
  <si>
    <r>
      <t>ΔH</t>
    </r>
    <r>
      <rPr>
        <vertAlign val="subscript"/>
        <sz val="10"/>
        <rFont val="Arial"/>
        <family val="2"/>
      </rPr>
      <t>v,water</t>
    </r>
  </si>
  <si>
    <t>Energy waste water</t>
  </si>
  <si>
    <t>waste heat disposed by emitting water to the atmosphere or water storage</t>
  </si>
  <si>
    <r>
      <t>P</t>
    </r>
    <r>
      <rPr>
        <vertAlign val="subscript"/>
        <sz val="10"/>
        <rFont val="Arial"/>
        <family val="2"/>
      </rPr>
      <t>WW</t>
    </r>
  </si>
  <si>
    <t>operative empty weight  a320</t>
  </si>
  <si>
    <r>
      <t>m</t>
    </r>
    <r>
      <rPr>
        <vertAlign val="subscript"/>
        <sz val="10"/>
        <rFont val="Arial"/>
        <family val="2"/>
      </rPr>
      <t>oe,A320</t>
    </r>
  </si>
  <si>
    <r>
      <t>l</t>
    </r>
    <r>
      <rPr>
        <vertAlign val="subscript"/>
        <sz val="10"/>
        <rFont val="Arial"/>
        <family val="2"/>
      </rPr>
      <t>A320</t>
    </r>
  </si>
  <si>
    <t>operative empty weight A320</t>
  </si>
  <si>
    <t>Pressure in cruise</t>
  </si>
  <si>
    <t>Estimation of the propeller size</t>
  </si>
  <si>
    <r>
      <t>p</t>
    </r>
    <r>
      <rPr>
        <vertAlign val="subscript"/>
        <sz val="10"/>
        <rFont val="Arial"/>
        <family val="2"/>
      </rPr>
      <t xml:space="preserve">CR </t>
    </r>
  </si>
  <si>
    <t>Mass of the propeller and the gearbox</t>
  </si>
  <si>
    <t>efficiency propeller take-off</t>
  </si>
  <si>
    <t>efficiency propeller cruise</t>
  </si>
  <si>
    <r>
      <t>η</t>
    </r>
    <r>
      <rPr>
        <vertAlign val="subscript"/>
        <sz val="10"/>
        <rFont val="Arial"/>
        <family val="2"/>
      </rPr>
      <t>P,CR</t>
    </r>
  </si>
  <si>
    <r>
      <t>η</t>
    </r>
    <r>
      <rPr>
        <vertAlign val="subscript"/>
        <sz val="10"/>
        <rFont val="Arial"/>
        <family val="2"/>
      </rPr>
      <t>P,TO</t>
    </r>
  </si>
  <si>
    <t>fuel flow taxiing</t>
  </si>
  <si>
    <r>
      <rPr>
        <sz val="10"/>
        <rFont val="Cambria"/>
        <family val="1"/>
      </rPr>
      <t>H</t>
    </r>
    <r>
      <rPr>
        <vertAlign val="subscript"/>
        <sz val="10"/>
        <rFont val="Cambria"/>
        <family val="1"/>
      </rPr>
      <t>LH2</t>
    </r>
  </si>
  <si>
    <t>lower heating value hydrogen</t>
  </si>
  <si>
    <t>from sheet 3</t>
  </si>
  <si>
    <t>from sheet 7.1</t>
  </si>
  <si>
    <r>
      <t>m</t>
    </r>
    <r>
      <rPr>
        <vertAlign val="subscript"/>
        <sz val="10"/>
        <rFont val="Arial"/>
        <family val="2"/>
      </rPr>
      <t>FF,taxi</t>
    </r>
  </si>
  <si>
    <r>
      <t>μ</t>
    </r>
    <r>
      <rPr>
        <vertAlign val="subscript"/>
        <sz val="10"/>
        <rFont val="Calibri"/>
        <family val="2"/>
      </rPr>
      <t>concrete</t>
    </r>
  </si>
  <si>
    <r>
      <t>l</t>
    </r>
    <r>
      <rPr>
        <vertAlign val="subscript"/>
        <sz val="10"/>
        <rFont val="Arial"/>
        <family val="2"/>
      </rPr>
      <t xml:space="preserve">TANK </t>
    </r>
  </si>
  <si>
    <r>
      <t>l</t>
    </r>
    <r>
      <rPr>
        <vertAlign val="subscript"/>
        <sz val="10"/>
        <rFont val="Arial"/>
        <family val="2"/>
      </rPr>
      <t>TANK,CY</t>
    </r>
  </si>
  <si>
    <r>
      <t>th</t>
    </r>
    <r>
      <rPr>
        <vertAlign val="subscript"/>
        <sz val="10"/>
        <rFont val="Arial"/>
        <family val="2"/>
      </rPr>
      <t>INS</t>
    </r>
  </si>
  <si>
    <r>
      <t>m</t>
    </r>
    <r>
      <rPr>
        <vertAlign val="subscript"/>
        <sz val="10"/>
        <rFont val="Arial"/>
        <family val="2"/>
      </rPr>
      <t>TANK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TANK</t>
    </r>
  </si>
  <si>
    <r>
      <t>T</t>
    </r>
    <r>
      <rPr>
        <vertAlign val="subscript"/>
        <sz val="10"/>
        <rFont val="Arial"/>
        <family val="2"/>
      </rPr>
      <t>LH2store</t>
    </r>
  </si>
  <si>
    <r>
      <t>T</t>
    </r>
    <r>
      <rPr>
        <vertAlign val="subscript"/>
        <sz val="10"/>
        <rFont val="Arial"/>
        <family val="2"/>
      </rPr>
      <t>FCF</t>
    </r>
  </si>
  <si>
    <r>
      <t>c</t>
    </r>
    <r>
      <rPr>
        <vertAlign val="subscript"/>
        <sz val="10"/>
        <rFont val="Arial"/>
        <family val="2"/>
      </rPr>
      <t>p,water</t>
    </r>
  </si>
  <si>
    <r>
      <t>T</t>
    </r>
    <r>
      <rPr>
        <vertAlign val="subscript"/>
        <sz val="10"/>
        <rFont val="Arial"/>
        <family val="2"/>
      </rPr>
      <t>WW</t>
    </r>
  </si>
  <si>
    <r>
      <t>m</t>
    </r>
    <r>
      <rPr>
        <vertAlign val="subscript"/>
        <sz val="10"/>
        <rFont val="Arial"/>
        <family val="2"/>
      </rPr>
      <t>HX,LH2</t>
    </r>
  </si>
  <si>
    <r>
      <t>m</t>
    </r>
    <r>
      <rPr>
        <vertAlign val="subscript"/>
        <sz val="10"/>
        <rFont val="Arial"/>
        <family val="2"/>
      </rPr>
      <t>HX,LH2p</t>
    </r>
  </si>
  <si>
    <r>
      <t>m</t>
    </r>
    <r>
      <rPr>
        <vertAlign val="subscript"/>
        <sz val="10"/>
        <rFont val="Arial"/>
        <family val="2"/>
      </rPr>
      <t>PC</t>
    </r>
  </si>
  <si>
    <r>
      <t>m</t>
    </r>
    <r>
      <rPr>
        <vertAlign val="subscript"/>
        <sz val="10"/>
        <rFont val="Arial"/>
        <family val="2"/>
      </rPr>
      <t>ASTMS</t>
    </r>
  </si>
  <si>
    <r>
      <t>m</t>
    </r>
    <r>
      <rPr>
        <vertAlign val="subscript"/>
        <sz val="10"/>
        <rFont val="Arial"/>
        <family val="2"/>
      </rPr>
      <t>ELM</t>
    </r>
  </si>
  <si>
    <r>
      <t>φ</t>
    </r>
    <r>
      <rPr>
        <vertAlign val="subscript"/>
        <sz val="10"/>
        <rFont val="Calibri"/>
        <family val="2"/>
      </rPr>
      <t>ELM,FT</t>
    </r>
  </si>
  <si>
    <r>
      <t>φ</t>
    </r>
    <r>
      <rPr>
        <vertAlign val="subscript"/>
        <sz val="10"/>
        <rFont val="Calibri"/>
        <family val="2"/>
      </rPr>
      <t>ELM,CT</t>
    </r>
  </si>
  <si>
    <r>
      <t>m</t>
    </r>
    <r>
      <rPr>
        <vertAlign val="subscript"/>
        <sz val="10"/>
        <rFont val="Arial"/>
        <family val="2"/>
      </rPr>
      <t>PEL</t>
    </r>
  </si>
  <si>
    <r>
      <t>m</t>
    </r>
    <r>
      <rPr>
        <vertAlign val="subscript"/>
        <sz val="10"/>
        <rFont val="Arial"/>
        <family val="2"/>
      </rPr>
      <t>CONV</t>
    </r>
  </si>
  <si>
    <r>
      <t>m</t>
    </r>
    <r>
      <rPr>
        <vertAlign val="subscript"/>
        <sz val="10"/>
        <rFont val="Arial"/>
        <family val="2"/>
      </rPr>
      <t>ELMcool</t>
    </r>
  </si>
  <si>
    <r>
      <t>φ</t>
    </r>
    <r>
      <rPr>
        <vertAlign val="subscript"/>
        <sz val="10"/>
        <rFont val="Calibri"/>
        <family val="2"/>
      </rPr>
      <t>ELMcool</t>
    </r>
  </si>
  <si>
    <r>
      <t>φ</t>
    </r>
    <r>
      <rPr>
        <vertAlign val="subscript"/>
        <sz val="10"/>
        <rFont val="Calibri"/>
        <family val="2"/>
      </rPr>
      <t>CONV</t>
    </r>
  </si>
  <si>
    <r>
      <t>φ</t>
    </r>
    <r>
      <rPr>
        <vertAlign val="subscript"/>
        <sz val="10"/>
        <rFont val="Calibri"/>
        <family val="2"/>
      </rPr>
      <t>PEL</t>
    </r>
  </si>
  <si>
    <r>
      <t>m</t>
    </r>
    <r>
      <rPr>
        <vertAlign val="subscript"/>
        <sz val="10"/>
        <rFont val="Arial"/>
        <family val="2"/>
      </rPr>
      <t>ELPS</t>
    </r>
  </si>
  <si>
    <t>%</t>
  </si>
  <si>
    <t>Airbus 2023</t>
  </si>
  <si>
    <r>
      <t>m</t>
    </r>
    <r>
      <rPr>
        <vertAlign val="subscript"/>
        <sz val="10"/>
        <rFont val="Arial"/>
        <family val="2"/>
      </rPr>
      <t>MTO,A320</t>
    </r>
  </si>
  <si>
    <t>overall lenght A320 CFM56</t>
  </si>
  <si>
    <t>maximum take-off weight A320 CFM56</t>
  </si>
  <si>
    <t>Maximum take-off weight A320</t>
  </si>
  <si>
    <t>Percentage fuselage to Maximum take-off weight</t>
  </si>
  <si>
    <t>Siewert 2000</t>
  </si>
  <si>
    <t>Mass fuselage A320 CFM 56</t>
  </si>
  <si>
    <t>cabin length including the hydrogen storage tanks</t>
  </si>
  <si>
    <t>Operating empty weight excluding the fuselage</t>
  </si>
  <si>
    <r>
      <t>m</t>
    </r>
    <r>
      <rPr>
        <vertAlign val="subscript"/>
        <sz val="10"/>
        <rFont val="Arial"/>
        <family val="2"/>
      </rPr>
      <t>oeexf,A320</t>
    </r>
  </si>
  <si>
    <t>to calculate the weight of the remaining system and structure</t>
  </si>
  <si>
    <t>operative empty weight H2 plane including the hydrogen propulsion system</t>
  </si>
  <si>
    <t>operative empty weight stretched  plane without the hydrogen propulsion system</t>
  </si>
  <si>
    <t>Mass fuselage stretched aircraft</t>
  </si>
  <si>
    <r>
      <t>m</t>
    </r>
    <r>
      <rPr>
        <vertAlign val="subscript"/>
        <sz val="10"/>
        <rFont val="Arial"/>
        <family val="2"/>
      </rPr>
      <t>oe,stretch</t>
    </r>
  </si>
  <si>
    <t>total mass thrust devices</t>
  </si>
  <si>
    <r>
      <t>m</t>
    </r>
    <r>
      <rPr>
        <vertAlign val="subscript"/>
        <sz val="10"/>
        <rFont val="Arial"/>
        <family val="2"/>
      </rPr>
      <t>TDS</t>
    </r>
  </si>
  <si>
    <t>Energy-equivalent fuel mass, kerosene</t>
  </si>
  <si>
    <t>k_SFC</t>
  </si>
  <si>
    <t>length A320</t>
  </si>
  <si>
    <r>
      <t>r</t>
    </r>
    <r>
      <rPr>
        <vertAlign val="subscript"/>
        <sz val="10"/>
        <rFont val="Arial"/>
        <family val="2"/>
      </rPr>
      <t>F</t>
    </r>
  </si>
  <si>
    <r>
      <t>m</t>
    </r>
    <r>
      <rPr>
        <vertAlign val="subscript"/>
        <sz val="10"/>
        <rFont val="Arial"/>
        <family val="2"/>
      </rPr>
      <t>F,A320</t>
    </r>
  </si>
  <si>
    <r>
      <t>L</t>
    </r>
    <r>
      <rPr>
        <vertAlign val="subscript"/>
        <sz val="10"/>
        <rFont val="Arial"/>
        <family val="2"/>
      </rPr>
      <t>F,stretch</t>
    </r>
  </si>
  <si>
    <r>
      <t>m</t>
    </r>
    <r>
      <rPr>
        <vertAlign val="subscript"/>
        <sz val="10"/>
        <rFont val="Arial"/>
        <family val="2"/>
      </rPr>
      <t>F,stretch</t>
    </r>
  </si>
  <si>
    <t>fuselage length stretched aircraft</t>
  </si>
  <si>
    <r>
      <t>m</t>
    </r>
    <r>
      <rPr>
        <vertAlign val="subscript"/>
        <sz val="10"/>
        <rFont val="Arial"/>
        <family val="2"/>
      </rPr>
      <t>OE,LH2</t>
    </r>
  </si>
  <si>
    <t>&lt;&lt;&lt;&lt; Design point from take-off and landing !!!</t>
  </si>
  <si>
    <r>
      <t xml:space="preserve">  </t>
    </r>
    <r>
      <rPr>
        <sz val="10"/>
        <color indexed="30"/>
        <rFont val="Arial"/>
        <family val="2"/>
      </rPr>
      <t xml:space="preserve"> </t>
    </r>
    <r>
      <rPr>
        <b/>
        <sz val="10"/>
        <color rgb="FF0000FF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</si>
  <si>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t>Wing span</t>
  </si>
  <si>
    <r>
      <t>b</t>
    </r>
    <r>
      <rPr>
        <vertAlign val="subscript"/>
        <sz val="10"/>
        <rFont val="Arial"/>
        <family val="2"/>
      </rPr>
      <t>w</t>
    </r>
  </si>
  <si>
    <t>Check if larger than 36 m, ICAO Code C</t>
  </si>
  <si>
    <t>Marlis Krull</t>
  </si>
  <si>
    <t>Martin Gollnow</t>
  </si>
  <si>
    <t>http://library.ProfScholz.de</t>
  </si>
  <si>
    <r>
      <t xml:space="preserve">NIŢĂ, Mihaela: </t>
    </r>
    <r>
      <rPr>
        <b/>
        <sz val="10"/>
        <rFont val="Arial"/>
        <family val="2"/>
      </rPr>
      <t>Aircraft Design Studies Based on the ATR 72</t>
    </r>
  </si>
  <si>
    <r>
      <t xml:space="preserve">KRULL, Marlis: </t>
    </r>
    <r>
      <rPr>
        <b/>
        <sz val="10"/>
        <rFont val="Arial"/>
        <family val="2"/>
      </rPr>
      <t>Preliminary Sizing of Propeller Aircraft (Part 25)</t>
    </r>
  </si>
  <si>
    <r>
      <t xml:space="preserve">To meet the special requirements </t>
    </r>
    <r>
      <rPr>
        <b/>
        <sz val="12"/>
        <color rgb="FFFF0000"/>
        <rFont val="Arial"/>
        <family val="2"/>
      </rPr>
      <t xml:space="preserve">for fuel cell aircraft </t>
    </r>
    <r>
      <rPr>
        <b/>
        <sz val="12"/>
        <rFont val="Arial"/>
        <family val="2"/>
      </rPr>
      <t xml:space="preserve">these already existing worksheets have been modified </t>
    </r>
  </si>
  <si>
    <t>Method for Preliminary Sizing of Large Propeller Driven Aircraft</t>
  </si>
  <si>
    <t>Example data is taken from A320</t>
  </si>
  <si>
    <t>"current technology"</t>
  </si>
  <si>
    <t>Copyright © 2022</t>
  </si>
  <si>
    <t>Martin Gollnow, Marlis Krull, Dieter Scholz</t>
  </si>
  <si>
    <t>The spreadsheet for the Project</t>
  </si>
  <si>
    <t>"Passenger Aircraft towards Zero Emission with Hydrogen and Fuel Cells"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</si>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</sst>
</file>

<file path=xl/styles.xml><?xml version="1.0" encoding="utf-8"?>
<styleSheet xmlns="http://schemas.openxmlformats.org/spreadsheetml/2006/main">
  <numFmts count="9">
    <numFmt numFmtId="43" formatCode="_-* #,##0.00\ _€_-;\-* #,##0.00\ _€_-;_-* &quot;-&quot;??\ _€_-;_-@_-"/>
    <numFmt numFmtId="164" formatCode="0.0000"/>
    <numFmt numFmtId="165" formatCode="0.000"/>
    <numFmt numFmtId="166" formatCode="0.0"/>
    <numFmt numFmtId="167" formatCode="0.0E+00"/>
    <numFmt numFmtId="168" formatCode="0.0%"/>
    <numFmt numFmtId="169" formatCode="_(* #,##0.00_);_(* \(#,##0.00\);_(* &quot;-&quot;??_);_(@_)"/>
    <numFmt numFmtId="170" formatCode="_(&quot;€&quot;* #,##0.00_);_(&quot;€&quot;* \(#,##0.00\);_(&quot;€&quot;* &quot;-&quot;??_);_(@_)"/>
    <numFmt numFmtId="171" formatCode="_-* #,##0.00\ _D_M_-;\-* #,##0.00\ _D_M_-;_-* &quot;-&quot;??\ _D_M_-;_-@_-"/>
  </numFmts>
  <fonts count="93">
    <font>
      <sz val="10"/>
      <name val="Arial"/>
    </font>
    <font>
      <sz val="1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sz val="8"/>
      <name val="Arial"/>
      <family val="2"/>
    </font>
    <font>
      <sz val="10"/>
      <color indexed="62"/>
      <name val="Arial"/>
      <family val="2"/>
    </font>
    <font>
      <i/>
      <sz val="10"/>
      <color indexed="62"/>
      <name val="Arial"/>
      <family val="2"/>
    </font>
    <font>
      <u/>
      <sz val="10"/>
      <color indexed="62"/>
      <name val="Arial"/>
      <family val="2"/>
    </font>
    <font>
      <b/>
      <i/>
      <sz val="10"/>
      <color indexed="62"/>
      <name val="Arial"/>
      <family val="2"/>
    </font>
    <font>
      <sz val="10"/>
      <name val="Calibri"/>
      <family val="2"/>
    </font>
    <font>
      <b/>
      <sz val="12"/>
      <name val="Arial"/>
      <family val="2"/>
    </font>
    <font>
      <sz val="10"/>
      <color indexed="62"/>
      <name val="Arial"/>
      <family val="2"/>
    </font>
    <font>
      <b/>
      <sz val="10"/>
      <color indexed="10"/>
      <name val="Arial"/>
      <family val="2"/>
    </font>
    <font>
      <b/>
      <sz val="12"/>
      <color indexed="10"/>
      <name val="Arial"/>
      <family val="2"/>
    </font>
    <font>
      <vertAlign val="subscript"/>
      <sz val="10"/>
      <name val="Calibri"/>
      <family val="2"/>
    </font>
    <font>
      <sz val="10"/>
      <color indexed="30"/>
      <name val="Arial"/>
      <family val="2"/>
    </font>
    <font>
      <vertAlign val="subscript"/>
      <sz val="10"/>
      <name val="Cambria"/>
      <family val="1"/>
    </font>
    <font>
      <sz val="10"/>
      <name val="Cambria"/>
      <family val="1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sz val="10"/>
      <color rgb="FFFF00FF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sz val="10"/>
      <color rgb="FF7030A0"/>
      <name val="Arial"/>
      <family val="2"/>
    </font>
    <font>
      <sz val="10"/>
      <color theme="4"/>
      <name val="Arial"/>
      <family val="2"/>
    </font>
    <font>
      <sz val="10"/>
      <color theme="4"/>
      <name val="Calibri"/>
      <family val="2"/>
    </font>
    <font>
      <sz val="12"/>
      <color rgb="FF1E1E1E"/>
      <name val="Segoe UI"/>
      <family val="2"/>
    </font>
    <font>
      <b/>
      <sz val="10"/>
      <color rgb="FF0070C0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theme="0"/>
      <name val="Calibri"/>
      <family val="2"/>
      <scheme val="minor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rgb="FF3F3F76"/>
      <name val="Calibri"/>
      <family val="2"/>
      <scheme val="minor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u/>
      <sz val="11"/>
      <color indexed="12"/>
      <name val="Calibri"/>
      <family val="2"/>
    </font>
    <font>
      <sz val="11"/>
      <color rgb="FF9C0006"/>
      <name val="Calibri"/>
      <family val="2"/>
      <scheme val="minor"/>
    </font>
    <font>
      <sz val="11"/>
      <color indexed="19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sz val="11"/>
      <color indexed="20"/>
      <name val="Calibri"/>
      <family val="2"/>
    </font>
    <font>
      <sz val="11"/>
      <color rgb="FFFF0000"/>
      <name val="Calibri"/>
      <family val="2"/>
      <scheme val="minor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11"/>
      <color rgb="FFFA7D00"/>
      <name val="Calibri"/>
      <family val="2"/>
      <scheme val="minor"/>
    </font>
    <font>
      <b/>
      <sz val="11"/>
      <color indexed="9"/>
      <name val="Calibri"/>
      <family val="2"/>
    </font>
    <font>
      <b/>
      <sz val="12"/>
      <color rgb="FFFF000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7474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9" fontId="45" fillId="0" borderId="0" applyFont="0" applyFill="0" applyBorder="0" applyAlignment="0" applyProtection="0"/>
    <xf numFmtId="0" fontId="3" fillId="0" borderId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1" fillId="35" borderId="0" applyNumberFormat="0" applyBorder="0" applyAlignment="0" applyProtection="0"/>
    <xf numFmtId="0" fontId="51" fillId="35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12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1" fillId="37" borderId="0" applyNumberFormat="0" applyBorder="0" applyAlignment="0" applyProtection="0"/>
    <xf numFmtId="0" fontId="51" fillId="37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1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1" fillId="39" borderId="0" applyNumberFormat="0" applyBorder="0" applyAlignment="0" applyProtection="0"/>
    <xf numFmtId="0" fontId="51" fillId="39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20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1" fillId="41" borderId="0" applyNumberFormat="0" applyBorder="0" applyAlignment="0" applyProtection="0"/>
    <xf numFmtId="0" fontId="51" fillId="41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4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13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21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1" fillId="41" borderId="0" applyNumberFormat="0" applyBorder="0" applyAlignment="0" applyProtection="0"/>
    <xf numFmtId="0" fontId="51" fillId="41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17" borderId="0" applyNumberFormat="0" applyBorder="0" applyAlignment="0" applyProtection="0"/>
    <xf numFmtId="0" fontId="50" fillId="17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2" fillId="46" borderId="0" applyNumberFormat="0" applyBorder="0" applyAlignment="0" applyProtection="0"/>
    <xf numFmtId="0" fontId="52" fillId="46" borderId="0" applyNumberFormat="0" applyBorder="0" applyAlignment="0" applyProtection="0"/>
    <xf numFmtId="0" fontId="53" fillId="42" borderId="0" applyNumberFormat="0" applyBorder="0" applyAlignment="0" applyProtection="0"/>
    <xf numFmtId="0" fontId="53" fillId="14" borderId="0" applyNumberFormat="0" applyBorder="0" applyAlignment="0" applyProtection="0"/>
    <xf numFmtId="0" fontId="53" fillId="42" borderId="0" applyNumberFormat="0" applyBorder="0" applyAlignment="0" applyProtection="0"/>
    <xf numFmtId="0" fontId="52" fillId="36" borderId="0" applyNumberFormat="0" applyBorder="0" applyAlignment="0" applyProtection="0"/>
    <xf numFmtId="0" fontId="52" fillId="36" borderId="0" applyNumberFormat="0" applyBorder="0" applyAlignment="0" applyProtection="0"/>
    <xf numFmtId="0" fontId="53" fillId="47" borderId="0" applyNumberFormat="0" applyBorder="0" applyAlignment="0" applyProtection="0"/>
    <xf numFmtId="0" fontId="53" fillId="18" borderId="0" applyNumberFormat="0" applyBorder="0" applyAlignment="0" applyProtection="0"/>
    <xf numFmtId="0" fontId="53" fillId="47" borderId="0" applyNumberFormat="0" applyBorder="0" applyAlignment="0" applyProtection="0"/>
    <xf numFmtId="0" fontId="52" fillId="44" borderId="0" applyNumberFormat="0" applyBorder="0" applyAlignment="0" applyProtection="0"/>
    <xf numFmtId="0" fontId="52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22" borderId="0" applyNumberFormat="0" applyBorder="0" applyAlignment="0" applyProtection="0"/>
    <xf numFmtId="0" fontId="53" fillId="45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3" fillId="37" borderId="0" applyNumberFormat="0" applyBorder="0" applyAlignment="0" applyProtection="0"/>
    <xf numFmtId="0" fontId="53" fillId="26" borderId="0" applyNumberFormat="0" applyBorder="0" applyAlignment="0" applyProtection="0"/>
    <xf numFmtId="0" fontId="53" fillId="37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3" fillId="42" borderId="0" applyNumberFormat="0" applyBorder="0" applyAlignment="0" applyProtection="0"/>
    <xf numFmtId="0" fontId="53" fillId="29" borderId="0" applyNumberFormat="0" applyBorder="0" applyAlignment="0" applyProtection="0"/>
    <xf numFmtId="0" fontId="53" fillId="42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3" fillId="36" borderId="0" applyNumberFormat="0" applyBorder="0" applyAlignment="0" applyProtection="0"/>
    <xf numFmtId="0" fontId="53" fillId="33" borderId="0" applyNumberFormat="0" applyBorder="0" applyAlignment="0" applyProtection="0"/>
    <xf numFmtId="0" fontId="53" fillId="36" borderId="0" applyNumberFormat="0" applyBorder="0" applyAlignment="0" applyProtection="0"/>
    <xf numFmtId="0" fontId="53" fillId="42" borderId="0" applyNumberFormat="0" applyBorder="0" applyAlignment="0" applyProtection="0"/>
    <xf numFmtId="0" fontId="53" fillId="47" borderId="0" applyNumberFormat="0" applyBorder="0" applyAlignment="0" applyProtection="0"/>
    <xf numFmtId="0" fontId="53" fillId="45" borderId="0" applyNumberFormat="0" applyBorder="0" applyAlignment="0" applyProtection="0"/>
    <xf numFmtId="0" fontId="53" fillId="37" borderId="0" applyNumberFormat="0" applyBorder="0" applyAlignment="0" applyProtection="0"/>
    <xf numFmtId="0" fontId="53" fillId="42" borderId="0" applyNumberFormat="0" applyBorder="0" applyAlignment="0" applyProtection="0"/>
    <xf numFmtId="0" fontId="53" fillId="36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3" fillId="52" borderId="0" applyNumberFormat="0" applyBorder="0" applyAlignment="0" applyProtection="0"/>
    <xf numFmtId="0" fontId="53" fillId="11" borderId="0" applyNumberFormat="0" applyBorder="0" applyAlignment="0" applyProtection="0"/>
    <xf numFmtId="0" fontId="53" fillId="52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3" fillId="47" borderId="0" applyNumberFormat="0" applyBorder="0" applyAlignment="0" applyProtection="0"/>
    <xf numFmtId="0" fontId="53" fillId="15" borderId="0" applyNumberFormat="0" applyBorder="0" applyAlignment="0" applyProtection="0"/>
    <xf numFmtId="0" fontId="53" fillId="47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3" fillId="45" borderId="0" applyNumberFormat="0" applyBorder="0" applyAlignment="0" applyProtection="0"/>
    <xf numFmtId="0" fontId="53" fillId="19" borderId="0" applyNumberFormat="0" applyBorder="0" applyAlignment="0" applyProtection="0"/>
    <xf numFmtId="0" fontId="53" fillId="45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3" fillId="55" borderId="0" applyNumberFormat="0" applyBorder="0" applyAlignment="0" applyProtection="0"/>
    <xf numFmtId="0" fontId="53" fillId="23" borderId="0" applyNumberFormat="0" applyBorder="0" applyAlignment="0" applyProtection="0"/>
    <xf numFmtId="0" fontId="53" fillId="55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7" borderId="0" applyNumberFormat="0" applyBorder="0" applyAlignment="0" applyProtection="0"/>
    <xf numFmtId="0" fontId="52" fillId="47" borderId="0" applyNumberFormat="0" applyBorder="0" applyAlignment="0" applyProtection="0"/>
    <xf numFmtId="0" fontId="53" fillId="53" borderId="0" applyNumberFormat="0" applyBorder="0" applyAlignment="0" applyProtection="0"/>
    <xf numFmtId="0" fontId="53" fillId="30" borderId="0" applyNumberFormat="0" applyBorder="0" applyAlignment="0" applyProtection="0"/>
    <xf numFmtId="0" fontId="53" fillId="53" borderId="0" applyNumberFormat="0" applyBorder="0" applyAlignment="0" applyProtection="0"/>
    <xf numFmtId="0" fontId="54" fillId="56" borderId="58" applyNumberFormat="0" applyAlignment="0" applyProtection="0"/>
    <xf numFmtId="0" fontId="54" fillId="56" borderId="58" applyNumberFormat="0" applyAlignment="0" applyProtection="0"/>
    <xf numFmtId="0" fontId="55" fillId="57" borderId="53" applyNumberFormat="0" applyAlignment="0" applyProtection="0"/>
    <xf numFmtId="0" fontId="55" fillId="8" borderId="53" applyNumberFormat="0" applyAlignment="0" applyProtection="0"/>
    <xf numFmtId="0" fontId="55" fillId="57" borderId="53" applyNumberFormat="0" applyAlignment="0" applyProtection="0"/>
    <xf numFmtId="0" fontId="56" fillId="56" borderId="59" applyNumberFormat="0" applyAlignment="0" applyProtection="0"/>
    <xf numFmtId="0" fontId="56" fillId="56" borderId="59" applyNumberFormat="0" applyAlignment="0" applyProtection="0"/>
    <xf numFmtId="0" fontId="57" fillId="57" borderId="52" applyNumberFormat="0" applyAlignment="0" applyProtection="0"/>
    <xf numFmtId="0" fontId="58" fillId="8" borderId="52" applyNumberFormat="0" applyAlignment="0" applyProtection="0"/>
    <xf numFmtId="0" fontId="57" fillId="57" borderId="52" applyNumberFormat="0" applyAlignment="0" applyProtection="0"/>
    <xf numFmtId="0" fontId="59" fillId="42" borderId="0" applyNumberFormat="0" applyBorder="0" applyAlignment="0" applyProtection="0"/>
    <xf numFmtId="0" fontId="57" fillId="57" borderId="52" applyNumberFormat="0" applyAlignment="0" applyProtection="0"/>
    <xf numFmtId="0" fontId="60" fillId="9" borderId="55" applyNumberFormat="0" applyAlignment="0" applyProtection="0"/>
    <xf numFmtId="0" fontId="61" fillId="0" borderId="60" applyNumberFormat="0" applyFill="0" applyAlignment="0" applyProtection="0"/>
    <xf numFmtId="169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69" fontId="51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62" fillId="40" borderId="59" applyNumberFormat="0" applyAlignment="0" applyProtection="0"/>
    <xf numFmtId="0" fontId="62" fillId="40" borderId="59" applyNumberFormat="0" applyAlignment="0" applyProtection="0"/>
    <xf numFmtId="0" fontId="63" fillId="43" borderId="52" applyNumberFormat="0" applyAlignment="0" applyProtection="0"/>
    <xf numFmtId="0" fontId="63" fillId="7" borderId="52" applyNumberFormat="0" applyAlignment="0" applyProtection="0"/>
    <xf numFmtId="0" fontId="63" fillId="43" borderId="52" applyNumberFormat="0" applyAlignment="0" applyProtection="0"/>
    <xf numFmtId="0" fontId="64" fillId="0" borderId="0" applyNumberFormat="0" applyFill="0" applyBorder="0" applyAlignment="0" applyProtection="0"/>
    <xf numFmtId="0" fontId="53" fillId="52" borderId="0" applyNumberFormat="0" applyBorder="0" applyAlignment="0" applyProtection="0"/>
    <xf numFmtId="0" fontId="53" fillId="47" borderId="0" applyNumberFormat="0" applyBorder="0" applyAlignment="0" applyProtection="0"/>
    <xf numFmtId="0" fontId="53" fillId="45" borderId="0" applyNumberFormat="0" applyBorder="0" applyAlignment="0" applyProtection="0"/>
    <xf numFmtId="0" fontId="53" fillId="55" borderId="0" applyNumberFormat="0" applyBorder="0" applyAlignment="0" applyProtection="0"/>
    <xf numFmtId="0" fontId="53" fillId="53" borderId="0" applyNumberFormat="0" applyBorder="0" applyAlignment="0" applyProtection="0"/>
    <xf numFmtId="0" fontId="63" fillId="43" borderId="52" applyNumberFormat="0" applyAlignment="0" applyProtection="0"/>
    <xf numFmtId="0" fontId="65" fillId="0" borderId="61" applyNumberFormat="0" applyFill="0" applyAlignment="0" applyProtection="0"/>
    <xf numFmtId="0" fontId="65" fillId="0" borderId="61" applyNumberFormat="0" applyFill="0" applyAlignment="0" applyProtection="0"/>
    <xf numFmtId="0" fontId="66" fillId="0" borderId="62" applyNumberFormat="0" applyFill="0" applyAlignment="0" applyProtection="0"/>
    <xf numFmtId="0" fontId="66" fillId="0" borderId="57" applyNumberFormat="0" applyFill="0" applyAlignment="0" applyProtection="0"/>
    <xf numFmtId="0" fontId="66" fillId="0" borderId="62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51" fillId="0" borderId="0"/>
    <xf numFmtId="0" fontId="51" fillId="0" borderId="0"/>
    <xf numFmtId="0" fontId="68" fillId="39" borderId="0" applyNumberFormat="0" applyBorder="0" applyAlignment="0" applyProtection="0"/>
    <xf numFmtId="0" fontId="68" fillId="39" borderId="0" applyNumberFormat="0" applyBorder="0" applyAlignment="0" applyProtection="0"/>
    <xf numFmtId="0" fontId="59" fillId="42" borderId="0" applyNumberFormat="0" applyBorder="0" applyAlignment="0" applyProtection="0"/>
    <xf numFmtId="0" fontId="59" fillId="4" borderId="0" applyNumberFormat="0" applyBorder="0" applyAlignment="0" applyProtection="0"/>
    <xf numFmtId="0" fontId="59" fillId="42" borderId="0" applyNumberFormat="0" applyBorder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2" fillId="41" borderId="0" applyNumberFormat="0" applyBorder="0" applyAlignment="0" applyProtection="0"/>
    <xf numFmtId="169" fontId="3" fillId="0" borderId="0" applyFont="0" applyFill="0" applyBorder="0" applyAlignment="0" applyProtection="0"/>
    <xf numFmtId="0" fontId="73" fillId="6" borderId="0" applyNumberFormat="0" applyBorder="0" applyAlignment="0" applyProtection="0"/>
    <xf numFmtId="0" fontId="74" fillId="6" borderId="0" applyNumberFormat="0" applyBorder="0" applyAlignment="0" applyProtection="0"/>
    <xf numFmtId="0" fontId="73" fillId="6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1" fillId="0" borderId="0"/>
    <xf numFmtId="0" fontId="3" fillId="0" borderId="0"/>
    <xf numFmtId="0" fontId="3" fillId="0" borderId="0"/>
    <xf numFmtId="0" fontId="51" fillId="10" borderId="56" applyNumberFormat="0" applyFont="0" applyAlignment="0" applyProtection="0"/>
    <xf numFmtId="0" fontId="51" fillId="10" borderId="56" applyNumberFormat="0" applyFont="0" applyAlignment="0" applyProtection="0"/>
    <xf numFmtId="0" fontId="51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0" fillId="10" borderId="56" applyNumberFormat="0" applyFont="0" applyAlignment="0" applyProtection="0"/>
    <xf numFmtId="0" fontId="51" fillId="10" borderId="56" applyNumberFormat="0" applyFont="0" applyAlignment="0" applyProtection="0"/>
    <xf numFmtId="0" fontId="51" fillId="38" borderId="63" applyNumberFormat="0" applyFont="0" applyAlignment="0" applyProtection="0"/>
    <xf numFmtId="0" fontId="51" fillId="38" borderId="63" applyNumberFormat="0" applyFont="0" applyAlignment="0" applyProtection="0"/>
    <xf numFmtId="165" fontId="75" fillId="2" borderId="9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57" borderId="53" applyNumberFormat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2" fillId="41" borderId="0" applyNumberFormat="0" applyBorder="0" applyAlignment="0" applyProtection="0"/>
    <xf numFmtId="0" fontId="72" fillId="5" borderId="0" applyNumberFormat="0" applyBorder="0" applyAlignment="0" applyProtection="0"/>
    <xf numFmtId="0" fontId="72" fillId="41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" fillId="0" borderId="0"/>
    <xf numFmtId="0" fontId="51" fillId="0" borderId="0"/>
    <xf numFmtId="0" fontId="51" fillId="0" borderId="0"/>
    <xf numFmtId="0" fontId="3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77" fillId="0" borderId="0" applyNumberFormat="0" applyFill="0" applyBorder="0" applyAlignment="0" applyProtection="0"/>
    <xf numFmtId="0" fontId="78" fillId="0" borderId="64" applyNumberFormat="0" applyFill="0" applyAlignment="0" applyProtection="0"/>
    <xf numFmtId="0" fontId="79" fillId="0" borderId="65" applyNumberFormat="0" applyFill="0" applyAlignment="0" applyProtection="0"/>
    <xf numFmtId="0" fontId="64" fillId="0" borderId="66" applyNumberFormat="0" applyFill="0" applyAlignment="0" applyProtection="0"/>
    <xf numFmtId="0" fontId="80" fillId="0" borderId="0" applyNumberFormat="0" applyFill="0" applyBorder="0" applyAlignment="0" applyProtection="0"/>
    <xf numFmtId="0" fontId="66" fillId="0" borderId="62" applyNumberFormat="0" applyFill="0" applyAlignment="0" applyProtection="0"/>
    <xf numFmtId="0" fontId="81" fillId="0" borderId="67" applyNumberFormat="0" applyFill="0" applyAlignment="0" applyProtection="0"/>
    <xf numFmtId="0" fontId="81" fillId="0" borderId="67" applyNumberFormat="0" applyFill="0" applyAlignment="0" applyProtection="0"/>
    <xf numFmtId="0" fontId="78" fillId="0" borderId="64" applyNumberFormat="0" applyFill="0" applyAlignment="0" applyProtection="0"/>
    <xf numFmtId="0" fontId="47" fillId="0" borderId="49" applyNumberFormat="0" applyFill="0" applyAlignment="0" applyProtection="0"/>
    <xf numFmtId="0" fontId="78" fillId="0" borderId="64" applyNumberFormat="0" applyFill="0" applyAlignment="0" applyProtection="0"/>
    <xf numFmtId="0" fontId="82" fillId="0" borderId="68" applyNumberFormat="0" applyFill="0" applyAlignment="0" applyProtection="0"/>
    <xf numFmtId="0" fontId="82" fillId="0" borderId="68" applyNumberFormat="0" applyFill="0" applyAlignment="0" applyProtection="0"/>
    <xf numFmtId="0" fontId="79" fillId="0" borderId="65" applyNumberFormat="0" applyFill="0" applyAlignment="0" applyProtection="0"/>
    <xf numFmtId="0" fontId="48" fillId="0" borderId="50" applyNumberFormat="0" applyFill="0" applyAlignment="0" applyProtection="0"/>
    <xf numFmtId="0" fontId="79" fillId="0" borderId="65" applyNumberFormat="0" applyFill="0" applyAlignment="0" applyProtection="0"/>
    <xf numFmtId="0" fontId="83" fillId="0" borderId="69" applyNumberFormat="0" applyFill="0" applyAlignment="0" applyProtection="0"/>
    <xf numFmtId="0" fontId="83" fillId="0" borderId="69" applyNumberFormat="0" applyFill="0" applyAlignment="0" applyProtection="0"/>
    <xf numFmtId="0" fontId="64" fillId="0" borderId="66" applyNumberFormat="0" applyFill="0" applyAlignment="0" applyProtection="0"/>
    <xf numFmtId="0" fontId="49" fillId="0" borderId="51" applyNumberFormat="0" applyFill="0" applyAlignment="0" applyProtection="0"/>
    <xf numFmtId="0" fontId="64" fillId="0" borderId="66" applyNumberFormat="0" applyFill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5" fillId="0" borderId="70" applyNumberFormat="0" applyFill="0" applyAlignment="0" applyProtection="0"/>
    <xf numFmtId="0" fontId="85" fillId="0" borderId="70" applyNumberFormat="0" applyFill="0" applyAlignment="0" applyProtection="0"/>
    <xf numFmtId="0" fontId="61" fillId="0" borderId="60" applyNumberFormat="0" applyFill="0" applyAlignment="0" applyProtection="0"/>
    <xf numFmtId="0" fontId="61" fillId="0" borderId="60" applyNumberFormat="0" applyFill="0" applyAlignment="0" applyProtection="0"/>
    <xf numFmtId="0" fontId="86" fillId="0" borderId="54" applyNumberFormat="0" applyFill="0" applyAlignment="0" applyProtection="0"/>
    <xf numFmtId="0" fontId="61" fillId="0" borderId="60" applyNumberFormat="0" applyFill="0" applyAlignment="0" applyProtection="0"/>
    <xf numFmtId="0" fontId="61" fillId="0" borderId="60" applyNumberFormat="0" applyFill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7" fillId="58" borderId="71" applyNumberFormat="0" applyAlignment="0" applyProtection="0"/>
    <xf numFmtId="0" fontId="87" fillId="58" borderId="71" applyNumberFormat="0" applyAlignment="0" applyProtection="0"/>
  </cellStyleXfs>
  <cellXfs count="30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6" fillId="0" borderId="0" xfId="0" applyFont="1"/>
    <xf numFmtId="2" fontId="0" fillId="0" borderId="0" xfId="0" applyNumberFormat="1"/>
    <xf numFmtId="1" fontId="0" fillId="0" borderId="0" xfId="0" applyNumberFormat="1"/>
    <xf numFmtId="0" fontId="0" fillId="0" borderId="1" xfId="0" applyBorder="1" applyAlignment="1">
      <alignment horizontal="left"/>
    </xf>
    <xf numFmtId="0" fontId="0" fillId="0" borderId="0" xfId="0" applyBorder="1"/>
    <xf numFmtId="0" fontId="2" fillId="0" borderId="0" xfId="0" applyFont="1"/>
    <xf numFmtId="0" fontId="8" fillId="0" borderId="0" xfId="0" applyFont="1"/>
    <xf numFmtId="165" fontId="0" fillId="0" borderId="0" xfId="0" applyNumberFormat="1"/>
    <xf numFmtId="166" fontId="0" fillId="0" borderId="0" xfId="0" applyNumberFormat="1"/>
    <xf numFmtId="0" fontId="9" fillId="0" borderId="0" xfId="0" applyFont="1"/>
    <xf numFmtId="0" fontId="3" fillId="0" borderId="0" xfId="0" applyFont="1"/>
    <xf numFmtId="0" fontId="0" fillId="0" borderId="0" xfId="0" quotePrefix="1"/>
    <xf numFmtId="1" fontId="3" fillId="0" borderId="0" xfId="0" applyNumberFormat="1" applyFont="1"/>
    <xf numFmtId="165" fontId="7" fillId="0" borderId="0" xfId="0" applyNumberFormat="1" applyFont="1"/>
    <xf numFmtId="9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/>
    <xf numFmtId="0" fontId="10" fillId="0" borderId="0" xfId="0" applyFont="1"/>
    <xf numFmtId="0" fontId="0" fillId="0" borderId="2" xfId="0" applyBorder="1"/>
    <xf numFmtId="0" fontId="0" fillId="0" borderId="3" xfId="0" applyBorder="1"/>
    <xf numFmtId="165" fontId="0" fillId="0" borderId="4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0" fillId="0" borderId="8" xfId="0" applyBorder="1" applyAlignment="1">
      <alignment horizontal="right"/>
    </xf>
    <xf numFmtId="165" fontId="0" fillId="0" borderId="3" xfId="0" applyNumberFormat="1" applyBorder="1"/>
    <xf numFmtId="0" fontId="0" fillId="0" borderId="9" xfId="0" applyBorder="1"/>
    <xf numFmtId="0" fontId="0" fillId="0" borderId="9" xfId="0" applyBorder="1" applyAlignment="1">
      <alignment horizontal="right"/>
    </xf>
    <xf numFmtId="165" fontId="0" fillId="0" borderId="10" xfId="0" applyNumberFormat="1" applyBorder="1"/>
    <xf numFmtId="165" fontId="0" fillId="0" borderId="5" xfId="0" applyNumberFormat="1" applyBorder="1"/>
    <xf numFmtId="165" fontId="10" fillId="0" borderId="0" xfId="0" applyNumberFormat="1" applyFont="1"/>
    <xf numFmtId="1" fontId="13" fillId="0" borderId="0" xfId="0" applyNumberFormat="1" applyFont="1"/>
    <xf numFmtId="0" fontId="13" fillId="0" borderId="0" xfId="0" applyFont="1"/>
    <xf numFmtId="165" fontId="13" fillId="0" borderId="0" xfId="0" applyNumberFormat="1" applyFont="1"/>
    <xf numFmtId="1" fontId="13" fillId="0" borderId="0" xfId="0" applyNumberFormat="1" applyFont="1" applyAlignment="1">
      <alignment horizontal="right"/>
    </xf>
    <xf numFmtId="1" fontId="7" fillId="0" borderId="0" xfId="0" applyNumberFormat="1" applyFont="1"/>
    <xf numFmtId="0" fontId="11" fillId="0" borderId="0" xfId="0" applyFont="1"/>
    <xf numFmtId="166" fontId="7" fillId="0" borderId="0" xfId="0" applyNumberFormat="1" applyFont="1"/>
    <xf numFmtId="166" fontId="13" fillId="0" borderId="0" xfId="0" applyNumberFormat="1" applyFont="1"/>
    <xf numFmtId="165" fontId="11" fillId="0" borderId="0" xfId="0" applyNumberFormat="1" applyFont="1"/>
    <xf numFmtId="0" fontId="6" fillId="0" borderId="5" xfId="0" applyFont="1" applyBorder="1" applyAlignment="1">
      <alignment horizontal="right"/>
    </xf>
    <xf numFmtId="0" fontId="11" fillId="0" borderId="3" xfId="0" applyFont="1" applyBorder="1"/>
    <xf numFmtId="0" fontId="15" fillId="0" borderId="0" xfId="0" applyFont="1"/>
    <xf numFmtId="2" fontId="13" fillId="0" borderId="0" xfId="0" applyNumberFormat="1" applyFont="1"/>
    <xf numFmtId="2" fontId="7" fillId="0" borderId="0" xfId="0" applyNumberFormat="1" applyFont="1"/>
    <xf numFmtId="0" fontId="0" fillId="0" borderId="0" xfId="0" applyFill="1" applyBorder="1"/>
    <xf numFmtId="0" fontId="0" fillId="0" borderId="5" xfId="0" applyFill="1" applyBorder="1"/>
    <xf numFmtId="166" fontId="11" fillId="0" borderId="3" xfId="0" applyNumberFormat="1" applyFont="1" applyBorder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11" xfId="0" applyBorder="1"/>
    <xf numFmtId="0" fontId="7" fillId="0" borderId="0" xfId="0" applyFont="1" applyBorder="1"/>
    <xf numFmtId="0" fontId="9" fillId="0" borderId="0" xfId="0" applyFont="1" applyBorder="1"/>
    <xf numFmtId="0" fontId="9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7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0" xfId="0" applyAlignment="1">
      <alignment horizontal="right"/>
    </xf>
    <xf numFmtId="0" fontId="6" fillId="0" borderId="0" xfId="0" applyFont="1" applyFill="1" applyBorder="1"/>
    <xf numFmtId="0" fontId="0" fillId="0" borderId="20" xfId="0" applyBorder="1"/>
    <xf numFmtId="11" fontId="7" fillId="0" borderId="0" xfId="0" applyNumberFormat="1" applyFont="1"/>
    <xf numFmtId="0" fontId="0" fillId="0" borderId="6" xfId="0" applyBorder="1" applyAlignment="1">
      <alignment horizontal="right"/>
    </xf>
    <xf numFmtId="0" fontId="0" fillId="0" borderId="8" xfId="0" applyBorder="1"/>
    <xf numFmtId="165" fontId="11" fillId="0" borderId="3" xfId="0" applyNumberFormat="1" applyFont="1" applyBorder="1"/>
    <xf numFmtId="165" fontId="7" fillId="0" borderId="3" xfId="0" applyNumberFormat="1" applyFont="1" applyBorder="1"/>
    <xf numFmtId="0" fontId="0" fillId="0" borderId="21" xfId="0" applyBorder="1"/>
    <xf numFmtId="0" fontId="0" fillId="0" borderId="22" xfId="0" applyBorder="1"/>
    <xf numFmtId="0" fontId="7" fillId="0" borderId="0" xfId="0" applyFont="1" applyAlignment="1">
      <alignment wrapText="1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right"/>
    </xf>
    <xf numFmtId="165" fontId="0" fillId="0" borderId="0" xfId="0" applyNumberFormat="1" applyBorder="1"/>
    <xf numFmtId="0" fontId="0" fillId="0" borderId="0" xfId="0" applyFill="1"/>
    <xf numFmtId="164" fontId="0" fillId="0" borderId="0" xfId="0" applyNumberFormat="1"/>
    <xf numFmtId="165" fontId="3" fillId="0" borderId="0" xfId="0" applyNumberFormat="1" applyFont="1"/>
    <xf numFmtId="0" fontId="25" fillId="0" borderId="0" xfId="0" applyFont="1"/>
    <xf numFmtId="0" fontId="0" fillId="0" borderId="0" xfId="0" applyFont="1" applyFill="1" applyBorder="1"/>
    <xf numFmtId="0" fontId="3" fillId="0" borderId="10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Border="1"/>
    <xf numFmtId="165" fontId="13" fillId="0" borderId="0" xfId="0" applyNumberFormat="1" applyFont="1" applyAlignment="1">
      <alignment horizontal="right"/>
    </xf>
    <xf numFmtId="165" fontId="9" fillId="0" borderId="0" xfId="0" applyNumberFormat="1" applyFont="1"/>
    <xf numFmtId="165" fontId="0" fillId="0" borderId="0" xfId="0" applyNumberFormat="1" applyAlignment="1">
      <alignment horizontal="right"/>
    </xf>
    <xf numFmtId="0" fontId="26" fillId="0" borderId="0" xfId="0" applyFont="1"/>
    <xf numFmtId="2" fontId="0" fillId="0" borderId="9" xfId="0" applyNumberFormat="1" applyBorder="1"/>
    <xf numFmtId="1" fontId="0" fillId="0" borderId="9" xfId="0" applyNumberFormat="1" applyBorder="1"/>
    <xf numFmtId="168" fontId="11" fillId="0" borderId="0" xfId="0" applyNumberFormat="1" applyFont="1"/>
    <xf numFmtId="2" fontId="3" fillId="0" borderId="0" xfId="0" applyNumberFormat="1" applyFont="1"/>
    <xf numFmtId="0" fontId="3" fillId="0" borderId="0" xfId="0" applyFont="1" applyAlignment="1">
      <alignment horizontal="right"/>
    </xf>
    <xf numFmtId="0" fontId="0" fillId="0" borderId="23" xfId="0" applyBorder="1"/>
    <xf numFmtId="0" fontId="0" fillId="0" borderId="24" xfId="0" applyBorder="1"/>
    <xf numFmtId="0" fontId="24" fillId="0" borderId="0" xfId="0" applyFont="1"/>
    <xf numFmtId="0" fontId="0" fillId="0" borderId="25" xfId="0" applyBorder="1"/>
    <xf numFmtId="1" fontId="0" fillId="0" borderId="5" xfId="0" applyNumberFormat="1" applyBorder="1"/>
    <xf numFmtId="1" fontId="0" fillId="0" borderId="26" xfId="0" applyNumberFormat="1" applyBorder="1"/>
    <xf numFmtId="2" fontId="0" fillId="0" borderId="26" xfId="0" applyNumberFormat="1" applyBorder="1"/>
    <xf numFmtId="2" fontId="0" fillId="0" borderId="5" xfId="0" applyNumberFormat="1" applyBorder="1"/>
    <xf numFmtId="0" fontId="3" fillId="0" borderId="0" xfId="0" quotePrefix="1" applyFont="1"/>
    <xf numFmtId="1" fontId="0" fillId="0" borderId="10" xfId="0" applyNumberFormat="1" applyBorder="1"/>
    <xf numFmtId="0" fontId="0" fillId="0" borderId="27" xfId="0" applyBorder="1"/>
    <xf numFmtId="0" fontId="0" fillId="0" borderId="28" xfId="0" applyBorder="1" applyAlignment="1">
      <alignment horizontal="right"/>
    </xf>
    <xf numFmtId="0" fontId="0" fillId="0" borderId="13" xfId="0" applyBorder="1" applyAlignment="1">
      <alignment horizontal="right"/>
    </xf>
    <xf numFmtId="0" fontId="25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2" xfId="0" applyFont="1" applyBorder="1"/>
    <xf numFmtId="0" fontId="16" fillId="0" borderId="17" xfId="1" applyBorder="1" applyAlignment="1" applyProtection="1"/>
    <xf numFmtId="0" fontId="5" fillId="0" borderId="0" xfId="0" applyFont="1"/>
    <xf numFmtId="0" fontId="16" fillId="0" borderId="0" xfId="1" applyAlignment="1" applyProtection="1"/>
    <xf numFmtId="0" fontId="16" fillId="0" borderId="17" xfId="1" applyFont="1" applyBorder="1" applyAlignment="1" applyProtection="1"/>
    <xf numFmtId="166" fontId="0" fillId="0" borderId="29" xfId="0" applyNumberFormat="1" applyBorder="1"/>
    <xf numFmtId="166" fontId="0" fillId="0" borderId="30" xfId="0" applyNumberFormat="1" applyBorder="1"/>
    <xf numFmtId="166" fontId="0" fillId="0" borderId="9" xfId="0" applyNumberFormat="1" applyBorder="1"/>
    <xf numFmtId="167" fontId="3" fillId="0" borderId="0" xfId="0" applyNumberFormat="1" applyFont="1"/>
    <xf numFmtId="1" fontId="7" fillId="0" borderId="0" xfId="0" applyNumberFormat="1" applyFont="1" applyAlignment="1">
      <alignment horizontal="right"/>
    </xf>
    <xf numFmtId="165" fontId="7" fillId="0" borderId="4" xfId="0" applyNumberFormat="1" applyFont="1" applyBorder="1"/>
    <xf numFmtId="165" fontId="0" fillId="0" borderId="1" xfId="0" applyNumberFormat="1" applyBorder="1"/>
    <xf numFmtId="0" fontId="0" fillId="0" borderId="9" xfId="0" applyBorder="1" applyAlignment="1">
      <alignment horizontal="left"/>
    </xf>
    <xf numFmtId="1" fontId="26" fillId="0" borderId="0" xfId="0" applyNumberFormat="1" applyFont="1"/>
    <xf numFmtId="1" fontId="11" fillId="0" borderId="0" xfId="0" applyNumberFormat="1" applyFont="1"/>
    <xf numFmtId="166" fontId="3" fillId="0" borderId="0" xfId="0" applyNumberFormat="1" applyFont="1"/>
    <xf numFmtId="0" fontId="16" fillId="0" borderId="0" xfId="1" applyAlignment="1" applyProtection="1">
      <alignment horizontal="left" readingOrder="1"/>
    </xf>
    <xf numFmtId="166" fontId="0" fillId="0" borderId="26" xfId="0" applyNumberFormat="1" applyBorder="1"/>
    <xf numFmtId="164" fontId="0" fillId="0" borderId="5" xfId="0" applyNumberFormat="1" applyBorder="1"/>
    <xf numFmtId="164" fontId="0" fillId="0" borderId="9" xfId="0" applyNumberFormat="1" applyBorder="1"/>
    <xf numFmtId="164" fontId="0" fillId="0" borderId="26" xfId="0" applyNumberFormat="1" applyBorder="1"/>
    <xf numFmtId="0" fontId="0" fillId="0" borderId="31" xfId="0" applyBorder="1"/>
    <xf numFmtId="166" fontId="0" fillId="0" borderId="32" xfId="0" applyNumberFormat="1" applyBorder="1"/>
    <xf numFmtId="164" fontId="0" fillId="0" borderId="10" xfId="0" applyNumberFormat="1" applyBorder="1"/>
    <xf numFmtId="1" fontId="0" fillId="0" borderId="33" xfId="0" applyNumberFormat="1" applyBorder="1"/>
    <xf numFmtId="2" fontId="0" fillId="0" borderId="33" xfId="0" applyNumberFormat="1" applyBorder="1"/>
    <xf numFmtId="164" fontId="0" fillId="0" borderId="33" xfId="0" applyNumberFormat="1" applyBorder="1"/>
    <xf numFmtId="1" fontId="0" fillId="0" borderId="1" xfId="0" applyNumberFormat="1" applyBorder="1"/>
    <xf numFmtId="2" fontId="0" fillId="0" borderId="1" xfId="0" applyNumberFormat="1" applyBorder="1"/>
    <xf numFmtId="164" fontId="0" fillId="0" borderId="4" xfId="0" applyNumberFormat="1" applyBorder="1"/>
    <xf numFmtId="2" fontId="0" fillId="0" borderId="0" xfId="0" applyNumberFormat="1" applyBorder="1" applyAlignment="1">
      <alignment horizontal="right"/>
    </xf>
    <xf numFmtId="166" fontId="0" fillId="0" borderId="34" xfId="0" applyNumberFormat="1" applyBorder="1"/>
    <xf numFmtId="1" fontId="0" fillId="0" borderId="4" xfId="0" applyNumberFormat="1" applyBorder="1"/>
    <xf numFmtId="1" fontId="0" fillId="0" borderId="35" xfId="0" applyNumberFormat="1" applyBorder="1"/>
    <xf numFmtId="0" fontId="0" fillId="0" borderId="36" xfId="0" applyBorder="1"/>
    <xf numFmtId="0" fontId="0" fillId="2" borderId="37" xfId="0" applyFill="1" applyBorder="1"/>
    <xf numFmtId="0" fontId="3" fillId="2" borderId="21" xfId="0" applyFont="1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8" xfId="0" applyFill="1" applyBorder="1"/>
    <xf numFmtId="0" fontId="0" fillId="2" borderId="7" xfId="0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2" borderId="2" xfId="0" applyFill="1" applyBorder="1"/>
    <xf numFmtId="0" fontId="0" fillId="2" borderId="20" xfId="0" applyFill="1" applyBorder="1"/>
    <xf numFmtId="0" fontId="3" fillId="2" borderId="1" xfId="0" applyFont="1" applyFill="1" applyBorder="1"/>
    <xf numFmtId="0" fontId="0" fillId="2" borderId="1" xfId="0" quotePrefix="1" applyFill="1" applyBorder="1"/>
    <xf numFmtId="0" fontId="2" fillId="2" borderId="1" xfId="0" applyFont="1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0" xfId="0" applyFill="1"/>
    <xf numFmtId="0" fontId="0" fillId="2" borderId="22" xfId="0" applyFill="1" applyBorder="1"/>
    <xf numFmtId="0" fontId="9" fillId="2" borderId="9" xfId="0" applyFont="1" applyFill="1" applyBorder="1" applyAlignment="1">
      <alignment horizontal="center"/>
    </xf>
    <xf numFmtId="0" fontId="0" fillId="2" borderId="0" xfId="0" applyFont="1" applyFill="1" applyBorder="1"/>
    <xf numFmtId="0" fontId="7" fillId="2" borderId="21" xfId="0" applyFont="1" applyFill="1" applyBorder="1"/>
    <xf numFmtId="0" fontId="7" fillId="2" borderId="0" xfId="0" applyFont="1" applyFill="1" applyBorder="1"/>
    <xf numFmtId="0" fontId="3" fillId="2" borderId="20" xfId="0" applyFont="1" applyFill="1" applyBorder="1"/>
    <xf numFmtId="0" fontId="7" fillId="2" borderId="1" xfId="0" applyFont="1" applyFill="1" applyBorder="1"/>
    <xf numFmtId="0" fontId="7" fillId="2" borderId="11" xfId="0" applyFont="1" applyFill="1" applyBorder="1"/>
    <xf numFmtId="0" fontId="0" fillId="0" borderId="12" xfId="0" applyBorder="1" applyAlignment="1">
      <alignment horizontal="right"/>
    </xf>
    <xf numFmtId="0" fontId="0" fillId="0" borderId="38" xfId="0" applyBorder="1" applyAlignment="1">
      <alignment horizontal="right"/>
    </xf>
    <xf numFmtId="0" fontId="3" fillId="0" borderId="39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166" fontId="0" fillId="0" borderId="40" xfId="0" applyNumberFormat="1" applyBorder="1"/>
    <xf numFmtId="2" fontId="0" fillId="0" borderId="35" xfId="0" applyNumberFormat="1" applyBorder="1"/>
    <xf numFmtId="164" fontId="0" fillId="0" borderId="35" xfId="0" applyNumberFormat="1" applyBorder="1"/>
    <xf numFmtId="166" fontId="0" fillId="0" borderId="41" xfId="0" applyNumberFormat="1" applyBorder="1"/>
    <xf numFmtId="166" fontId="0" fillId="0" borderId="42" xfId="0" applyNumberFormat="1" applyBorder="1"/>
    <xf numFmtId="1" fontId="0" fillId="0" borderId="18" xfId="0" applyNumberFormat="1" applyBorder="1"/>
    <xf numFmtId="0" fontId="0" fillId="0" borderId="43" xfId="0" applyBorder="1" applyAlignment="1">
      <alignment horizontal="right"/>
    </xf>
    <xf numFmtId="0" fontId="0" fillId="0" borderId="44" xfId="0" applyBorder="1" applyAlignment="1">
      <alignment horizontal="right"/>
    </xf>
    <xf numFmtId="0" fontId="3" fillId="0" borderId="0" xfId="0" applyFont="1" applyBorder="1" applyAlignment="1">
      <alignment horizontal="left"/>
    </xf>
    <xf numFmtId="166" fontId="0" fillId="0" borderId="35" xfId="0" applyNumberFormat="1" applyBorder="1"/>
    <xf numFmtId="166" fontId="0" fillId="0" borderId="10" xfId="0" applyNumberFormat="1" applyBorder="1"/>
    <xf numFmtId="166" fontId="0" fillId="0" borderId="4" xfId="0" applyNumberFormat="1" applyBorder="1"/>
    <xf numFmtId="166" fontId="0" fillId="0" borderId="45" xfId="0" applyNumberFormat="1" applyBorder="1"/>
    <xf numFmtId="166" fontId="0" fillId="0" borderId="11" xfId="0" applyNumberFormat="1" applyBorder="1"/>
    <xf numFmtId="166" fontId="0" fillId="0" borderId="37" xfId="0" applyNumberFormat="1" applyBorder="1"/>
    <xf numFmtId="166" fontId="0" fillId="0" borderId="46" xfId="0" applyNumberFormat="1" applyBorder="1"/>
    <xf numFmtId="166" fontId="0" fillId="0" borderId="7" xfId="0" applyNumberFormat="1" applyBorder="1"/>
    <xf numFmtId="0" fontId="3" fillId="0" borderId="47" xfId="0" applyFont="1" applyBorder="1" applyAlignment="1">
      <alignment horizontal="right"/>
    </xf>
    <xf numFmtId="0" fontId="7" fillId="2" borderId="0" xfId="0" applyFont="1" applyFill="1"/>
    <xf numFmtId="0" fontId="8" fillId="0" borderId="0" xfId="0" applyFont="1" applyAlignment="1">
      <alignment horizontal="left"/>
    </xf>
    <xf numFmtId="1" fontId="13" fillId="2" borderId="0" xfId="0" applyNumberFormat="1" applyFont="1" applyFill="1" applyBorder="1"/>
    <xf numFmtId="0" fontId="13" fillId="2" borderId="0" xfId="0" applyFont="1" applyFill="1" applyBorder="1"/>
    <xf numFmtId="2" fontId="13" fillId="2" borderId="21" xfId="0" applyNumberFormat="1" applyFont="1" applyFill="1" applyBorder="1"/>
    <xf numFmtId="0" fontId="13" fillId="2" borderId="21" xfId="0" applyFont="1" applyFill="1" applyBorder="1"/>
    <xf numFmtId="166" fontId="13" fillId="2" borderId="21" xfId="0" applyNumberFormat="1" applyFont="1" applyFill="1" applyBorder="1"/>
    <xf numFmtId="0" fontId="9" fillId="2" borderId="1" xfId="0" applyFont="1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8" xfId="0" applyFill="1" applyBorder="1"/>
    <xf numFmtId="0" fontId="0" fillId="2" borderId="19" xfId="0" applyFill="1" applyBorder="1"/>
    <xf numFmtId="2" fontId="13" fillId="2" borderId="0" xfId="0" applyNumberFormat="1" applyFont="1" applyFill="1" applyBorder="1"/>
    <xf numFmtId="0" fontId="9" fillId="2" borderId="0" xfId="0" applyFont="1" applyFill="1" applyBorder="1" applyAlignment="1">
      <alignment horizontal="center"/>
    </xf>
    <xf numFmtId="1" fontId="32" fillId="0" borderId="0" xfId="0" applyNumberFormat="1" applyFont="1"/>
    <xf numFmtId="0" fontId="32" fillId="0" borderId="0" xfId="0" applyFont="1"/>
    <xf numFmtId="0" fontId="33" fillId="0" borderId="0" xfId="0" applyFont="1"/>
    <xf numFmtId="1" fontId="33" fillId="0" borderId="0" xfId="0" applyNumberFormat="1" applyFont="1"/>
    <xf numFmtId="0" fontId="23" fillId="0" borderId="0" xfId="0" applyFont="1"/>
    <xf numFmtId="0" fontId="34" fillId="0" borderId="0" xfId="0" applyFont="1"/>
    <xf numFmtId="0" fontId="35" fillId="0" borderId="0" xfId="0" applyFont="1"/>
    <xf numFmtId="0" fontId="0" fillId="0" borderId="0" xfId="0" applyBorder="1" applyAlignment="1">
      <alignment horizontal="left"/>
    </xf>
    <xf numFmtId="2" fontId="3" fillId="0" borderId="0" xfId="0" applyNumberFormat="1" applyFont="1" applyBorder="1" applyAlignment="1">
      <alignment horizontal="center"/>
    </xf>
    <xf numFmtId="165" fontId="32" fillId="0" borderId="0" xfId="0" applyNumberFormat="1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32" fillId="0" borderId="0" xfId="0" applyFont="1" applyBorder="1"/>
    <xf numFmtId="0" fontId="38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166" fontId="42" fillId="0" borderId="0" xfId="0" applyNumberFormat="1" applyFont="1"/>
    <xf numFmtId="1" fontId="32" fillId="2" borderId="0" xfId="0" applyNumberFormat="1" applyFont="1" applyFill="1" applyBorder="1"/>
    <xf numFmtId="0" fontId="32" fillId="2" borderId="0" xfId="0" applyFont="1" applyFill="1" applyBorder="1"/>
    <xf numFmtId="2" fontId="32" fillId="2" borderId="0" xfId="0" applyNumberFormat="1" applyFont="1" applyFill="1" applyBorder="1"/>
    <xf numFmtId="2" fontId="34" fillId="2" borderId="0" xfId="0" applyNumberFormat="1" applyFont="1" applyFill="1" applyBorder="1"/>
    <xf numFmtId="0" fontId="34" fillId="2" borderId="0" xfId="0" applyFont="1" applyFill="1" applyBorder="1"/>
    <xf numFmtId="2" fontId="34" fillId="2" borderId="21" xfId="0" applyNumberFormat="1" applyFont="1" applyFill="1" applyBorder="1"/>
    <xf numFmtId="0" fontId="34" fillId="2" borderId="21" xfId="0" applyFont="1" applyFill="1" applyBorder="1"/>
    <xf numFmtId="165" fontId="32" fillId="2" borderId="1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/>
    <xf numFmtId="1" fontId="34" fillId="0" borderId="0" xfId="0" applyNumberFormat="1" applyFont="1" applyFill="1" applyBorder="1"/>
    <xf numFmtId="0" fontId="34" fillId="0" borderId="0" xfId="0" applyFont="1" applyFill="1" applyBorder="1"/>
    <xf numFmtId="166" fontId="32" fillId="0" borderId="0" xfId="0" applyNumberFormat="1" applyFont="1"/>
    <xf numFmtId="166" fontId="3" fillId="0" borderId="0" xfId="0" applyNumberFormat="1" applyFont="1" applyBorder="1"/>
    <xf numFmtId="0" fontId="2" fillId="0" borderId="0" xfId="0" applyFont="1" applyBorder="1"/>
    <xf numFmtId="166" fontId="13" fillId="0" borderId="0" xfId="0" applyNumberFormat="1" applyFont="1" applyFill="1" applyBorder="1"/>
    <xf numFmtId="0" fontId="13" fillId="0" borderId="0" xfId="0" applyFont="1" applyFill="1" applyBorder="1"/>
    <xf numFmtId="0" fontId="2" fillId="0" borderId="0" xfId="0" applyFont="1" applyFill="1" applyBorder="1"/>
    <xf numFmtId="167" fontId="9" fillId="0" borderId="0" xfId="0" applyNumberFormat="1" applyFont="1"/>
    <xf numFmtId="1" fontId="42" fillId="0" borderId="0" xfId="0" applyNumberFormat="1" applyFont="1"/>
    <xf numFmtId="0" fontId="32" fillId="0" borderId="0" xfId="0" applyFont="1" applyFill="1" applyBorder="1"/>
    <xf numFmtId="0" fontId="34" fillId="0" borderId="0" xfId="0" applyFont="1" applyBorder="1"/>
    <xf numFmtId="0" fontId="4" fillId="0" borderId="0" xfId="0" applyFont="1"/>
    <xf numFmtId="166" fontId="13" fillId="0" borderId="0" xfId="0" applyNumberFormat="1" applyFont="1" applyProtection="1"/>
    <xf numFmtId="0" fontId="13" fillId="0" borderId="0" xfId="0" applyFont="1" applyProtection="1"/>
    <xf numFmtId="166" fontId="3" fillId="0" borderId="0" xfId="0" applyNumberFormat="1" applyFont="1" applyProtection="1"/>
    <xf numFmtId="0" fontId="3" fillId="0" borderId="0" xfId="0" applyFont="1" applyProtection="1"/>
    <xf numFmtId="2" fontId="34" fillId="0" borderId="0" xfId="0" applyNumberFormat="1" applyFont="1"/>
    <xf numFmtId="0" fontId="3" fillId="0" borderId="0" xfId="0" applyFont="1" applyAlignment="1">
      <alignment horizontal="left"/>
    </xf>
    <xf numFmtId="0" fontId="30" fillId="0" borderId="0" xfId="0" applyFont="1"/>
    <xf numFmtId="0" fontId="3" fillId="3" borderId="0" xfId="0" applyFont="1" applyFill="1"/>
    <xf numFmtId="0" fontId="43" fillId="3" borderId="0" xfId="0" applyFont="1" applyFill="1"/>
    <xf numFmtId="165" fontId="44" fillId="3" borderId="0" xfId="0" applyNumberFormat="1" applyFont="1" applyFill="1"/>
    <xf numFmtId="0" fontId="44" fillId="3" borderId="0" xfId="0" applyFont="1" applyFill="1"/>
    <xf numFmtId="0" fontId="44" fillId="0" borderId="0" xfId="0" applyFont="1"/>
    <xf numFmtId="165" fontId="0" fillId="3" borderId="5" xfId="0" applyNumberFormat="1" applyFill="1" applyBorder="1"/>
    <xf numFmtId="165" fontId="0" fillId="3" borderId="26" xfId="0" applyNumberFormat="1" applyFill="1" applyBorder="1"/>
    <xf numFmtId="0" fontId="3" fillId="3" borderId="48" xfId="0" applyFont="1" applyFill="1" applyBorder="1" applyAlignment="1">
      <alignment horizontal="right"/>
    </xf>
    <xf numFmtId="1" fontId="44" fillId="0" borderId="0" xfId="0" applyNumberFormat="1" applyFont="1"/>
    <xf numFmtId="165" fontId="44" fillId="3" borderId="0" xfId="0" applyNumberFormat="1" applyFont="1" applyFill="1" applyAlignment="1">
      <alignment horizontal="right"/>
    </xf>
    <xf numFmtId="1" fontId="43" fillId="0" borderId="0" xfId="0" applyNumberFormat="1" applyFont="1"/>
    <xf numFmtId="165" fontId="44" fillId="0" borderId="0" xfId="0" applyNumberFormat="1" applyFont="1" applyBorder="1"/>
    <xf numFmtId="165" fontId="44" fillId="0" borderId="0" xfId="0" applyNumberFormat="1" applyFont="1" applyAlignment="1">
      <alignment horizontal="right"/>
    </xf>
    <xf numFmtId="165" fontId="44" fillId="0" borderId="0" xfId="0" applyNumberFormat="1" applyFont="1"/>
    <xf numFmtId="0" fontId="43" fillId="0" borderId="0" xfId="0" applyFont="1"/>
    <xf numFmtId="0" fontId="9" fillId="3" borderId="0" xfId="0" applyFont="1" applyFill="1"/>
    <xf numFmtId="0" fontId="0" fillId="3" borderId="0" xfId="0" applyFill="1"/>
    <xf numFmtId="1" fontId="44" fillId="3" borderId="0" xfId="0" applyNumberFormat="1" applyFont="1" applyFill="1"/>
    <xf numFmtId="166" fontId="44" fillId="0" borderId="0" xfId="0" applyNumberFormat="1" applyFont="1"/>
    <xf numFmtId="2" fontId="44" fillId="0" borderId="0" xfId="0" applyNumberFormat="1" applyFont="1"/>
    <xf numFmtId="0" fontId="44" fillId="0" borderId="0" xfId="0" applyFont="1" applyAlignment="1">
      <alignment horizontal="right"/>
    </xf>
    <xf numFmtId="166" fontId="13" fillId="3" borderId="0" xfId="0" applyNumberFormat="1" applyFont="1" applyFill="1"/>
    <xf numFmtId="10" fontId="0" fillId="0" borderId="0" xfId="2" applyNumberFormat="1" applyFont="1"/>
    <xf numFmtId="0" fontId="3" fillId="3" borderId="0" xfId="0" applyFont="1" applyFill="1" applyAlignment="1">
      <alignment horizontal="left"/>
    </xf>
    <xf numFmtId="0" fontId="13" fillId="3" borderId="0" xfId="0" applyFont="1" applyFill="1"/>
    <xf numFmtId="0" fontId="3" fillId="0" borderId="0" xfId="3"/>
    <xf numFmtId="0" fontId="3" fillId="0" borderId="12" xfId="3" applyBorder="1"/>
    <xf numFmtId="0" fontId="3" fillId="0" borderId="13" xfId="3" applyBorder="1"/>
    <xf numFmtId="0" fontId="3" fillId="0" borderId="14" xfId="3" applyBorder="1"/>
    <xf numFmtId="0" fontId="3" fillId="0" borderId="12" xfId="3" applyFont="1" applyBorder="1"/>
    <xf numFmtId="0" fontId="2" fillId="0" borderId="15" xfId="3" applyFont="1" applyBorder="1"/>
    <xf numFmtId="0" fontId="3" fillId="0" borderId="0" xfId="3" applyBorder="1"/>
    <xf numFmtId="0" fontId="3" fillId="0" borderId="16" xfId="3" applyBorder="1"/>
    <xf numFmtId="0" fontId="3" fillId="0" borderId="18" xfId="3" applyBorder="1"/>
    <xf numFmtId="0" fontId="3" fillId="0" borderId="19" xfId="3" applyBorder="1"/>
    <xf numFmtId="0" fontId="16" fillId="0" borderId="17" xfId="1" applyBorder="1" applyAlignment="1" applyProtection="1">
      <alignment horizontal="left" readingOrder="1"/>
    </xf>
    <xf numFmtId="0" fontId="24" fillId="0" borderId="0" xfId="3" applyFont="1"/>
    <xf numFmtId="0" fontId="3" fillId="0" borderId="0" xfId="3" applyFont="1"/>
    <xf numFmtId="0" fontId="2" fillId="2" borderId="12" xfId="0" applyFont="1" applyFill="1" applyBorder="1"/>
    <xf numFmtId="0" fontId="2" fillId="2" borderId="17" xfId="0" applyFont="1" applyFill="1" applyBorder="1"/>
    <xf numFmtId="0" fontId="89" fillId="59" borderId="0" xfId="6552" applyFont="1" applyFill="1"/>
    <xf numFmtId="0" fontId="50" fillId="59" borderId="0" xfId="6552" applyFill="1"/>
    <xf numFmtId="0" fontId="50" fillId="0" borderId="0" xfId="6552"/>
    <xf numFmtId="0" fontId="90" fillId="59" borderId="0" xfId="6552" applyFont="1" applyFill="1"/>
    <xf numFmtId="0" fontId="91" fillId="59" borderId="0" xfId="6552" applyFont="1" applyFill="1"/>
    <xf numFmtId="0" fontId="92" fillId="59" borderId="0" xfId="6030" applyFont="1" applyFill="1" applyAlignment="1" applyProtection="1"/>
  </cellXfs>
  <cellStyles count="7474">
    <cellStyle name="20% - Akzent1 10" xfId="4"/>
    <cellStyle name="20% - Akzent1 10 2" xfId="5"/>
    <cellStyle name="20% - Akzent1 11" xfId="6"/>
    <cellStyle name="20% - Akzent1 2" xfId="7"/>
    <cellStyle name="20% - Akzent1 2 2" xfId="8"/>
    <cellStyle name="20% - Akzent1 3" xfId="9"/>
    <cellStyle name="20% - Akzent1 3 10" xfId="10"/>
    <cellStyle name="20% - Akzent1 3 10 2" xfId="11"/>
    <cellStyle name="20% - Akzent1 3 11" xfId="12"/>
    <cellStyle name="20% - Akzent1 3 12" xfId="13"/>
    <cellStyle name="20% - Akzent1 3 13" xfId="14"/>
    <cellStyle name="20% - Akzent1 3 14" xfId="15"/>
    <cellStyle name="20% - Akzent1 3 2" xfId="16"/>
    <cellStyle name="20% - Akzent1 3 2 10" xfId="17"/>
    <cellStyle name="20% - Akzent1 3 2 11" xfId="18"/>
    <cellStyle name="20% - Akzent1 3 2 2" xfId="19"/>
    <cellStyle name="20% - Akzent1 3 2 2 10" xfId="20"/>
    <cellStyle name="20% - Akzent1 3 2 2 2" xfId="21"/>
    <cellStyle name="20% - Akzent1 3 2 2 2 2" xfId="22"/>
    <cellStyle name="20% - Akzent1 3 2 2 2 2 2" xfId="23"/>
    <cellStyle name="20% - Akzent1 3 2 2 2 2 2 2" xfId="24"/>
    <cellStyle name="20% - Akzent1 3 2 2 2 2 3" xfId="25"/>
    <cellStyle name="20% - Akzent1 3 2 2 2 2 4" xfId="26"/>
    <cellStyle name="20% - Akzent1 3 2 2 2 2 5" xfId="27"/>
    <cellStyle name="20% - Akzent1 3 2 2 2 3" xfId="28"/>
    <cellStyle name="20% - Akzent1 3 2 2 2 3 2" xfId="29"/>
    <cellStyle name="20% - Akzent1 3 2 2 2 3 2 2" xfId="30"/>
    <cellStyle name="20% - Akzent1 3 2 2 2 3 3" xfId="31"/>
    <cellStyle name="20% - Akzent1 3 2 2 2 3 4" xfId="32"/>
    <cellStyle name="20% - Akzent1 3 2 2 2 3 5" xfId="33"/>
    <cellStyle name="20% - Akzent1 3 2 2 2 4" xfId="34"/>
    <cellStyle name="20% - Akzent1 3 2 2 2 4 2" xfId="35"/>
    <cellStyle name="20% - Akzent1 3 2 2 2 4 2 2" xfId="36"/>
    <cellStyle name="20% - Akzent1 3 2 2 2 4 3" xfId="37"/>
    <cellStyle name="20% - Akzent1 3 2 2 2 4 4" xfId="38"/>
    <cellStyle name="20% - Akzent1 3 2 2 2 5" xfId="39"/>
    <cellStyle name="20% - Akzent1 3 2 2 2 5 2" xfId="40"/>
    <cellStyle name="20% - Akzent1 3 2 2 2 6" xfId="41"/>
    <cellStyle name="20% - Akzent1 3 2 2 2 7" xfId="42"/>
    <cellStyle name="20% - Akzent1 3 2 2 2 8" xfId="43"/>
    <cellStyle name="20% - Akzent1 3 2 2 2 9" xfId="44"/>
    <cellStyle name="20% - Akzent1 3 2 2 3" xfId="45"/>
    <cellStyle name="20% - Akzent1 3 2 2 3 2" xfId="46"/>
    <cellStyle name="20% - Akzent1 3 2 2 3 2 2" xfId="47"/>
    <cellStyle name="20% - Akzent1 3 2 2 3 3" xfId="48"/>
    <cellStyle name="20% - Akzent1 3 2 2 3 4" xfId="49"/>
    <cellStyle name="20% - Akzent1 3 2 2 3 5" xfId="50"/>
    <cellStyle name="20% - Akzent1 3 2 2 4" xfId="51"/>
    <cellStyle name="20% - Akzent1 3 2 2 4 2" xfId="52"/>
    <cellStyle name="20% - Akzent1 3 2 2 4 2 2" xfId="53"/>
    <cellStyle name="20% - Akzent1 3 2 2 4 3" xfId="54"/>
    <cellStyle name="20% - Akzent1 3 2 2 4 4" xfId="55"/>
    <cellStyle name="20% - Akzent1 3 2 2 4 5" xfId="56"/>
    <cellStyle name="20% - Akzent1 3 2 2 5" xfId="57"/>
    <cellStyle name="20% - Akzent1 3 2 2 5 2" xfId="58"/>
    <cellStyle name="20% - Akzent1 3 2 2 5 2 2" xfId="59"/>
    <cellStyle name="20% - Akzent1 3 2 2 5 3" xfId="60"/>
    <cellStyle name="20% - Akzent1 3 2 2 5 4" xfId="61"/>
    <cellStyle name="20% - Akzent1 3 2 2 6" xfId="62"/>
    <cellStyle name="20% - Akzent1 3 2 2 6 2" xfId="63"/>
    <cellStyle name="20% - Akzent1 3 2 2 7" xfId="64"/>
    <cellStyle name="20% - Akzent1 3 2 2 8" xfId="65"/>
    <cellStyle name="20% - Akzent1 3 2 2 9" xfId="66"/>
    <cellStyle name="20% - Akzent1 3 2 3" xfId="67"/>
    <cellStyle name="20% - Akzent1 3 2 3 2" xfId="68"/>
    <cellStyle name="20% - Akzent1 3 2 3 2 2" xfId="69"/>
    <cellStyle name="20% - Akzent1 3 2 3 2 2 2" xfId="70"/>
    <cellStyle name="20% - Akzent1 3 2 3 2 3" xfId="71"/>
    <cellStyle name="20% - Akzent1 3 2 3 2 4" xfId="72"/>
    <cellStyle name="20% - Akzent1 3 2 3 2 5" xfId="73"/>
    <cellStyle name="20% - Akzent1 3 2 3 3" xfId="74"/>
    <cellStyle name="20% - Akzent1 3 2 3 3 2" xfId="75"/>
    <cellStyle name="20% - Akzent1 3 2 3 3 2 2" xfId="76"/>
    <cellStyle name="20% - Akzent1 3 2 3 3 3" xfId="77"/>
    <cellStyle name="20% - Akzent1 3 2 3 3 4" xfId="78"/>
    <cellStyle name="20% - Akzent1 3 2 3 3 5" xfId="79"/>
    <cellStyle name="20% - Akzent1 3 2 3 4" xfId="80"/>
    <cellStyle name="20% - Akzent1 3 2 3 4 2" xfId="81"/>
    <cellStyle name="20% - Akzent1 3 2 3 4 2 2" xfId="82"/>
    <cellStyle name="20% - Akzent1 3 2 3 4 3" xfId="83"/>
    <cellStyle name="20% - Akzent1 3 2 3 4 4" xfId="84"/>
    <cellStyle name="20% - Akzent1 3 2 3 5" xfId="85"/>
    <cellStyle name="20% - Akzent1 3 2 3 5 2" xfId="86"/>
    <cellStyle name="20% - Akzent1 3 2 3 6" xfId="87"/>
    <cellStyle name="20% - Akzent1 3 2 3 7" xfId="88"/>
    <cellStyle name="20% - Akzent1 3 2 3 8" xfId="89"/>
    <cellStyle name="20% - Akzent1 3 2 3 9" xfId="90"/>
    <cellStyle name="20% - Akzent1 3 2 4" xfId="91"/>
    <cellStyle name="20% - Akzent1 3 2 4 2" xfId="92"/>
    <cellStyle name="20% - Akzent1 3 2 4 2 2" xfId="93"/>
    <cellStyle name="20% - Akzent1 3 2 4 3" xfId="94"/>
    <cellStyle name="20% - Akzent1 3 2 4 4" xfId="95"/>
    <cellStyle name="20% - Akzent1 3 2 4 5" xfId="96"/>
    <cellStyle name="20% - Akzent1 3 2 5" xfId="97"/>
    <cellStyle name="20% - Akzent1 3 2 5 2" xfId="98"/>
    <cellStyle name="20% - Akzent1 3 2 5 2 2" xfId="99"/>
    <cellStyle name="20% - Akzent1 3 2 5 3" xfId="100"/>
    <cellStyle name="20% - Akzent1 3 2 5 4" xfId="101"/>
    <cellStyle name="20% - Akzent1 3 2 5 5" xfId="102"/>
    <cellStyle name="20% - Akzent1 3 2 6" xfId="103"/>
    <cellStyle name="20% - Akzent1 3 2 6 2" xfId="104"/>
    <cellStyle name="20% - Akzent1 3 2 6 2 2" xfId="105"/>
    <cellStyle name="20% - Akzent1 3 2 6 3" xfId="106"/>
    <cellStyle name="20% - Akzent1 3 2 6 4" xfId="107"/>
    <cellStyle name="20% - Akzent1 3 2 7" xfId="108"/>
    <cellStyle name="20% - Akzent1 3 2 7 2" xfId="109"/>
    <cellStyle name="20% - Akzent1 3 2 8" xfId="110"/>
    <cellStyle name="20% - Akzent1 3 2 9" xfId="111"/>
    <cellStyle name="20% - Akzent1 3 3" xfId="112"/>
    <cellStyle name="20% - Akzent1 3 3 10" xfId="113"/>
    <cellStyle name="20% - Akzent1 3 3 11" xfId="114"/>
    <cellStyle name="20% - Akzent1 3 3 2" xfId="115"/>
    <cellStyle name="20% - Akzent1 3 3 2 10" xfId="116"/>
    <cellStyle name="20% - Akzent1 3 3 2 2" xfId="117"/>
    <cellStyle name="20% - Akzent1 3 3 2 2 2" xfId="118"/>
    <cellStyle name="20% - Akzent1 3 3 2 2 2 2" xfId="119"/>
    <cellStyle name="20% - Akzent1 3 3 2 2 2 2 2" xfId="120"/>
    <cellStyle name="20% - Akzent1 3 3 2 2 2 3" xfId="121"/>
    <cellStyle name="20% - Akzent1 3 3 2 2 2 4" xfId="122"/>
    <cellStyle name="20% - Akzent1 3 3 2 2 2 5" xfId="123"/>
    <cellStyle name="20% - Akzent1 3 3 2 2 3" xfId="124"/>
    <cellStyle name="20% - Akzent1 3 3 2 2 3 2" xfId="125"/>
    <cellStyle name="20% - Akzent1 3 3 2 2 3 2 2" xfId="126"/>
    <cellStyle name="20% - Akzent1 3 3 2 2 3 3" xfId="127"/>
    <cellStyle name="20% - Akzent1 3 3 2 2 3 4" xfId="128"/>
    <cellStyle name="20% - Akzent1 3 3 2 2 3 5" xfId="129"/>
    <cellStyle name="20% - Akzent1 3 3 2 2 4" xfId="130"/>
    <cellStyle name="20% - Akzent1 3 3 2 2 4 2" xfId="131"/>
    <cellStyle name="20% - Akzent1 3 3 2 2 4 2 2" xfId="132"/>
    <cellStyle name="20% - Akzent1 3 3 2 2 4 3" xfId="133"/>
    <cellStyle name="20% - Akzent1 3 3 2 2 4 4" xfId="134"/>
    <cellStyle name="20% - Akzent1 3 3 2 2 5" xfId="135"/>
    <cellStyle name="20% - Akzent1 3 3 2 2 5 2" xfId="136"/>
    <cellStyle name="20% - Akzent1 3 3 2 2 6" xfId="137"/>
    <cellStyle name="20% - Akzent1 3 3 2 2 7" xfId="138"/>
    <cellStyle name="20% - Akzent1 3 3 2 2 8" xfId="139"/>
    <cellStyle name="20% - Akzent1 3 3 2 2 9" xfId="140"/>
    <cellStyle name="20% - Akzent1 3 3 2 3" xfId="141"/>
    <cellStyle name="20% - Akzent1 3 3 2 3 2" xfId="142"/>
    <cellStyle name="20% - Akzent1 3 3 2 3 2 2" xfId="143"/>
    <cellStyle name="20% - Akzent1 3 3 2 3 3" xfId="144"/>
    <cellStyle name="20% - Akzent1 3 3 2 3 4" xfId="145"/>
    <cellStyle name="20% - Akzent1 3 3 2 3 5" xfId="146"/>
    <cellStyle name="20% - Akzent1 3 3 2 4" xfId="147"/>
    <cellStyle name="20% - Akzent1 3 3 2 4 2" xfId="148"/>
    <cellStyle name="20% - Akzent1 3 3 2 4 2 2" xfId="149"/>
    <cellStyle name="20% - Akzent1 3 3 2 4 3" xfId="150"/>
    <cellStyle name="20% - Akzent1 3 3 2 4 4" xfId="151"/>
    <cellStyle name="20% - Akzent1 3 3 2 4 5" xfId="152"/>
    <cellStyle name="20% - Akzent1 3 3 2 5" xfId="153"/>
    <cellStyle name="20% - Akzent1 3 3 2 5 2" xfId="154"/>
    <cellStyle name="20% - Akzent1 3 3 2 5 2 2" xfId="155"/>
    <cellStyle name="20% - Akzent1 3 3 2 5 3" xfId="156"/>
    <cellStyle name="20% - Akzent1 3 3 2 5 4" xfId="157"/>
    <cellStyle name="20% - Akzent1 3 3 2 6" xfId="158"/>
    <cellStyle name="20% - Akzent1 3 3 2 6 2" xfId="159"/>
    <cellStyle name="20% - Akzent1 3 3 2 7" xfId="160"/>
    <cellStyle name="20% - Akzent1 3 3 2 8" xfId="161"/>
    <cellStyle name="20% - Akzent1 3 3 2 9" xfId="162"/>
    <cellStyle name="20% - Akzent1 3 3 3" xfId="163"/>
    <cellStyle name="20% - Akzent1 3 3 3 2" xfId="164"/>
    <cellStyle name="20% - Akzent1 3 3 3 2 2" xfId="165"/>
    <cellStyle name="20% - Akzent1 3 3 3 2 2 2" xfId="166"/>
    <cellStyle name="20% - Akzent1 3 3 3 2 3" xfId="167"/>
    <cellStyle name="20% - Akzent1 3 3 3 2 4" xfId="168"/>
    <cellStyle name="20% - Akzent1 3 3 3 2 5" xfId="169"/>
    <cellStyle name="20% - Akzent1 3 3 3 3" xfId="170"/>
    <cellStyle name="20% - Akzent1 3 3 3 3 2" xfId="171"/>
    <cellStyle name="20% - Akzent1 3 3 3 3 2 2" xfId="172"/>
    <cellStyle name="20% - Akzent1 3 3 3 3 3" xfId="173"/>
    <cellStyle name="20% - Akzent1 3 3 3 3 4" xfId="174"/>
    <cellStyle name="20% - Akzent1 3 3 3 3 5" xfId="175"/>
    <cellStyle name="20% - Akzent1 3 3 3 4" xfId="176"/>
    <cellStyle name="20% - Akzent1 3 3 3 4 2" xfId="177"/>
    <cellStyle name="20% - Akzent1 3 3 3 4 2 2" xfId="178"/>
    <cellStyle name="20% - Akzent1 3 3 3 4 3" xfId="179"/>
    <cellStyle name="20% - Akzent1 3 3 3 4 4" xfId="180"/>
    <cellStyle name="20% - Akzent1 3 3 3 5" xfId="181"/>
    <cellStyle name="20% - Akzent1 3 3 3 5 2" xfId="182"/>
    <cellStyle name="20% - Akzent1 3 3 3 6" xfId="183"/>
    <cellStyle name="20% - Akzent1 3 3 3 7" xfId="184"/>
    <cellStyle name="20% - Akzent1 3 3 3 8" xfId="185"/>
    <cellStyle name="20% - Akzent1 3 3 3 9" xfId="186"/>
    <cellStyle name="20% - Akzent1 3 3 4" xfId="187"/>
    <cellStyle name="20% - Akzent1 3 3 4 2" xfId="188"/>
    <cellStyle name="20% - Akzent1 3 3 4 2 2" xfId="189"/>
    <cellStyle name="20% - Akzent1 3 3 4 3" xfId="190"/>
    <cellStyle name="20% - Akzent1 3 3 4 4" xfId="191"/>
    <cellStyle name="20% - Akzent1 3 3 4 5" xfId="192"/>
    <cellStyle name="20% - Akzent1 3 3 5" xfId="193"/>
    <cellStyle name="20% - Akzent1 3 3 5 2" xfId="194"/>
    <cellStyle name="20% - Akzent1 3 3 5 2 2" xfId="195"/>
    <cellStyle name="20% - Akzent1 3 3 5 3" xfId="196"/>
    <cellStyle name="20% - Akzent1 3 3 5 4" xfId="197"/>
    <cellStyle name="20% - Akzent1 3 3 5 5" xfId="198"/>
    <cellStyle name="20% - Akzent1 3 3 6" xfId="199"/>
    <cellStyle name="20% - Akzent1 3 3 6 2" xfId="200"/>
    <cellStyle name="20% - Akzent1 3 3 6 2 2" xfId="201"/>
    <cellStyle name="20% - Akzent1 3 3 6 3" xfId="202"/>
    <cellStyle name="20% - Akzent1 3 3 6 4" xfId="203"/>
    <cellStyle name="20% - Akzent1 3 3 7" xfId="204"/>
    <cellStyle name="20% - Akzent1 3 3 7 2" xfId="205"/>
    <cellStyle name="20% - Akzent1 3 3 8" xfId="206"/>
    <cellStyle name="20% - Akzent1 3 3 9" xfId="207"/>
    <cellStyle name="20% - Akzent1 3 4" xfId="208"/>
    <cellStyle name="20% - Akzent1 3 4 10" xfId="209"/>
    <cellStyle name="20% - Akzent1 3 4 2" xfId="210"/>
    <cellStyle name="20% - Akzent1 3 4 2 2" xfId="211"/>
    <cellStyle name="20% - Akzent1 3 4 2 2 2" xfId="212"/>
    <cellStyle name="20% - Akzent1 3 4 2 2 2 2" xfId="213"/>
    <cellStyle name="20% - Akzent1 3 4 2 2 3" xfId="214"/>
    <cellStyle name="20% - Akzent1 3 4 2 2 4" xfId="215"/>
    <cellStyle name="20% - Akzent1 3 4 2 2 5" xfId="216"/>
    <cellStyle name="20% - Akzent1 3 4 2 3" xfId="217"/>
    <cellStyle name="20% - Akzent1 3 4 2 3 2" xfId="218"/>
    <cellStyle name="20% - Akzent1 3 4 2 3 2 2" xfId="219"/>
    <cellStyle name="20% - Akzent1 3 4 2 3 3" xfId="220"/>
    <cellStyle name="20% - Akzent1 3 4 2 3 4" xfId="221"/>
    <cellStyle name="20% - Akzent1 3 4 2 3 5" xfId="222"/>
    <cellStyle name="20% - Akzent1 3 4 2 4" xfId="223"/>
    <cellStyle name="20% - Akzent1 3 4 2 4 2" xfId="224"/>
    <cellStyle name="20% - Akzent1 3 4 2 4 2 2" xfId="225"/>
    <cellStyle name="20% - Akzent1 3 4 2 4 3" xfId="226"/>
    <cellStyle name="20% - Akzent1 3 4 2 4 4" xfId="227"/>
    <cellStyle name="20% - Akzent1 3 4 2 5" xfId="228"/>
    <cellStyle name="20% - Akzent1 3 4 2 5 2" xfId="229"/>
    <cellStyle name="20% - Akzent1 3 4 2 6" xfId="230"/>
    <cellStyle name="20% - Akzent1 3 4 2 7" xfId="231"/>
    <cellStyle name="20% - Akzent1 3 4 2 8" xfId="232"/>
    <cellStyle name="20% - Akzent1 3 4 2 9" xfId="233"/>
    <cellStyle name="20% - Akzent1 3 4 3" xfId="234"/>
    <cellStyle name="20% - Akzent1 3 4 3 2" xfId="235"/>
    <cellStyle name="20% - Akzent1 3 4 3 2 2" xfId="236"/>
    <cellStyle name="20% - Akzent1 3 4 3 3" xfId="237"/>
    <cellStyle name="20% - Akzent1 3 4 3 4" xfId="238"/>
    <cellStyle name="20% - Akzent1 3 4 3 5" xfId="239"/>
    <cellStyle name="20% - Akzent1 3 4 4" xfId="240"/>
    <cellStyle name="20% - Akzent1 3 4 4 2" xfId="241"/>
    <cellStyle name="20% - Akzent1 3 4 4 2 2" xfId="242"/>
    <cellStyle name="20% - Akzent1 3 4 4 3" xfId="243"/>
    <cellStyle name="20% - Akzent1 3 4 4 4" xfId="244"/>
    <cellStyle name="20% - Akzent1 3 4 4 5" xfId="245"/>
    <cellStyle name="20% - Akzent1 3 4 5" xfId="246"/>
    <cellStyle name="20% - Akzent1 3 4 5 2" xfId="247"/>
    <cellStyle name="20% - Akzent1 3 4 5 2 2" xfId="248"/>
    <cellStyle name="20% - Akzent1 3 4 5 3" xfId="249"/>
    <cellStyle name="20% - Akzent1 3 4 5 4" xfId="250"/>
    <cellStyle name="20% - Akzent1 3 4 6" xfId="251"/>
    <cellStyle name="20% - Akzent1 3 4 6 2" xfId="252"/>
    <cellStyle name="20% - Akzent1 3 4 7" xfId="253"/>
    <cellStyle name="20% - Akzent1 3 4 8" xfId="254"/>
    <cellStyle name="20% - Akzent1 3 4 9" xfId="255"/>
    <cellStyle name="20% - Akzent1 3 5" xfId="256"/>
    <cellStyle name="20% - Akzent1 3 5 10" xfId="257"/>
    <cellStyle name="20% - Akzent1 3 5 2" xfId="258"/>
    <cellStyle name="20% - Akzent1 3 5 2 2" xfId="259"/>
    <cellStyle name="20% - Akzent1 3 5 2 2 2" xfId="260"/>
    <cellStyle name="20% - Akzent1 3 5 2 2 2 2" xfId="261"/>
    <cellStyle name="20% - Akzent1 3 5 2 2 3" xfId="262"/>
    <cellStyle name="20% - Akzent1 3 5 2 2 4" xfId="263"/>
    <cellStyle name="20% - Akzent1 3 5 2 2 5" xfId="264"/>
    <cellStyle name="20% - Akzent1 3 5 2 3" xfId="265"/>
    <cellStyle name="20% - Akzent1 3 5 2 3 2" xfId="266"/>
    <cellStyle name="20% - Akzent1 3 5 2 3 2 2" xfId="267"/>
    <cellStyle name="20% - Akzent1 3 5 2 3 3" xfId="268"/>
    <cellStyle name="20% - Akzent1 3 5 2 3 4" xfId="269"/>
    <cellStyle name="20% - Akzent1 3 5 2 3 5" xfId="270"/>
    <cellStyle name="20% - Akzent1 3 5 2 4" xfId="271"/>
    <cellStyle name="20% - Akzent1 3 5 2 4 2" xfId="272"/>
    <cellStyle name="20% - Akzent1 3 5 2 4 2 2" xfId="273"/>
    <cellStyle name="20% - Akzent1 3 5 2 4 3" xfId="274"/>
    <cellStyle name="20% - Akzent1 3 5 2 4 4" xfId="275"/>
    <cellStyle name="20% - Akzent1 3 5 2 5" xfId="276"/>
    <cellStyle name="20% - Akzent1 3 5 2 5 2" xfId="277"/>
    <cellStyle name="20% - Akzent1 3 5 2 6" xfId="278"/>
    <cellStyle name="20% - Akzent1 3 5 2 7" xfId="279"/>
    <cellStyle name="20% - Akzent1 3 5 2 8" xfId="280"/>
    <cellStyle name="20% - Akzent1 3 5 2 9" xfId="281"/>
    <cellStyle name="20% - Akzent1 3 5 3" xfId="282"/>
    <cellStyle name="20% - Akzent1 3 5 3 2" xfId="283"/>
    <cellStyle name="20% - Akzent1 3 5 3 2 2" xfId="284"/>
    <cellStyle name="20% - Akzent1 3 5 3 3" xfId="285"/>
    <cellStyle name="20% - Akzent1 3 5 3 4" xfId="286"/>
    <cellStyle name="20% - Akzent1 3 5 3 5" xfId="287"/>
    <cellStyle name="20% - Akzent1 3 5 4" xfId="288"/>
    <cellStyle name="20% - Akzent1 3 5 4 2" xfId="289"/>
    <cellStyle name="20% - Akzent1 3 5 4 2 2" xfId="290"/>
    <cellStyle name="20% - Akzent1 3 5 4 3" xfId="291"/>
    <cellStyle name="20% - Akzent1 3 5 4 4" xfId="292"/>
    <cellStyle name="20% - Akzent1 3 5 4 5" xfId="293"/>
    <cellStyle name="20% - Akzent1 3 5 5" xfId="294"/>
    <cellStyle name="20% - Akzent1 3 5 5 2" xfId="295"/>
    <cellStyle name="20% - Akzent1 3 5 5 2 2" xfId="296"/>
    <cellStyle name="20% - Akzent1 3 5 5 3" xfId="297"/>
    <cellStyle name="20% - Akzent1 3 5 5 4" xfId="298"/>
    <cellStyle name="20% - Akzent1 3 5 6" xfId="299"/>
    <cellStyle name="20% - Akzent1 3 5 6 2" xfId="300"/>
    <cellStyle name="20% - Akzent1 3 5 7" xfId="301"/>
    <cellStyle name="20% - Akzent1 3 5 8" xfId="302"/>
    <cellStyle name="20% - Akzent1 3 5 9" xfId="303"/>
    <cellStyle name="20% - Akzent1 3 6" xfId="304"/>
    <cellStyle name="20% - Akzent1 3 6 2" xfId="305"/>
    <cellStyle name="20% - Akzent1 3 6 2 2" xfId="306"/>
    <cellStyle name="20% - Akzent1 3 6 2 2 2" xfId="307"/>
    <cellStyle name="20% - Akzent1 3 6 2 3" xfId="308"/>
    <cellStyle name="20% - Akzent1 3 6 2 4" xfId="309"/>
    <cellStyle name="20% - Akzent1 3 6 2 5" xfId="310"/>
    <cellStyle name="20% - Akzent1 3 6 3" xfId="311"/>
    <cellStyle name="20% - Akzent1 3 6 3 2" xfId="312"/>
    <cellStyle name="20% - Akzent1 3 6 3 2 2" xfId="313"/>
    <cellStyle name="20% - Akzent1 3 6 3 3" xfId="314"/>
    <cellStyle name="20% - Akzent1 3 6 3 4" xfId="315"/>
    <cellStyle name="20% - Akzent1 3 6 3 5" xfId="316"/>
    <cellStyle name="20% - Akzent1 3 6 4" xfId="317"/>
    <cellStyle name="20% - Akzent1 3 6 4 2" xfId="318"/>
    <cellStyle name="20% - Akzent1 3 6 4 2 2" xfId="319"/>
    <cellStyle name="20% - Akzent1 3 6 4 3" xfId="320"/>
    <cellStyle name="20% - Akzent1 3 6 4 4" xfId="321"/>
    <cellStyle name="20% - Akzent1 3 6 5" xfId="322"/>
    <cellStyle name="20% - Akzent1 3 6 5 2" xfId="323"/>
    <cellStyle name="20% - Akzent1 3 6 6" xfId="324"/>
    <cellStyle name="20% - Akzent1 3 6 7" xfId="325"/>
    <cellStyle name="20% - Akzent1 3 6 8" xfId="326"/>
    <cellStyle name="20% - Akzent1 3 6 9" xfId="327"/>
    <cellStyle name="20% - Akzent1 3 7" xfId="328"/>
    <cellStyle name="20% - Akzent1 3 7 2" xfId="329"/>
    <cellStyle name="20% - Akzent1 3 7 2 2" xfId="330"/>
    <cellStyle name="20% - Akzent1 3 7 3" xfId="331"/>
    <cellStyle name="20% - Akzent1 3 7 4" xfId="332"/>
    <cellStyle name="20% - Akzent1 3 7 5" xfId="333"/>
    <cellStyle name="20% - Akzent1 3 8" xfId="334"/>
    <cellStyle name="20% - Akzent1 3 8 2" xfId="335"/>
    <cellStyle name="20% - Akzent1 3 8 2 2" xfId="336"/>
    <cellStyle name="20% - Akzent1 3 8 3" xfId="337"/>
    <cellStyle name="20% - Akzent1 3 8 4" xfId="338"/>
    <cellStyle name="20% - Akzent1 3 8 5" xfId="339"/>
    <cellStyle name="20% - Akzent1 3 9" xfId="340"/>
    <cellStyle name="20% - Akzent1 3 9 2" xfId="341"/>
    <cellStyle name="20% - Akzent1 3 9 2 2" xfId="342"/>
    <cellStyle name="20% - Akzent1 3 9 3" xfId="343"/>
    <cellStyle name="20% - Akzent1 3 9 4" xfId="344"/>
    <cellStyle name="20% - Akzent1 4" xfId="345"/>
    <cellStyle name="20% - Akzent1 4 10" xfId="346"/>
    <cellStyle name="20% - Akzent1 4 2" xfId="347"/>
    <cellStyle name="20% - Akzent1 4 2 2" xfId="348"/>
    <cellStyle name="20% - Akzent1 4 2 2 2" xfId="349"/>
    <cellStyle name="20% - Akzent1 4 2 2 2 2" xfId="350"/>
    <cellStyle name="20% - Akzent1 4 2 2 3" xfId="351"/>
    <cellStyle name="20% - Akzent1 4 2 2 4" xfId="352"/>
    <cellStyle name="20% - Akzent1 4 2 2 5" xfId="353"/>
    <cellStyle name="20% - Akzent1 4 2 3" xfId="354"/>
    <cellStyle name="20% - Akzent1 4 2 3 2" xfId="355"/>
    <cellStyle name="20% - Akzent1 4 2 3 2 2" xfId="356"/>
    <cellStyle name="20% - Akzent1 4 2 3 3" xfId="357"/>
    <cellStyle name="20% - Akzent1 4 2 3 4" xfId="358"/>
    <cellStyle name="20% - Akzent1 4 2 3 5" xfId="359"/>
    <cellStyle name="20% - Akzent1 4 2 4" xfId="360"/>
    <cellStyle name="20% - Akzent1 4 2 4 2" xfId="361"/>
    <cellStyle name="20% - Akzent1 4 2 4 2 2" xfId="362"/>
    <cellStyle name="20% - Akzent1 4 2 4 3" xfId="363"/>
    <cellStyle name="20% - Akzent1 4 2 4 4" xfId="364"/>
    <cellStyle name="20% - Akzent1 4 2 5" xfId="365"/>
    <cellStyle name="20% - Akzent1 4 2 5 2" xfId="366"/>
    <cellStyle name="20% - Akzent1 4 2 6" xfId="367"/>
    <cellStyle name="20% - Akzent1 4 2 7" xfId="368"/>
    <cellStyle name="20% - Akzent1 4 2 8" xfId="369"/>
    <cellStyle name="20% - Akzent1 4 2 9" xfId="370"/>
    <cellStyle name="20% - Akzent1 4 3" xfId="371"/>
    <cellStyle name="20% - Akzent1 4 3 2" xfId="372"/>
    <cellStyle name="20% - Akzent1 4 3 2 2" xfId="373"/>
    <cellStyle name="20% - Akzent1 4 3 3" xfId="374"/>
    <cellStyle name="20% - Akzent1 4 3 4" xfId="375"/>
    <cellStyle name="20% - Akzent1 4 3 5" xfId="376"/>
    <cellStyle name="20% - Akzent1 4 4" xfId="377"/>
    <cellStyle name="20% - Akzent1 4 4 2" xfId="378"/>
    <cellStyle name="20% - Akzent1 4 4 2 2" xfId="379"/>
    <cellStyle name="20% - Akzent1 4 4 3" xfId="380"/>
    <cellStyle name="20% - Akzent1 4 4 4" xfId="381"/>
    <cellStyle name="20% - Akzent1 4 4 5" xfId="382"/>
    <cellStyle name="20% - Akzent1 4 5" xfId="383"/>
    <cellStyle name="20% - Akzent1 4 5 2" xfId="384"/>
    <cellStyle name="20% - Akzent1 4 5 2 2" xfId="385"/>
    <cellStyle name="20% - Akzent1 4 5 3" xfId="386"/>
    <cellStyle name="20% - Akzent1 4 5 4" xfId="387"/>
    <cellStyle name="20% - Akzent1 4 6" xfId="388"/>
    <cellStyle name="20% - Akzent1 4 6 2" xfId="389"/>
    <cellStyle name="20% - Akzent1 4 7" xfId="390"/>
    <cellStyle name="20% - Akzent1 4 8" xfId="391"/>
    <cellStyle name="20% - Akzent1 4 9" xfId="392"/>
    <cellStyle name="20% - Akzent1 5" xfId="393"/>
    <cellStyle name="20% - Akzent1 5 10" xfId="394"/>
    <cellStyle name="20% - Akzent1 5 2" xfId="395"/>
    <cellStyle name="20% - Akzent1 5 2 2" xfId="396"/>
    <cellStyle name="20% - Akzent1 5 2 2 2" xfId="397"/>
    <cellStyle name="20% - Akzent1 5 2 2 2 2" xfId="398"/>
    <cellStyle name="20% - Akzent1 5 2 2 3" xfId="399"/>
    <cellStyle name="20% - Akzent1 5 2 2 4" xfId="400"/>
    <cellStyle name="20% - Akzent1 5 2 2 5" xfId="401"/>
    <cellStyle name="20% - Akzent1 5 2 3" xfId="402"/>
    <cellStyle name="20% - Akzent1 5 2 3 2" xfId="403"/>
    <cellStyle name="20% - Akzent1 5 2 3 2 2" xfId="404"/>
    <cellStyle name="20% - Akzent1 5 2 3 3" xfId="405"/>
    <cellStyle name="20% - Akzent1 5 2 3 4" xfId="406"/>
    <cellStyle name="20% - Akzent1 5 2 3 5" xfId="407"/>
    <cellStyle name="20% - Akzent1 5 2 4" xfId="408"/>
    <cellStyle name="20% - Akzent1 5 2 4 2" xfId="409"/>
    <cellStyle name="20% - Akzent1 5 2 4 2 2" xfId="410"/>
    <cellStyle name="20% - Akzent1 5 2 4 3" xfId="411"/>
    <cellStyle name="20% - Akzent1 5 2 4 4" xfId="412"/>
    <cellStyle name="20% - Akzent1 5 2 5" xfId="413"/>
    <cellStyle name="20% - Akzent1 5 2 5 2" xfId="414"/>
    <cellStyle name="20% - Akzent1 5 2 6" xfId="415"/>
    <cellStyle name="20% - Akzent1 5 2 7" xfId="416"/>
    <cellStyle name="20% - Akzent1 5 2 8" xfId="417"/>
    <cellStyle name="20% - Akzent1 5 2 9" xfId="418"/>
    <cellStyle name="20% - Akzent1 5 3" xfId="419"/>
    <cellStyle name="20% - Akzent1 5 3 2" xfId="420"/>
    <cellStyle name="20% - Akzent1 5 3 2 2" xfId="421"/>
    <cellStyle name="20% - Akzent1 5 3 3" xfId="422"/>
    <cellStyle name="20% - Akzent1 5 3 4" xfId="423"/>
    <cellStyle name="20% - Akzent1 5 3 5" xfId="424"/>
    <cellStyle name="20% - Akzent1 5 4" xfId="425"/>
    <cellStyle name="20% - Akzent1 5 4 2" xfId="426"/>
    <cellStyle name="20% - Akzent1 5 4 2 2" xfId="427"/>
    <cellStyle name="20% - Akzent1 5 4 3" xfId="428"/>
    <cellStyle name="20% - Akzent1 5 4 4" xfId="429"/>
    <cellStyle name="20% - Akzent1 5 4 5" xfId="430"/>
    <cellStyle name="20% - Akzent1 5 5" xfId="431"/>
    <cellStyle name="20% - Akzent1 5 5 2" xfId="432"/>
    <cellStyle name="20% - Akzent1 5 5 2 2" xfId="433"/>
    <cellStyle name="20% - Akzent1 5 5 3" xfId="434"/>
    <cellStyle name="20% - Akzent1 5 5 4" xfId="435"/>
    <cellStyle name="20% - Akzent1 5 6" xfId="436"/>
    <cellStyle name="20% - Akzent1 5 6 2" xfId="437"/>
    <cellStyle name="20% - Akzent1 5 7" xfId="438"/>
    <cellStyle name="20% - Akzent1 5 8" xfId="439"/>
    <cellStyle name="20% - Akzent1 5 9" xfId="440"/>
    <cellStyle name="20% - Akzent1 6" xfId="441"/>
    <cellStyle name="20% - Akzent1 6 10" xfId="442"/>
    <cellStyle name="20% - Akzent1 6 2" xfId="443"/>
    <cellStyle name="20% - Akzent1 6 2 2" xfId="444"/>
    <cellStyle name="20% - Akzent1 6 2 2 2" xfId="445"/>
    <cellStyle name="20% - Akzent1 6 2 2 2 2" xfId="446"/>
    <cellStyle name="20% - Akzent1 6 2 2 3" xfId="447"/>
    <cellStyle name="20% - Akzent1 6 2 2 4" xfId="448"/>
    <cellStyle name="20% - Akzent1 6 2 2 5" xfId="449"/>
    <cellStyle name="20% - Akzent1 6 2 3" xfId="450"/>
    <cellStyle name="20% - Akzent1 6 2 3 2" xfId="451"/>
    <cellStyle name="20% - Akzent1 6 2 3 2 2" xfId="452"/>
    <cellStyle name="20% - Akzent1 6 2 3 3" xfId="453"/>
    <cellStyle name="20% - Akzent1 6 2 3 4" xfId="454"/>
    <cellStyle name="20% - Akzent1 6 2 3 5" xfId="455"/>
    <cellStyle name="20% - Akzent1 6 2 4" xfId="456"/>
    <cellStyle name="20% - Akzent1 6 2 4 2" xfId="457"/>
    <cellStyle name="20% - Akzent1 6 2 4 2 2" xfId="458"/>
    <cellStyle name="20% - Akzent1 6 2 4 3" xfId="459"/>
    <cellStyle name="20% - Akzent1 6 2 4 4" xfId="460"/>
    <cellStyle name="20% - Akzent1 6 2 5" xfId="461"/>
    <cellStyle name="20% - Akzent1 6 2 5 2" xfId="462"/>
    <cellStyle name="20% - Akzent1 6 2 6" xfId="463"/>
    <cellStyle name="20% - Akzent1 6 2 7" xfId="464"/>
    <cellStyle name="20% - Akzent1 6 2 8" xfId="465"/>
    <cellStyle name="20% - Akzent1 6 2 9" xfId="466"/>
    <cellStyle name="20% - Akzent1 6 3" xfId="467"/>
    <cellStyle name="20% - Akzent1 6 3 2" xfId="468"/>
    <cellStyle name="20% - Akzent1 6 3 2 2" xfId="469"/>
    <cellStyle name="20% - Akzent1 6 3 3" xfId="470"/>
    <cellStyle name="20% - Akzent1 6 3 4" xfId="471"/>
    <cellStyle name="20% - Akzent1 6 3 5" xfId="472"/>
    <cellStyle name="20% - Akzent1 6 4" xfId="473"/>
    <cellStyle name="20% - Akzent1 6 4 2" xfId="474"/>
    <cellStyle name="20% - Akzent1 6 4 2 2" xfId="475"/>
    <cellStyle name="20% - Akzent1 6 4 3" xfId="476"/>
    <cellStyle name="20% - Akzent1 6 4 4" xfId="477"/>
    <cellStyle name="20% - Akzent1 6 4 5" xfId="478"/>
    <cellStyle name="20% - Akzent1 6 5" xfId="479"/>
    <cellStyle name="20% - Akzent1 6 5 2" xfId="480"/>
    <cellStyle name="20% - Akzent1 6 5 2 2" xfId="481"/>
    <cellStyle name="20% - Akzent1 6 5 3" xfId="482"/>
    <cellStyle name="20% - Akzent1 6 5 4" xfId="483"/>
    <cellStyle name="20% - Akzent1 6 6" xfId="484"/>
    <cellStyle name="20% - Akzent1 6 6 2" xfId="485"/>
    <cellStyle name="20% - Akzent1 6 7" xfId="486"/>
    <cellStyle name="20% - Akzent1 6 8" xfId="487"/>
    <cellStyle name="20% - Akzent1 6 9" xfId="488"/>
    <cellStyle name="20% - Akzent1 7" xfId="489"/>
    <cellStyle name="20% - Akzent1 7 2" xfId="490"/>
    <cellStyle name="20% - Akzent1 7 2 2" xfId="491"/>
    <cellStyle name="20% - Akzent1 7 3" xfId="492"/>
    <cellStyle name="20% - Akzent1 7 4" xfId="493"/>
    <cellStyle name="20% - Akzent1 7 5" xfId="494"/>
    <cellStyle name="20% - Akzent1 8" xfId="495"/>
    <cellStyle name="20% - Akzent1 8 2" xfId="496"/>
    <cellStyle name="20% - Akzent1 8 2 2" xfId="497"/>
    <cellStyle name="20% - Akzent1 8 3" xfId="498"/>
    <cellStyle name="20% - Akzent1 8 4" xfId="499"/>
    <cellStyle name="20% - Akzent1 8 5" xfId="500"/>
    <cellStyle name="20% - Akzent1 9" xfId="501"/>
    <cellStyle name="20% - Akzent1 9 2" xfId="502"/>
    <cellStyle name="20% - Akzent1 9 2 2" xfId="503"/>
    <cellStyle name="20% - Akzent1 9 3" xfId="504"/>
    <cellStyle name="20% - Akzent2 10" xfId="505"/>
    <cellStyle name="20% - Akzent2 10 2" xfId="506"/>
    <cellStyle name="20% - Akzent2 11" xfId="507"/>
    <cellStyle name="20% - Akzent2 2" xfId="508"/>
    <cellStyle name="20% - Akzent2 2 2" xfId="509"/>
    <cellStyle name="20% - Akzent2 3" xfId="510"/>
    <cellStyle name="20% - Akzent2 3 10" xfId="511"/>
    <cellStyle name="20% - Akzent2 3 10 2" xfId="512"/>
    <cellStyle name="20% - Akzent2 3 11" xfId="513"/>
    <cellStyle name="20% - Akzent2 3 12" xfId="514"/>
    <cellStyle name="20% - Akzent2 3 13" xfId="515"/>
    <cellStyle name="20% - Akzent2 3 14" xfId="516"/>
    <cellStyle name="20% - Akzent2 3 2" xfId="517"/>
    <cellStyle name="20% - Akzent2 3 2 10" xfId="518"/>
    <cellStyle name="20% - Akzent2 3 2 11" xfId="519"/>
    <cellStyle name="20% - Akzent2 3 2 2" xfId="520"/>
    <cellStyle name="20% - Akzent2 3 2 2 10" xfId="521"/>
    <cellStyle name="20% - Akzent2 3 2 2 2" xfId="522"/>
    <cellStyle name="20% - Akzent2 3 2 2 2 2" xfId="523"/>
    <cellStyle name="20% - Akzent2 3 2 2 2 2 2" xfId="524"/>
    <cellStyle name="20% - Akzent2 3 2 2 2 2 2 2" xfId="525"/>
    <cellStyle name="20% - Akzent2 3 2 2 2 2 3" xfId="526"/>
    <cellStyle name="20% - Akzent2 3 2 2 2 2 4" xfId="527"/>
    <cellStyle name="20% - Akzent2 3 2 2 2 2 5" xfId="528"/>
    <cellStyle name="20% - Akzent2 3 2 2 2 3" xfId="529"/>
    <cellStyle name="20% - Akzent2 3 2 2 2 3 2" xfId="530"/>
    <cellStyle name="20% - Akzent2 3 2 2 2 3 2 2" xfId="531"/>
    <cellStyle name="20% - Akzent2 3 2 2 2 3 3" xfId="532"/>
    <cellStyle name="20% - Akzent2 3 2 2 2 3 4" xfId="533"/>
    <cellStyle name="20% - Akzent2 3 2 2 2 3 5" xfId="534"/>
    <cellStyle name="20% - Akzent2 3 2 2 2 4" xfId="535"/>
    <cellStyle name="20% - Akzent2 3 2 2 2 4 2" xfId="536"/>
    <cellStyle name="20% - Akzent2 3 2 2 2 4 2 2" xfId="537"/>
    <cellStyle name="20% - Akzent2 3 2 2 2 4 3" xfId="538"/>
    <cellStyle name="20% - Akzent2 3 2 2 2 4 4" xfId="539"/>
    <cellStyle name="20% - Akzent2 3 2 2 2 5" xfId="540"/>
    <cellStyle name="20% - Akzent2 3 2 2 2 5 2" xfId="541"/>
    <cellStyle name="20% - Akzent2 3 2 2 2 6" xfId="542"/>
    <cellStyle name="20% - Akzent2 3 2 2 2 7" xfId="543"/>
    <cellStyle name="20% - Akzent2 3 2 2 2 8" xfId="544"/>
    <cellStyle name="20% - Akzent2 3 2 2 2 9" xfId="545"/>
    <cellStyle name="20% - Akzent2 3 2 2 3" xfId="546"/>
    <cellStyle name="20% - Akzent2 3 2 2 3 2" xfId="547"/>
    <cellStyle name="20% - Akzent2 3 2 2 3 2 2" xfId="548"/>
    <cellStyle name="20% - Akzent2 3 2 2 3 3" xfId="549"/>
    <cellStyle name="20% - Akzent2 3 2 2 3 4" xfId="550"/>
    <cellStyle name="20% - Akzent2 3 2 2 3 5" xfId="551"/>
    <cellStyle name="20% - Akzent2 3 2 2 4" xfId="552"/>
    <cellStyle name="20% - Akzent2 3 2 2 4 2" xfId="553"/>
    <cellStyle name="20% - Akzent2 3 2 2 4 2 2" xfId="554"/>
    <cellStyle name="20% - Akzent2 3 2 2 4 3" xfId="555"/>
    <cellStyle name="20% - Akzent2 3 2 2 4 4" xfId="556"/>
    <cellStyle name="20% - Akzent2 3 2 2 4 5" xfId="557"/>
    <cellStyle name="20% - Akzent2 3 2 2 5" xfId="558"/>
    <cellStyle name="20% - Akzent2 3 2 2 5 2" xfId="559"/>
    <cellStyle name="20% - Akzent2 3 2 2 5 2 2" xfId="560"/>
    <cellStyle name="20% - Akzent2 3 2 2 5 3" xfId="561"/>
    <cellStyle name="20% - Akzent2 3 2 2 5 4" xfId="562"/>
    <cellStyle name="20% - Akzent2 3 2 2 6" xfId="563"/>
    <cellStyle name="20% - Akzent2 3 2 2 6 2" xfId="564"/>
    <cellStyle name="20% - Akzent2 3 2 2 7" xfId="565"/>
    <cellStyle name="20% - Akzent2 3 2 2 8" xfId="566"/>
    <cellStyle name="20% - Akzent2 3 2 2 9" xfId="567"/>
    <cellStyle name="20% - Akzent2 3 2 3" xfId="568"/>
    <cellStyle name="20% - Akzent2 3 2 3 2" xfId="569"/>
    <cellStyle name="20% - Akzent2 3 2 3 2 2" xfId="570"/>
    <cellStyle name="20% - Akzent2 3 2 3 2 2 2" xfId="571"/>
    <cellStyle name="20% - Akzent2 3 2 3 2 3" xfId="572"/>
    <cellStyle name="20% - Akzent2 3 2 3 2 4" xfId="573"/>
    <cellStyle name="20% - Akzent2 3 2 3 2 5" xfId="574"/>
    <cellStyle name="20% - Akzent2 3 2 3 3" xfId="575"/>
    <cellStyle name="20% - Akzent2 3 2 3 3 2" xfId="576"/>
    <cellStyle name="20% - Akzent2 3 2 3 3 2 2" xfId="577"/>
    <cellStyle name="20% - Akzent2 3 2 3 3 3" xfId="578"/>
    <cellStyle name="20% - Akzent2 3 2 3 3 4" xfId="579"/>
    <cellStyle name="20% - Akzent2 3 2 3 3 5" xfId="580"/>
    <cellStyle name="20% - Akzent2 3 2 3 4" xfId="581"/>
    <cellStyle name="20% - Akzent2 3 2 3 4 2" xfId="582"/>
    <cellStyle name="20% - Akzent2 3 2 3 4 2 2" xfId="583"/>
    <cellStyle name="20% - Akzent2 3 2 3 4 3" xfId="584"/>
    <cellStyle name="20% - Akzent2 3 2 3 4 4" xfId="585"/>
    <cellStyle name="20% - Akzent2 3 2 3 5" xfId="586"/>
    <cellStyle name="20% - Akzent2 3 2 3 5 2" xfId="587"/>
    <cellStyle name="20% - Akzent2 3 2 3 6" xfId="588"/>
    <cellStyle name="20% - Akzent2 3 2 3 7" xfId="589"/>
    <cellStyle name="20% - Akzent2 3 2 3 8" xfId="590"/>
    <cellStyle name="20% - Akzent2 3 2 3 9" xfId="591"/>
    <cellStyle name="20% - Akzent2 3 2 4" xfId="592"/>
    <cellStyle name="20% - Akzent2 3 2 4 2" xfId="593"/>
    <cellStyle name="20% - Akzent2 3 2 4 2 2" xfId="594"/>
    <cellStyle name="20% - Akzent2 3 2 4 3" xfId="595"/>
    <cellStyle name="20% - Akzent2 3 2 4 4" xfId="596"/>
    <cellStyle name="20% - Akzent2 3 2 4 5" xfId="597"/>
    <cellStyle name="20% - Akzent2 3 2 5" xfId="598"/>
    <cellStyle name="20% - Akzent2 3 2 5 2" xfId="599"/>
    <cellStyle name="20% - Akzent2 3 2 5 2 2" xfId="600"/>
    <cellStyle name="20% - Akzent2 3 2 5 3" xfId="601"/>
    <cellStyle name="20% - Akzent2 3 2 5 4" xfId="602"/>
    <cellStyle name="20% - Akzent2 3 2 5 5" xfId="603"/>
    <cellStyle name="20% - Akzent2 3 2 6" xfId="604"/>
    <cellStyle name="20% - Akzent2 3 2 6 2" xfId="605"/>
    <cellStyle name="20% - Akzent2 3 2 6 2 2" xfId="606"/>
    <cellStyle name="20% - Akzent2 3 2 6 3" xfId="607"/>
    <cellStyle name="20% - Akzent2 3 2 6 4" xfId="608"/>
    <cellStyle name="20% - Akzent2 3 2 7" xfId="609"/>
    <cellStyle name="20% - Akzent2 3 2 7 2" xfId="610"/>
    <cellStyle name="20% - Akzent2 3 2 8" xfId="611"/>
    <cellStyle name="20% - Akzent2 3 2 9" xfId="612"/>
    <cellStyle name="20% - Akzent2 3 3" xfId="613"/>
    <cellStyle name="20% - Akzent2 3 3 10" xfId="614"/>
    <cellStyle name="20% - Akzent2 3 3 11" xfId="615"/>
    <cellStyle name="20% - Akzent2 3 3 2" xfId="616"/>
    <cellStyle name="20% - Akzent2 3 3 2 10" xfId="617"/>
    <cellStyle name="20% - Akzent2 3 3 2 2" xfId="618"/>
    <cellStyle name="20% - Akzent2 3 3 2 2 2" xfId="619"/>
    <cellStyle name="20% - Akzent2 3 3 2 2 2 2" xfId="620"/>
    <cellStyle name="20% - Akzent2 3 3 2 2 2 2 2" xfId="621"/>
    <cellStyle name="20% - Akzent2 3 3 2 2 2 3" xfId="622"/>
    <cellStyle name="20% - Akzent2 3 3 2 2 2 4" xfId="623"/>
    <cellStyle name="20% - Akzent2 3 3 2 2 2 5" xfId="624"/>
    <cellStyle name="20% - Akzent2 3 3 2 2 3" xfId="625"/>
    <cellStyle name="20% - Akzent2 3 3 2 2 3 2" xfId="626"/>
    <cellStyle name="20% - Akzent2 3 3 2 2 3 2 2" xfId="627"/>
    <cellStyle name="20% - Akzent2 3 3 2 2 3 3" xfId="628"/>
    <cellStyle name="20% - Akzent2 3 3 2 2 3 4" xfId="629"/>
    <cellStyle name="20% - Akzent2 3 3 2 2 3 5" xfId="630"/>
    <cellStyle name="20% - Akzent2 3 3 2 2 4" xfId="631"/>
    <cellStyle name="20% - Akzent2 3 3 2 2 4 2" xfId="632"/>
    <cellStyle name="20% - Akzent2 3 3 2 2 4 2 2" xfId="633"/>
    <cellStyle name="20% - Akzent2 3 3 2 2 4 3" xfId="634"/>
    <cellStyle name="20% - Akzent2 3 3 2 2 4 4" xfId="635"/>
    <cellStyle name="20% - Akzent2 3 3 2 2 5" xfId="636"/>
    <cellStyle name="20% - Akzent2 3 3 2 2 5 2" xfId="637"/>
    <cellStyle name="20% - Akzent2 3 3 2 2 6" xfId="638"/>
    <cellStyle name="20% - Akzent2 3 3 2 2 7" xfId="639"/>
    <cellStyle name="20% - Akzent2 3 3 2 2 8" xfId="640"/>
    <cellStyle name="20% - Akzent2 3 3 2 2 9" xfId="641"/>
    <cellStyle name="20% - Akzent2 3 3 2 3" xfId="642"/>
    <cellStyle name="20% - Akzent2 3 3 2 3 2" xfId="643"/>
    <cellStyle name="20% - Akzent2 3 3 2 3 2 2" xfId="644"/>
    <cellStyle name="20% - Akzent2 3 3 2 3 3" xfId="645"/>
    <cellStyle name="20% - Akzent2 3 3 2 3 4" xfId="646"/>
    <cellStyle name="20% - Akzent2 3 3 2 3 5" xfId="647"/>
    <cellStyle name="20% - Akzent2 3 3 2 4" xfId="648"/>
    <cellStyle name="20% - Akzent2 3 3 2 4 2" xfId="649"/>
    <cellStyle name="20% - Akzent2 3 3 2 4 2 2" xfId="650"/>
    <cellStyle name="20% - Akzent2 3 3 2 4 3" xfId="651"/>
    <cellStyle name="20% - Akzent2 3 3 2 4 4" xfId="652"/>
    <cellStyle name="20% - Akzent2 3 3 2 4 5" xfId="653"/>
    <cellStyle name="20% - Akzent2 3 3 2 5" xfId="654"/>
    <cellStyle name="20% - Akzent2 3 3 2 5 2" xfId="655"/>
    <cellStyle name="20% - Akzent2 3 3 2 5 2 2" xfId="656"/>
    <cellStyle name="20% - Akzent2 3 3 2 5 3" xfId="657"/>
    <cellStyle name="20% - Akzent2 3 3 2 5 4" xfId="658"/>
    <cellStyle name="20% - Akzent2 3 3 2 6" xfId="659"/>
    <cellStyle name="20% - Akzent2 3 3 2 6 2" xfId="660"/>
    <cellStyle name="20% - Akzent2 3 3 2 7" xfId="661"/>
    <cellStyle name="20% - Akzent2 3 3 2 8" xfId="662"/>
    <cellStyle name="20% - Akzent2 3 3 2 9" xfId="663"/>
    <cellStyle name="20% - Akzent2 3 3 3" xfId="664"/>
    <cellStyle name="20% - Akzent2 3 3 3 2" xfId="665"/>
    <cellStyle name="20% - Akzent2 3 3 3 2 2" xfId="666"/>
    <cellStyle name="20% - Akzent2 3 3 3 2 2 2" xfId="667"/>
    <cellStyle name="20% - Akzent2 3 3 3 2 3" xfId="668"/>
    <cellStyle name="20% - Akzent2 3 3 3 2 4" xfId="669"/>
    <cellStyle name="20% - Akzent2 3 3 3 2 5" xfId="670"/>
    <cellStyle name="20% - Akzent2 3 3 3 3" xfId="671"/>
    <cellStyle name="20% - Akzent2 3 3 3 3 2" xfId="672"/>
    <cellStyle name="20% - Akzent2 3 3 3 3 2 2" xfId="673"/>
    <cellStyle name="20% - Akzent2 3 3 3 3 3" xfId="674"/>
    <cellStyle name="20% - Akzent2 3 3 3 3 4" xfId="675"/>
    <cellStyle name="20% - Akzent2 3 3 3 3 5" xfId="676"/>
    <cellStyle name="20% - Akzent2 3 3 3 4" xfId="677"/>
    <cellStyle name="20% - Akzent2 3 3 3 4 2" xfId="678"/>
    <cellStyle name="20% - Akzent2 3 3 3 4 2 2" xfId="679"/>
    <cellStyle name="20% - Akzent2 3 3 3 4 3" xfId="680"/>
    <cellStyle name="20% - Akzent2 3 3 3 4 4" xfId="681"/>
    <cellStyle name="20% - Akzent2 3 3 3 5" xfId="682"/>
    <cellStyle name="20% - Akzent2 3 3 3 5 2" xfId="683"/>
    <cellStyle name="20% - Akzent2 3 3 3 6" xfId="684"/>
    <cellStyle name="20% - Akzent2 3 3 3 7" xfId="685"/>
    <cellStyle name="20% - Akzent2 3 3 3 8" xfId="686"/>
    <cellStyle name="20% - Akzent2 3 3 3 9" xfId="687"/>
    <cellStyle name="20% - Akzent2 3 3 4" xfId="688"/>
    <cellStyle name="20% - Akzent2 3 3 4 2" xfId="689"/>
    <cellStyle name="20% - Akzent2 3 3 4 2 2" xfId="690"/>
    <cellStyle name="20% - Akzent2 3 3 4 3" xfId="691"/>
    <cellStyle name="20% - Akzent2 3 3 4 4" xfId="692"/>
    <cellStyle name="20% - Akzent2 3 3 4 5" xfId="693"/>
    <cellStyle name="20% - Akzent2 3 3 5" xfId="694"/>
    <cellStyle name="20% - Akzent2 3 3 5 2" xfId="695"/>
    <cellStyle name="20% - Akzent2 3 3 5 2 2" xfId="696"/>
    <cellStyle name="20% - Akzent2 3 3 5 3" xfId="697"/>
    <cellStyle name="20% - Akzent2 3 3 5 4" xfId="698"/>
    <cellStyle name="20% - Akzent2 3 3 5 5" xfId="699"/>
    <cellStyle name="20% - Akzent2 3 3 6" xfId="700"/>
    <cellStyle name="20% - Akzent2 3 3 6 2" xfId="701"/>
    <cellStyle name="20% - Akzent2 3 3 6 2 2" xfId="702"/>
    <cellStyle name="20% - Akzent2 3 3 6 3" xfId="703"/>
    <cellStyle name="20% - Akzent2 3 3 6 4" xfId="704"/>
    <cellStyle name="20% - Akzent2 3 3 7" xfId="705"/>
    <cellStyle name="20% - Akzent2 3 3 7 2" xfId="706"/>
    <cellStyle name="20% - Akzent2 3 3 8" xfId="707"/>
    <cellStyle name="20% - Akzent2 3 3 9" xfId="708"/>
    <cellStyle name="20% - Akzent2 3 4" xfId="709"/>
    <cellStyle name="20% - Akzent2 3 4 10" xfId="710"/>
    <cellStyle name="20% - Akzent2 3 4 2" xfId="711"/>
    <cellStyle name="20% - Akzent2 3 4 2 2" xfId="712"/>
    <cellStyle name="20% - Akzent2 3 4 2 2 2" xfId="713"/>
    <cellStyle name="20% - Akzent2 3 4 2 2 2 2" xfId="714"/>
    <cellStyle name="20% - Akzent2 3 4 2 2 3" xfId="715"/>
    <cellStyle name="20% - Akzent2 3 4 2 2 4" xfId="716"/>
    <cellStyle name="20% - Akzent2 3 4 2 2 5" xfId="717"/>
    <cellStyle name="20% - Akzent2 3 4 2 3" xfId="718"/>
    <cellStyle name="20% - Akzent2 3 4 2 3 2" xfId="719"/>
    <cellStyle name="20% - Akzent2 3 4 2 3 2 2" xfId="720"/>
    <cellStyle name="20% - Akzent2 3 4 2 3 3" xfId="721"/>
    <cellStyle name="20% - Akzent2 3 4 2 3 4" xfId="722"/>
    <cellStyle name="20% - Akzent2 3 4 2 3 5" xfId="723"/>
    <cellStyle name="20% - Akzent2 3 4 2 4" xfId="724"/>
    <cellStyle name="20% - Akzent2 3 4 2 4 2" xfId="725"/>
    <cellStyle name="20% - Akzent2 3 4 2 4 2 2" xfId="726"/>
    <cellStyle name="20% - Akzent2 3 4 2 4 3" xfId="727"/>
    <cellStyle name="20% - Akzent2 3 4 2 4 4" xfId="728"/>
    <cellStyle name="20% - Akzent2 3 4 2 5" xfId="729"/>
    <cellStyle name="20% - Akzent2 3 4 2 5 2" xfId="730"/>
    <cellStyle name="20% - Akzent2 3 4 2 6" xfId="731"/>
    <cellStyle name="20% - Akzent2 3 4 2 7" xfId="732"/>
    <cellStyle name="20% - Akzent2 3 4 2 8" xfId="733"/>
    <cellStyle name="20% - Akzent2 3 4 2 9" xfId="734"/>
    <cellStyle name="20% - Akzent2 3 4 3" xfId="735"/>
    <cellStyle name="20% - Akzent2 3 4 3 2" xfId="736"/>
    <cellStyle name="20% - Akzent2 3 4 3 2 2" xfId="737"/>
    <cellStyle name="20% - Akzent2 3 4 3 3" xfId="738"/>
    <cellStyle name="20% - Akzent2 3 4 3 4" xfId="739"/>
    <cellStyle name="20% - Akzent2 3 4 3 5" xfId="740"/>
    <cellStyle name="20% - Akzent2 3 4 4" xfId="741"/>
    <cellStyle name="20% - Akzent2 3 4 4 2" xfId="742"/>
    <cellStyle name="20% - Akzent2 3 4 4 2 2" xfId="743"/>
    <cellStyle name="20% - Akzent2 3 4 4 3" xfId="744"/>
    <cellStyle name="20% - Akzent2 3 4 4 4" xfId="745"/>
    <cellStyle name="20% - Akzent2 3 4 4 5" xfId="746"/>
    <cellStyle name="20% - Akzent2 3 4 5" xfId="747"/>
    <cellStyle name="20% - Akzent2 3 4 5 2" xfId="748"/>
    <cellStyle name="20% - Akzent2 3 4 5 2 2" xfId="749"/>
    <cellStyle name="20% - Akzent2 3 4 5 3" xfId="750"/>
    <cellStyle name="20% - Akzent2 3 4 5 4" xfId="751"/>
    <cellStyle name="20% - Akzent2 3 4 6" xfId="752"/>
    <cellStyle name="20% - Akzent2 3 4 6 2" xfId="753"/>
    <cellStyle name="20% - Akzent2 3 4 7" xfId="754"/>
    <cellStyle name="20% - Akzent2 3 4 8" xfId="755"/>
    <cellStyle name="20% - Akzent2 3 4 9" xfId="756"/>
    <cellStyle name="20% - Akzent2 3 5" xfId="757"/>
    <cellStyle name="20% - Akzent2 3 5 10" xfId="758"/>
    <cellStyle name="20% - Akzent2 3 5 2" xfId="759"/>
    <cellStyle name="20% - Akzent2 3 5 2 2" xfId="760"/>
    <cellStyle name="20% - Akzent2 3 5 2 2 2" xfId="761"/>
    <cellStyle name="20% - Akzent2 3 5 2 2 2 2" xfId="762"/>
    <cellStyle name="20% - Akzent2 3 5 2 2 3" xfId="763"/>
    <cellStyle name="20% - Akzent2 3 5 2 2 4" xfId="764"/>
    <cellStyle name="20% - Akzent2 3 5 2 2 5" xfId="765"/>
    <cellStyle name="20% - Akzent2 3 5 2 3" xfId="766"/>
    <cellStyle name="20% - Akzent2 3 5 2 3 2" xfId="767"/>
    <cellStyle name="20% - Akzent2 3 5 2 3 2 2" xfId="768"/>
    <cellStyle name="20% - Akzent2 3 5 2 3 3" xfId="769"/>
    <cellStyle name="20% - Akzent2 3 5 2 3 4" xfId="770"/>
    <cellStyle name="20% - Akzent2 3 5 2 3 5" xfId="771"/>
    <cellStyle name="20% - Akzent2 3 5 2 4" xfId="772"/>
    <cellStyle name="20% - Akzent2 3 5 2 4 2" xfId="773"/>
    <cellStyle name="20% - Akzent2 3 5 2 4 2 2" xfId="774"/>
    <cellStyle name="20% - Akzent2 3 5 2 4 3" xfId="775"/>
    <cellStyle name="20% - Akzent2 3 5 2 4 4" xfId="776"/>
    <cellStyle name="20% - Akzent2 3 5 2 5" xfId="777"/>
    <cellStyle name="20% - Akzent2 3 5 2 5 2" xfId="778"/>
    <cellStyle name="20% - Akzent2 3 5 2 6" xfId="779"/>
    <cellStyle name="20% - Akzent2 3 5 2 7" xfId="780"/>
    <cellStyle name="20% - Akzent2 3 5 2 8" xfId="781"/>
    <cellStyle name="20% - Akzent2 3 5 2 9" xfId="782"/>
    <cellStyle name="20% - Akzent2 3 5 3" xfId="783"/>
    <cellStyle name="20% - Akzent2 3 5 3 2" xfId="784"/>
    <cellStyle name="20% - Akzent2 3 5 3 2 2" xfId="785"/>
    <cellStyle name="20% - Akzent2 3 5 3 3" xfId="786"/>
    <cellStyle name="20% - Akzent2 3 5 3 4" xfId="787"/>
    <cellStyle name="20% - Akzent2 3 5 3 5" xfId="788"/>
    <cellStyle name="20% - Akzent2 3 5 4" xfId="789"/>
    <cellStyle name="20% - Akzent2 3 5 4 2" xfId="790"/>
    <cellStyle name="20% - Akzent2 3 5 4 2 2" xfId="791"/>
    <cellStyle name="20% - Akzent2 3 5 4 3" xfId="792"/>
    <cellStyle name="20% - Akzent2 3 5 4 4" xfId="793"/>
    <cellStyle name="20% - Akzent2 3 5 4 5" xfId="794"/>
    <cellStyle name="20% - Akzent2 3 5 5" xfId="795"/>
    <cellStyle name="20% - Akzent2 3 5 5 2" xfId="796"/>
    <cellStyle name="20% - Akzent2 3 5 5 2 2" xfId="797"/>
    <cellStyle name="20% - Akzent2 3 5 5 3" xfId="798"/>
    <cellStyle name="20% - Akzent2 3 5 5 4" xfId="799"/>
    <cellStyle name="20% - Akzent2 3 5 6" xfId="800"/>
    <cellStyle name="20% - Akzent2 3 5 6 2" xfId="801"/>
    <cellStyle name="20% - Akzent2 3 5 7" xfId="802"/>
    <cellStyle name="20% - Akzent2 3 5 8" xfId="803"/>
    <cellStyle name="20% - Akzent2 3 5 9" xfId="804"/>
    <cellStyle name="20% - Akzent2 3 6" xfId="805"/>
    <cellStyle name="20% - Akzent2 3 6 2" xfId="806"/>
    <cellStyle name="20% - Akzent2 3 6 2 2" xfId="807"/>
    <cellStyle name="20% - Akzent2 3 6 2 2 2" xfId="808"/>
    <cellStyle name="20% - Akzent2 3 6 2 3" xfId="809"/>
    <cellStyle name="20% - Akzent2 3 6 2 4" xfId="810"/>
    <cellStyle name="20% - Akzent2 3 6 2 5" xfId="811"/>
    <cellStyle name="20% - Akzent2 3 6 3" xfId="812"/>
    <cellStyle name="20% - Akzent2 3 6 3 2" xfId="813"/>
    <cellStyle name="20% - Akzent2 3 6 3 2 2" xfId="814"/>
    <cellStyle name="20% - Akzent2 3 6 3 3" xfId="815"/>
    <cellStyle name="20% - Akzent2 3 6 3 4" xfId="816"/>
    <cellStyle name="20% - Akzent2 3 6 3 5" xfId="817"/>
    <cellStyle name="20% - Akzent2 3 6 4" xfId="818"/>
    <cellStyle name="20% - Akzent2 3 6 4 2" xfId="819"/>
    <cellStyle name="20% - Akzent2 3 6 4 2 2" xfId="820"/>
    <cellStyle name="20% - Akzent2 3 6 4 3" xfId="821"/>
    <cellStyle name="20% - Akzent2 3 6 4 4" xfId="822"/>
    <cellStyle name="20% - Akzent2 3 6 5" xfId="823"/>
    <cellStyle name="20% - Akzent2 3 6 5 2" xfId="824"/>
    <cellStyle name="20% - Akzent2 3 6 6" xfId="825"/>
    <cellStyle name="20% - Akzent2 3 6 7" xfId="826"/>
    <cellStyle name="20% - Akzent2 3 6 8" xfId="827"/>
    <cellStyle name="20% - Akzent2 3 6 9" xfId="828"/>
    <cellStyle name="20% - Akzent2 3 7" xfId="829"/>
    <cellStyle name="20% - Akzent2 3 7 2" xfId="830"/>
    <cellStyle name="20% - Akzent2 3 7 2 2" xfId="831"/>
    <cellStyle name="20% - Akzent2 3 7 3" xfId="832"/>
    <cellStyle name="20% - Akzent2 3 7 4" xfId="833"/>
    <cellStyle name="20% - Akzent2 3 7 5" xfId="834"/>
    <cellStyle name="20% - Akzent2 3 8" xfId="835"/>
    <cellStyle name="20% - Akzent2 3 8 2" xfId="836"/>
    <cellStyle name="20% - Akzent2 3 8 2 2" xfId="837"/>
    <cellStyle name="20% - Akzent2 3 8 3" xfId="838"/>
    <cellStyle name="20% - Akzent2 3 8 4" xfId="839"/>
    <cellStyle name="20% - Akzent2 3 8 5" xfId="840"/>
    <cellStyle name="20% - Akzent2 3 9" xfId="841"/>
    <cellStyle name="20% - Akzent2 3 9 2" xfId="842"/>
    <cellStyle name="20% - Akzent2 3 9 2 2" xfId="843"/>
    <cellStyle name="20% - Akzent2 3 9 3" xfId="844"/>
    <cellStyle name="20% - Akzent2 3 9 4" xfId="845"/>
    <cellStyle name="20% - Akzent2 4" xfId="846"/>
    <cellStyle name="20% - Akzent2 4 10" xfId="847"/>
    <cellStyle name="20% - Akzent2 4 2" xfId="848"/>
    <cellStyle name="20% - Akzent2 4 2 2" xfId="849"/>
    <cellStyle name="20% - Akzent2 4 2 2 2" xfId="850"/>
    <cellStyle name="20% - Akzent2 4 2 2 2 2" xfId="851"/>
    <cellStyle name="20% - Akzent2 4 2 2 3" xfId="852"/>
    <cellStyle name="20% - Akzent2 4 2 2 4" xfId="853"/>
    <cellStyle name="20% - Akzent2 4 2 2 5" xfId="854"/>
    <cellStyle name="20% - Akzent2 4 2 3" xfId="855"/>
    <cellStyle name="20% - Akzent2 4 2 3 2" xfId="856"/>
    <cellStyle name="20% - Akzent2 4 2 3 2 2" xfId="857"/>
    <cellStyle name="20% - Akzent2 4 2 3 3" xfId="858"/>
    <cellStyle name="20% - Akzent2 4 2 3 4" xfId="859"/>
    <cellStyle name="20% - Akzent2 4 2 3 5" xfId="860"/>
    <cellStyle name="20% - Akzent2 4 2 4" xfId="861"/>
    <cellStyle name="20% - Akzent2 4 2 4 2" xfId="862"/>
    <cellStyle name="20% - Akzent2 4 2 4 2 2" xfId="863"/>
    <cellStyle name="20% - Akzent2 4 2 4 3" xfId="864"/>
    <cellStyle name="20% - Akzent2 4 2 4 4" xfId="865"/>
    <cellStyle name="20% - Akzent2 4 2 5" xfId="866"/>
    <cellStyle name="20% - Akzent2 4 2 5 2" xfId="867"/>
    <cellStyle name="20% - Akzent2 4 2 6" xfId="868"/>
    <cellStyle name="20% - Akzent2 4 2 7" xfId="869"/>
    <cellStyle name="20% - Akzent2 4 2 8" xfId="870"/>
    <cellStyle name="20% - Akzent2 4 2 9" xfId="871"/>
    <cellStyle name="20% - Akzent2 4 3" xfId="872"/>
    <cellStyle name="20% - Akzent2 4 3 2" xfId="873"/>
    <cellStyle name="20% - Akzent2 4 3 2 2" xfId="874"/>
    <cellStyle name="20% - Akzent2 4 3 3" xfId="875"/>
    <cellStyle name="20% - Akzent2 4 3 4" xfId="876"/>
    <cellStyle name="20% - Akzent2 4 3 5" xfId="877"/>
    <cellStyle name="20% - Akzent2 4 4" xfId="878"/>
    <cellStyle name="20% - Akzent2 4 4 2" xfId="879"/>
    <cellStyle name="20% - Akzent2 4 4 2 2" xfId="880"/>
    <cellStyle name="20% - Akzent2 4 4 3" xfId="881"/>
    <cellStyle name="20% - Akzent2 4 4 4" xfId="882"/>
    <cellStyle name="20% - Akzent2 4 4 5" xfId="883"/>
    <cellStyle name="20% - Akzent2 4 5" xfId="884"/>
    <cellStyle name="20% - Akzent2 4 5 2" xfId="885"/>
    <cellStyle name="20% - Akzent2 4 5 2 2" xfId="886"/>
    <cellStyle name="20% - Akzent2 4 5 3" xfId="887"/>
    <cellStyle name="20% - Akzent2 4 5 4" xfId="888"/>
    <cellStyle name="20% - Akzent2 4 6" xfId="889"/>
    <cellStyle name="20% - Akzent2 4 6 2" xfId="890"/>
    <cellStyle name="20% - Akzent2 4 7" xfId="891"/>
    <cellStyle name="20% - Akzent2 4 8" xfId="892"/>
    <cellStyle name="20% - Akzent2 4 9" xfId="893"/>
    <cellStyle name="20% - Akzent2 5" xfId="894"/>
    <cellStyle name="20% - Akzent2 5 10" xfId="895"/>
    <cellStyle name="20% - Akzent2 5 2" xfId="896"/>
    <cellStyle name="20% - Akzent2 5 2 2" xfId="897"/>
    <cellStyle name="20% - Akzent2 5 2 2 2" xfId="898"/>
    <cellStyle name="20% - Akzent2 5 2 2 2 2" xfId="899"/>
    <cellStyle name="20% - Akzent2 5 2 2 3" xfId="900"/>
    <cellStyle name="20% - Akzent2 5 2 2 4" xfId="901"/>
    <cellStyle name="20% - Akzent2 5 2 2 5" xfId="902"/>
    <cellStyle name="20% - Akzent2 5 2 3" xfId="903"/>
    <cellStyle name="20% - Akzent2 5 2 3 2" xfId="904"/>
    <cellStyle name="20% - Akzent2 5 2 3 2 2" xfId="905"/>
    <cellStyle name="20% - Akzent2 5 2 3 3" xfId="906"/>
    <cellStyle name="20% - Akzent2 5 2 3 4" xfId="907"/>
    <cellStyle name="20% - Akzent2 5 2 3 5" xfId="908"/>
    <cellStyle name="20% - Akzent2 5 2 4" xfId="909"/>
    <cellStyle name="20% - Akzent2 5 2 4 2" xfId="910"/>
    <cellStyle name="20% - Akzent2 5 2 4 2 2" xfId="911"/>
    <cellStyle name="20% - Akzent2 5 2 4 3" xfId="912"/>
    <cellStyle name="20% - Akzent2 5 2 4 4" xfId="913"/>
    <cellStyle name="20% - Akzent2 5 2 5" xfId="914"/>
    <cellStyle name="20% - Akzent2 5 2 5 2" xfId="915"/>
    <cellStyle name="20% - Akzent2 5 2 6" xfId="916"/>
    <cellStyle name="20% - Akzent2 5 2 7" xfId="917"/>
    <cellStyle name="20% - Akzent2 5 2 8" xfId="918"/>
    <cellStyle name="20% - Akzent2 5 2 9" xfId="919"/>
    <cellStyle name="20% - Akzent2 5 3" xfId="920"/>
    <cellStyle name="20% - Akzent2 5 3 2" xfId="921"/>
    <cellStyle name="20% - Akzent2 5 3 2 2" xfId="922"/>
    <cellStyle name="20% - Akzent2 5 3 3" xfId="923"/>
    <cellStyle name="20% - Akzent2 5 3 4" xfId="924"/>
    <cellStyle name="20% - Akzent2 5 3 5" xfId="925"/>
    <cellStyle name="20% - Akzent2 5 4" xfId="926"/>
    <cellStyle name="20% - Akzent2 5 4 2" xfId="927"/>
    <cellStyle name="20% - Akzent2 5 4 2 2" xfId="928"/>
    <cellStyle name="20% - Akzent2 5 4 3" xfId="929"/>
    <cellStyle name="20% - Akzent2 5 4 4" xfId="930"/>
    <cellStyle name="20% - Akzent2 5 4 5" xfId="931"/>
    <cellStyle name="20% - Akzent2 5 5" xfId="932"/>
    <cellStyle name="20% - Akzent2 5 5 2" xfId="933"/>
    <cellStyle name="20% - Akzent2 5 5 2 2" xfId="934"/>
    <cellStyle name="20% - Akzent2 5 5 3" xfId="935"/>
    <cellStyle name="20% - Akzent2 5 5 4" xfId="936"/>
    <cellStyle name="20% - Akzent2 5 6" xfId="937"/>
    <cellStyle name="20% - Akzent2 5 6 2" xfId="938"/>
    <cellStyle name="20% - Akzent2 5 7" xfId="939"/>
    <cellStyle name="20% - Akzent2 5 8" xfId="940"/>
    <cellStyle name="20% - Akzent2 5 9" xfId="941"/>
    <cellStyle name="20% - Akzent2 6" xfId="942"/>
    <cellStyle name="20% - Akzent2 6 10" xfId="943"/>
    <cellStyle name="20% - Akzent2 6 2" xfId="944"/>
    <cellStyle name="20% - Akzent2 6 2 2" xfId="945"/>
    <cellStyle name="20% - Akzent2 6 2 2 2" xfId="946"/>
    <cellStyle name="20% - Akzent2 6 2 2 2 2" xfId="947"/>
    <cellStyle name="20% - Akzent2 6 2 2 3" xfId="948"/>
    <cellStyle name="20% - Akzent2 6 2 2 4" xfId="949"/>
    <cellStyle name="20% - Akzent2 6 2 2 5" xfId="950"/>
    <cellStyle name="20% - Akzent2 6 2 3" xfId="951"/>
    <cellStyle name="20% - Akzent2 6 2 3 2" xfId="952"/>
    <cellStyle name="20% - Akzent2 6 2 3 2 2" xfId="953"/>
    <cellStyle name="20% - Akzent2 6 2 3 3" xfId="954"/>
    <cellStyle name="20% - Akzent2 6 2 3 4" xfId="955"/>
    <cellStyle name="20% - Akzent2 6 2 3 5" xfId="956"/>
    <cellStyle name="20% - Akzent2 6 2 4" xfId="957"/>
    <cellStyle name="20% - Akzent2 6 2 4 2" xfId="958"/>
    <cellStyle name="20% - Akzent2 6 2 4 2 2" xfId="959"/>
    <cellStyle name="20% - Akzent2 6 2 4 3" xfId="960"/>
    <cellStyle name="20% - Akzent2 6 2 4 4" xfId="961"/>
    <cellStyle name="20% - Akzent2 6 2 5" xfId="962"/>
    <cellStyle name="20% - Akzent2 6 2 5 2" xfId="963"/>
    <cellStyle name="20% - Akzent2 6 2 6" xfId="964"/>
    <cellStyle name="20% - Akzent2 6 2 7" xfId="965"/>
    <cellStyle name="20% - Akzent2 6 2 8" xfId="966"/>
    <cellStyle name="20% - Akzent2 6 2 9" xfId="967"/>
    <cellStyle name="20% - Akzent2 6 3" xfId="968"/>
    <cellStyle name="20% - Akzent2 6 3 2" xfId="969"/>
    <cellStyle name="20% - Akzent2 6 3 2 2" xfId="970"/>
    <cellStyle name="20% - Akzent2 6 3 3" xfId="971"/>
    <cellStyle name="20% - Akzent2 6 3 4" xfId="972"/>
    <cellStyle name="20% - Akzent2 6 3 5" xfId="973"/>
    <cellStyle name="20% - Akzent2 6 4" xfId="974"/>
    <cellStyle name="20% - Akzent2 6 4 2" xfId="975"/>
    <cellStyle name="20% - Akzent2 6 4 2 2" xfId="976"/>
    <cellStyle name="20% - Akzent2 6 4 3" xfId="977"/>
    <cellStyle name="20% - Akzent2 6 4 4" xfId="978"/>
    <cellStyle name="20% - Akzent2 6 4 5" xfId="979"/>
    <cellStyle name="20% - Akzent2 6 5" xfId="980"/>
    <cellStyle name="20% - Akzent2 6 5 2" xfId="981"/>
    <cellStyle name="20% - Akzent2 6 5 2 2" xfId="982"/>
    <cellStyle name="20% - Akzent2 6 5 3" xfId="983"/>
    <cellStyle name="20% - Akzent2 6 5 4" xfId="984"/>
    <cellStyle name="20% - Akzent2 6 6" xfId="985"/>
    <cellStyle name="20% - Akzent2 6 6 2" xfId="986"/>
    <cellStyle name="20% - Akzent2 6 7" xfId="987"/>
    <cellStyle name="20% - Akzent2 6 8" xfId="988"/>
    <cellStyle name="20% - Akzent2 6 9" xfId="989"/>
    <cellStyle name="20% - Akzent2 7" xfId="990"/>
    <cellStyle name="20% - Akzent2 7 2" xfId="991"/>
    <cellStyle name="20% - Akzent2 7 2 2" xfId="992"/>
    <cellStyle name="20% - Akzent2 7 3" xfId="993"/>
    <cellStyle name="20% - Akzent2 7 4" xfId="994"/>
    <cellStyle name="20% - Akzent2 7 5" xfId="995"/>
    <cellStyle name="20% - Akzent2 8" xfId="996"/>
    <cellStyle name="20% - Akzent2 8 2" xfId="997"/>
    <cellStyle name="20% - Akzent2 8 2 2" xfId="998"/>
    <cellStyle name="20% - Akzent2 8 3" xfId="999"/>
    <cellStyle name="20% - Akzent2 8 4" xfId="1000"/>
    <cellStyle name="20% - Akzent2 8 5" xfId="1001"/>
    <cellStyle name="20% - Akzent2 9" xfId="1002"/>
    <cellStyle name="20% - Akzent2 9 2" xfId="1003"/>
    <cellStyle name="20% - Akzent2 9 2 2" xfId="1004"/>
    <cellStyle name="20% - Akzent2 9 3" xfId="1005"/>
    <cellStyle name="20% - Akzent3 10" xfId="1006"/>
    <cellStyle name="20% - Akzent3 10 2" xfId="1007"/>
    <cellStyle name="20% - Akzent3 11" xfId="1008"/>
    <cellStyle name="20% - Akzent3 2" xfId="1009"/>
    <cellStyle name="20% - Akzent3 2 2" xfId="1010"/>
    <cellStyle name="20% - Akzent3 3" xfId="1011"/>
    <cellStyle name="20% - Akzent3 3 10" xfId="1012"/>
    <cellStyle name="20% - Akzent3 3 10 2" xfId="1013"/>
    <cellStyle name="20% - Akzent3 3 11" xfId="1014"/>
    <cellStyle name="20% - Akzent3 3 12" xfId="1015"/>
    <cellStyle name="20% - Akzent3 3 13" xfId="1016"/>
    <cellStyle name="20% - Akzent3 3 14" xfId="1017"/>
    <cellStyle name="20% - Akzent3 3 2" xfId="1018"/>
    <cellStyle name="20% - Akzent3 3 2 10" xfId="1019"/>
    <cellStyle name="20% - Akzent3 3 2 11" xfId="1020"/>
    <cellStyle name="20% - Akzent3 3 2 2" xfId="1021"/>
    <cellStyle name="20% - Akzent3 3 2 2 10" xfId="1022"/>
    <cellStyle name="20% - Akzent3 3 2 2 2" xfId="1023"/>
    <cellStyle name="20% - Akzent3 3 2 2 2 2" xfId="1024"/>
    <cellStyle name="20% - Akzent3 3 2 2 2 2 2" xfId="1025"/>
    <cellStyle name="20% - Akzent3 3 2 2 2 2 2 2" xfId="1026"/>
    <cellStyle name="20% - Akzent3 3 2 2 2 2 3" xfId="1027"/>
    <cellStyle name="20% - Akzent3 3 2 2 2 2 4" xfId="1028"/>
    <cellStyle name="20% - Akzent3 3 2 2 2 2 5" xfId="1029"/>
    <cellStyle name="20% - Akzent3 3 2 2 2 3" xfId="1030"/>
    <cellStyle name="20% - Akzent3 3 2 2 2 3 2" xfId="1031"/>
    <cellStyle name="20% - Akzent3 3 2 2 2 3 2 2" xfId="1032"/>
    <cellStyle name="20% - Akzent3 3 2 2 2 3 3" xfId="1033"/>
    <cellStyle name="20% - Akzent3 3 2 2 2 3 4" xfId="1034"/>
    <cellStyle name="20% - Akzent3 3 2 2 2 3 5" xfId="1035"/>
    <cellStyle name="20% - Akzent3 3 2 2 2 4" xfId="1036"/>
    <cellStyle name="20% - Akzent3 3 2 2 2 4 2" xfId="1037"/>
    <cellStyle name="20% - Akzent3 3 2 2 2 4 2 2" xfId="1038"/>
    <cellStyle name="20% - Akzent3 3 2 2 2 4 3" xfId="1039"/>
    <cellStyle name="20% - Akzent3 3 2 2 2 4 4" xfId="1040"/>
    <cellStyle name="20% - Akzent3 3 2 2 2 5" xfId="1041"/>
    <cellStyle name="20% - Akzent3 3 2 2 2 5 2" xfId="1042"/>
    <cellStyle name="20% - Akzent3 3 2 2 2 6" xfId="1043"/>
    <cellStyle name="20% - Akzent3 3 2 2 2 7" xfId="1044"/>
    <cellStyle name="20% - Akzent3 3 2 2 2 8" xfId="1045"/>
    <cellStyle name="20% - Akzent3 3 2 2 2 9" xfId="1046"/>
    <cellStyle name="20% - Akzent3 3 2 2 3" xfId="1047"/>
    <cellStyle name="20% - Akzent3 3 2 2 3 2" xfId="1048"/>
    <cellStyle name="20% - Akzent3 3 2 2 3 2 2" xfId="1049"/>
    <cellStyle name="20% - Akzent3 3 2 2 3 3" xfId="1050"/>
    <cellStyle name="20% - Akzent3 3 2 2 3 4" xfId="1051"/>
    <cellStyle name="20% - Akzent3 3 2 2 3 5" xfId="1052"/>
    <cellStyle name="20% - Akzent3 3 2 2 4" xfId="1053"/>
    <cellStyle name="20% - Akzent3 3 2 2 4 2" xfId="1054"/>
    <cellStyle name="20% - Akzent3 3 2 2 4 2 2" xfId="1055"/>
    <cellStyle name="20% - Akzent3 3 2 2 4 3" xfId="1056"/>
    <cellStyle name="20% - Akzent3 3 2 2 4 4" xfId="1057"/>
    <cellStyle name="20% - Akzent3 3 2 2 4 5" xfId="1058"/>
    <cellStyle name="20% - Akzent3 3 2 2 5" xfId="1059"/>
    <cellStyle name="20% - Akzent3 3 2 2 5 2" xfId="1060"/>
    <cellStyle name="20% - Akzent3 3 2 2 5 2 2" xfId="1061"/>
    <cellStyle name="20% - Akzent3 3 2 2 5 3" xfId="1062"/>
    <cellStyle name="20% - Akzent3 3 2 2 5 4" xfId="1063"/>
    <cellStyle name="20% - Akzent3 3 2 2 6" xfId="1064"/>
    <cellStyle name="20% - Akzent3 3 2 2 6 2" xfId="1065"/>
    <cellStyle name="20% - Akzent3 3 2 2 7" xfId="1066"/>
    <cellStyle name="20% - Akzent3 3 2 2 8" xfId="1067"/>
    <cellStyle name="20% - Akzent3 3 2 2 9" xfId="1068"/>
    <cellStyle name="20% - Akzent3 3 2 3" xfId="1069"/>
    <cellStyle name="20% - Akzent3 3 2 3 2" xfId="1070"/>
    <cellStyle name="20% - Akzent3 3 2 3 2 2" xfId="1071"/>
    <cellStyle name="20% - Akzent3 3 2 3 2 2 2" xfId="1072"/>
    <cellStyle name="20% - Akzent3 3 2 3 2 3" xfId="1073"/>
    <cellStyle name="20% - Akzent3 3 2 3 2 4" xfId="1074"/>
    <cellStyle name="20% - Akzent3 3 2 3 2 5" xfId="1075"/>
    <cellStyle name="20% - Akzent3 3 2 3 3" xfId="1076"/>
    <cellStyle name="20% - Akzent3 3 2 3 3 2" xfId="1077"/>
    <cellStyle name="20% - Akzent3 3 2 3 3 2 2" xfId="1078"/>
    <cellStyle name="20% - Akzent3 3 2 3 3 3" xfId="1079"/>
    <cellStyle name="20% - Akzent3 3 2 3 3 4" xfId="1080"/>
    <cellStyle name="20% - Akzent3 3 2 3 3 5" xfId="1081"/>
    <cellStyle name="20% - Akzent3 3 2 3 4" xfId="1082"/>
    <cellStyle name="20% - Akzent3 3 2 3 4 2" xfId="1083"/>
    <cellStyle name="20% - Akzent3 3 2 3 4 2 2" xfId="1084"/>
    <cellStyle name="20% - Akzent3 3 2 3 4 3" xfId="1085"/>
    <cellStyle name="20% - Akzent3 3 2 3 4 4" xfId="1086"/>
    <cellStyle name="20% - Akzent3 3 2 3 5" xfId="1087"/>
    <cellStyle name="20% - Akzent3 3 2 3 5 2" xfId="1088"/>
    <cellStyle name="20% - Akzent3 3 2 3 6" xfId="1089"/>
    <cellStyle name="20% - Akzent3 3 2 3 7" xfId="1090"/>
    <cellStyle name="20% - Akzent3 3 2 3 8" xfId="1091"/>
    <cellStyle name="20% - Akzent3 3 2 3 9" xfId="1092"/>
    <cellStyle name="20% - Akzent3 3 2 4" xfId="1093"/>
    <cellStyle name="20% - Akzent3 3 2 4 2" xfId="1094"/>
    <cellStyle name="20% - Akzent3 3 2 4 2 2" xfId="1095"/>
    <cellStyle name="20% - Akzent3 3 2 4 3" xfId="1096"/>
    <cellStyle name="20% - Akzent3 3 2 4 4" xfId="1097"/>
    <cellStyle name="20% - Akzent3 3 2 4 5" xfId="1098"/>
    <cellStyle name="20% - Akzent3 3 2 5" xfId="1099"/>
    <cellStyle name="20% - Akzent3 3 2 5 2" xfId="1100"/>
    <cellStyle name="20% - Akzent3 3 2 5 2 2" xfId="1101"/>
    <cellStyle name="20% - Akzent3 3 2 5 3" xfId="1102"/>
    <cellStyle name="20% - Akzent3 3 2 5 4" xfId="1103"/>
    <cellStyle name="20% - Akzent3 3 2 5 5" xfId="1104"/>
    <cellStyle name="20% - Akzent3 3 2 6" xfId="1105"/>
    <cellStyle name="20% - Akzent3 3 2 6 2" xfId="1106"/>
    <cellStyle name="20% - Akzent3 3 2 6 2 2" xfId="1107"/>
    <cellStyle name="20% - Akzent3 3 2 6 3" xfId="1108"/>
    <cellStyle name="20% - Akzent3 3 2 6 4" xfId="1109"/>
    <cellStyle name="20% - Akzent3 3 2 7" xfId="1110"/>
    <cellStyle name="20% - Akzent3 3 2 7 2" xfId="1111"/>
    <cellStyle name="20% - Akzent3 3 2 8" xfId="1112"/>
    <cellStyle name="20% - Akzent3 3 2 9" xfId="1113"/>
    <cellStyle name="20% - Akzent3 3 3" xfId="1114"/>
    <cellStyle name="20% - Akzent3 3 3 10" xfId="1115"/>
    <cellStyle name="20% - Akzent3 3 3 11" xfId="1116"/>
    <cellStyle name="20% - Akzent3 3 3 2" xfId="1117"/>
    <cellStyle name="20% - Akzent3 3 3 2 10" xfId="1118"/>
    <cellStyle name="20% - Akzent3 3 3 2 2" xfId="1119"/>
    <cellStyle name="20% - Akzent3 3 3 2 2 2" xfId="1120"/>
    <cellStyle name="20% - Akzent3 3 3 2 2 2 2" xfId="1121"/>
    <cellStyle name="20% - Akzent3 3 3 2 2 2 2 2" xfId="1122"/>
    <cellStyle name="20% - Akzent3 3 3 2 2 2 3" xfId="1123"/>
    <cellStyle name="20% - Akzent3 3 3 2 2 2 4" xfId="1124"/>
    <cellStyle name="20% - Akzent3 3 3 2 2 2 5" xfId="1125"/>
    <cellStyle name="20% - Akzent3 3 3 2 2 3" xfId="1126"/>
    <cellStyle name="20% - Akzent3 3 3 2 2 3 2" xfId="1127"/>
    <cellStyle name="20% - Akzent3 3 3 2 2 3 2 2" xfId="1128"/>
    <cellStyle name="20% - Akzent3 3 3 2 2 3 3" xfId="1129"/>
    <cellStyle name="20% - Akzent3 3 3 2 2 3 4" xfId="1130"/>
    <cellStyle name="20% - Akzent3 3 3 2 2 3 5" xfId="1131"/>
    <cellStyle name="20% - Akzent3 3 3 2 2 4" xfId="1132"/>
    <cellStyle name="20% - Akzent3 3 3 2 2 4 2" xfId="1133"/>
    <cellStyle name="20% - Akzent3 3 3 2 2 4 2 2" xfId="1134"/>
    <cellStyle name="20% - Akzent3 3 3 2 2 4 3" xfId="1135"/>
    <cellStyle name="20% - Akzent3 3 3 2 2 4 4" xfId="1136"/>
    <cellStyle name="20% - Akzent3 3 3 2 2 5" xfId="1137"/>
    <cellStyle name="20% - Akzent3 3 3 2 2 5 2" xfId="1138"/>
    <cellStyle name="20% - Akzent3 3 3 2 2 6" xfId="1139"/>
    <cellStyle name="20% - Akzent3 3 3 2 2 7" xfId="1140"/>
    <cellStyle name="20% - Akzent3 3 3 2 2 8" xfId="1141"/>
    <cellStyle name="20% - Akzent3 3 3 2 2 9" xfId="1142"/>
    <cellStyle name="20% - Akzent3 3 3 2 3" xfId="1143"/>
    <cellStyle name="20% - Akzent3 3 3 2 3 2" xfId="1144"/>
    <cellStyle name="20% - Akzent3 3 3 2 3 2 2" xfId="1145"/>
    <cellStyle name="20% - Akzent3 3 3 2 3 3" xfId="1146"/>
    <cellStyle name="20% - Akzent3 3 3 2 3 4" xfId="1147"/>
    <cellStyle name="20% - Akzent3 3 3 2 3 5" xfId="1148"/>
    <cellStyle name="20% - Akzent3 3 3 2 4" xfId="1149"/>
    <cellStyle name="20% - Akzent3 3 3 2 4 2" xfId="1150"/>
    <cellStyle name="20% - Akzent3 3 3 2 4 2 2" xfId="1151"/>
    <cellStyle name="20% - Akzent3 3 3 2 4 3" xfId="1152"/>
    <cellStyle name="20% - Akzent3 3 3 2 4 4" xfId="1153"/>
    <cellStyle name="20% - Akzent3 3 3 2 4 5" xfId="1154"/>
    <cellStyle name="20% - Akzent3 3 3 2 5" xfId="1155"/>
    <cellStyle name="20% - Akzent3 3 3 2 5 2" xfId="1156"/>
    <cellStyle name="20% - Akzent3 3 3 2 5 2 2" xfId="1157"/>
    <cellStyle name="20% - Akzent3 3 3 2 5 3" xfId="1158"/>
    <cellStyle name="20% - Akzent3 3 3 2 5 4" xfId="1159"/>
    <cellStyle name="20% - Akzent3 3 3 2 6" xfId="1160"/>
    <cellStyle name="20% - Akzent3 3 3 2 6 2" xfId="1161"/>
    <cellStyle name="20% - Akzent3 3 3 2 7" xfId="1162"/>
    <cellStyle name="20% - Akzent3 3 3 2 8" xfId="1163"/>
    <cellStyle name="20% - Akzent3 3 3 2 9" xfId="1164"/>
    <cellStyle name="20% - Akzent3 3 3 3" xfId="1165"/>
    <cellStyle name="20% - Akzent3 3 3 3 2" xfId="1166"/>
    <cellStyle name="20% - Akzent3 3 3 3 2 2" xfId="1167"/>
    <cellStyle name="20% - Akzent3 3 3 3 2 2 2" xfId="1168"/>
    <cellStyle name="20% - Akzent3 3 3 3 2 3" xfId="1169"/>
    <cellStyle name="20% - Akzent3 3 3 3 2 4" xfId="1170"/>
    <cellStyle name="20% - Akzent3 3 3 3 2 5" xfId="1171"/>
    <cellStyle name="20% - Akzent3 3 3 3 3" xfId="1172"/>
    <cellStyle name="20% - Akzent3 3 3 3 3 2" xfId="1173"/>
    <cellStyle name="20% - Akzent3 3 3 3 3 2 2" xfId="1174"/>
    <cellStyle name="20% - Akzent3 3 3 3 3 3" xfId="1175"/>
    <cellStyle name="20% - Akzent3 3 3 3 3 4" xfId="1176"/>
    <cellStyle name="20% - Akzent3 3 3 3 3 5" xfId="1177"/>
    <cellStyle name="20% - Akzent3 3 3 3 4" xfId="1178"/>
    <cellStyle name="20% - Akzent3 3 3 3 4 2" xfId="1179"/>
    <cellStyle name="20% - Akzent3 3 3 3 4 2 2" xfId="1180"/>
    <cellStyle name="20% - Akzent3 3 3 3 4 3" xfId="1181"/>
    <cellStyle name="20% - Akzent3 3 3 3 4 4" xfId="1182"/>
    <cellStyle name="20% - Akzent3 3 3 3 5" xfId="1183"/>
    <cellStyle name="20% - Akzent3 3 3 3 5 2" xfId="1184"/>
    <cellStyle name="20% - Akzent3 3 3 3 6" xfId="1185"/>
    <cellStyle name="20% - Akzent3 3 3 3 7" xfId="1186"/>
    <cellStyle name="20% - Akzent3 3 3 3 8" xfId="1187"/>
    <cellStyle name="20% - Akzent3 3 3 3 9" xfId="1188"/>
    <cellStyle name="20% - Akzent3 3 3 4" xfId="1189"/>
    <cellStyle name="20% - Akzent3 3 3 4 2" xfId="1190"/>
    <cellStyle name="20% - Akzent3 3 3 4 2 2" xfId="1191"/>
    <cellStyle name="20% - Akzent3 3 3 4 3" xfId="1192"/>
    <cellStyle name="20% - Akzent3 3 3 4 4" xfId="1193"/>
    <cellStyle name="20% - Akzent3 3 3 4 5" xfId="1194"/>
    <cellStyle name="20% - Akzent3 3 3 5" xfId="1195"/>
    <cellStyle name="20% - Akzent3 3 3 5 2" xfId="1196"/>
    <cellStyle name="20% - Akzent3 3 3 5 2 2" xfId="1197"/>
    <cellStyle name="20% - Akzent3 3 3 5 3" xfId="1198"/>
    <cellStyle name="20% - Akzent3 3 3 5 4" xfId="1199"/>
    <cellStyle name="20% - Akzent3 3 3 5 5" xfId="1200"/>
    <cellStyle name="20% - Akzent3 3 3 6" xfId="1201"/>
    <cellStyle name="20% - Akzent3 3 3 6 2" xfId="1202"/>
    <cellStyle name="20% - Akzent3 3 3 6 2 2" xfId="1203"/>
    <cellStyle name="20% - Akzent3 3 3 6 3" xfId="1204"/>
    <cellStyle name="20% - Akzent3 3 3 6 4" xfId="1205"/>
    <cellStyle name="20% - Akzent3 3 3 7" xfId="1206"/>
    <cellStyle name="20% - Akzent3 3 3 7 2" xfId="1207"/>
    <cellStyle name="20% - Akzent3 3 3 8" xfId="1208"/>
    <cellStyle name="20% - Akzent3 3 3 9" xfId="1209"/>
    <cellStyle name="20% - Akzent3 3 4" xfId="1210"/>
    <cellStyle name="20% - Akzent3 3 4 10" xfId="1211"/>
    <cellStyle name="20% - Akzent3 3 4 2" xfId="1212"/>
    <cellStyle name="20% - Akzent3 3 4 2 2" xfId="1213"/>
    <cellStyle name="20% - Akzent3 3 4 2 2 2" xfId="1214"/>
    <cellStyle name="20% - Akzent3 3 4 2 2 2 2" xfId="1215"/>
    <cellStyle name="20% - Akzent3 3 4 2 2 3" xfId="1216"/>
    <cellStyle name="20% - Akzent3 3 4 2 2 4" xfId="1217"/>
    <cellStyle name="20% - Akzent3 3 4 2 2 5" xfId="1218"/>
    <cellStyle name="20% - Akzent3 3 4 2 3" xfId="1219"/>
    <cellStyle name="20% - Akzent3 3 4 2 3 2" xfId="1220"/>
    <cellStyle name="20% - Akzent3 3 4 2 3 2 2" xfId="1221"/>
    <cellStyle name="20% - Akzent3 3 4 2 3 3" xfId="1222"/>
    <cellStyle name="20% - Akzent3 3 4 2 3 4" xfId="1223"/>
    <cellStyle name="20% - Akzent3 3 4 2 3 5" xfId="1224"/>
    <cellStyle name="20% - Akzent3 3 4 2 4" xfId="1225"/>
    <cellStyle name="20% - Akzent3 3 4 2 4 2" xfId="1226"/>
    <cellStyle name="20% - Akzent3 3 4 2 4 2 2" xfId="1227"/>
    <cellStyle name="20% - Akzent3 3 4 2 4 3" xfId="1228"/>
    <cellStyle name="20% - Akzent3 3 4 2 4 4" xfId="1229"/>
    <cellStyle name="20% - Akzent3 3 4 2 5" xfId="1230"/>
    <cellStyle name="20% - Akzent3 3 4 2 5 2" xfId="1231"/>
    <cellStyle name="20% - Akzent3 3 4 2 6" xfId="1232"/>
    <cellStyle name="20% - Akzent3 3 4 2 7" xfId="1233"/>
    <cellStyle name="20% - Akzent3 3 4 2 8" xfId="1234"/>
    <cellStyle name="20% - Akzent3 3 4 2 9" xfId="1235"/>
    <cellStyle name="20% - Akzent3 3 4 3" xfId="1236"/>
    <cellStyle name="20% - Akzent3 3 4 3 2" xfId="1237"/>
    <cellStyle name="20% - Akzent3 3 4 3 2 2" xfId="1238"/>
    <cellStyle name="20% - Akzent3 3 4 3 3" xfId="1239"/>
    <cellStyle name="20% - Akzent3 3 4 3 4" xfId="1240"/>
    <cellStyle name="20% - Akzent3 3 4 3 5" xfId="1241"/>
    <cellStyle name="20% - Akzent3 3 4 4" xfId="1242"/>
    <cellStyle name="20% - Akzent3 3 4 4 2" xfId="1243"/>
    <cellStyle name="20% - Akzent3 3 4 4 2 2" xfId="1244"/>
    <cellStyle name="20% - Akzent3 3 4 4 3" xfId="1245"/>
    <cellStyle name="20% - Akzent3 3 4 4 4" xfId="1246"/>
    <cellStyle name="20% - Akzent3 3 4 4 5" xfId="1247"/>
    <cellStyle name="20% - Akzent3 3 4 5" xfId="1248"/>
    <cellStyle name="20% - Akzent3 3 4 5 2" xfId="1249"/>
    <cellStyle name="20% - Akzent3 3 4 5 2 2" xfId="1250"/>
    <cellStyle name="20% - Akzent3 3 4 5 3" xfId="1251"/>
    <cellStyle name="20% - Akzent3 3 4 5 4" xfId="1252"/>
    <cellStyle name="20% - Akzent3 3 4 6" xfId="1253"/>
    <cellStyle name="20% - Akzent3 3 4 6 2" xfId="1254"/>
    <cellStyle name="20% - Akzent3 3 4 7" xfId="1255"/>
    <cellStyle name="20% - Akzent3 3 4 8" xfId="1256"/>
    <cellStyle name="20% - Akzent3 3 4 9" xfId="1257"/>
    <cellStyle name="20% - Akzent3 3 5" xfId="1258"/>
    <cellStyle name="20% - Akzent3 3 5 10" xfId="1259"/>
    <cellStyle name="20% - Akzent3 3 5 2" xfId="1260"/>
    <cellStyle name="20% - Akzent3 3 5 2 2" xfId="1261"/>
    <cellStyle name="20% - Akzent3 3 5 2 2 2" xfId="1262"/>
    <cellStyle name="20% - Akzent3 3 5 2 2 2 2" xfId="1263"/>
    <cellStyle name="20% - Akzent3 3 5 2 2 3" xfId="1264"/>
    <cellStyle name="20% - Akzent3 3 5 2 2 4" xfId="1265"/>
    <cellStyle name="20% - Akzent3 3 5 2 2 5" xfId="1266"/>
    <cellStyle name="20% - Akzent3 3 5 2 3" xfId="1267"/>
    <cellStyle name="20% - Akzent3 3 5 2 3 2" xfId="1268"/>
    <cellStyle name="20% - Akzent3 3 5 2 3 2 2" xfId="1269"/>
    <cellStyle name="20% - Akzent3 3 5 2 3 3" xfId="1270"/>
    <cellStyle name="20% - Akzent3 3 5 2 3 4" xfId="1271"/>
    <cellStyle name="20% - Akzent3 3 5 2 3 5" xfId="1272"/>
    <cellStyle name="20% - Akzent3 3 5 2 4" xfId="1273"/>
    <cellStyle name="20% - Akzent3 3 5 2 4 2" xfId="1274"/>
    <cellStyle name="20% - Akzent3 3 5 2 4 2 2" xfId="1275"/>
    <cellStyle name="20% - Akzent3 3 5 2 4 3" xfId="1276"/>
    <cellStyle name="20% - Akzent3 3 5 2 4 4" xfId="1277"/>
    <cellStyle name="20% - Akzent3 3 5 2 5" xfId="1278"/>
    <cellStyle name="20% - Akzent3 3 5 2 5 2" xfId="1279"/>
    <cellStyle name="20% - Akzent3 3 5 2 6" xfId="1280"/>
    <cellStyle name="20% - Akzent3 3 5 2 7" xfId="1281"/>
    <cellStyle name="20% - Akzent3 3 5 2 8" xfId="1282"/>
    <cellStyle name="20% - Akzent3 3 5 2 9" xfId="1283"/>
    <cellStyle name="20% - Akzent3 3 5 3" xfId="1284"/>
    <cellStyle name="20% - Akzent3 3 5 3 2" xfId="1285"/>
    <cellStyle name="20% - Akzent3 3 5 3 2 2" xfId="1286"/>
    <cellStyle name="20% - Akzent3 3 5 3 3" xfId="1287"/>
    <cellStyle name="20% - Akzent3 3 5 3 4" xfId="1288"/>
    <cellStyle name="20% - Akzent3 3 5 3 5" xfId="1289"/>
    <cellStyle name="20% - Akzent3 3 5 4" xfId="1290"/>
    <cellStyle name="20% - Akzent3 3 5 4 2" xfId="1291"/>
    <cellStyle name="20% - Akzent3 3 5 4 2 2" xfId="1292"/>
    <cellStyle name="20% - Akzent3 3 5 4 3" xfId="1293"/>
    <cellStyle name="20% - Akzent3 3 5 4 4" xfId="1294"/>
    <cellStyle name="20% - Akzent3 3 5 4 5" xfId="1295"/>
    <cellStyle name="20% - Akzent3 3 5 5" xfId="1296"/>
    <cellStyle name="20% - Akzent3 3 5 5 2" xfId="1297"/>
    <cellStyle name="20% - Akzent3 3 5 5 2 2" xfId="1298"/>
    <cellStyle name="20% - Akzent3 3 5 5 3" xfId="1299"/>
    <cellStyle name="20% - Akzent3 3 5 5 4" xfId="1300"/>
    <cellStyle name="20% - Akzent3 3 5 6" xfId="1301"/>
    <cellStyle name="20% - Akzent3 3 5 6 2" xfId="1302"/>
    <cellStyle name="20% - Akzent3 3 5 7" xfId="1303"/>
    <cellStyle name="20% - Akzent3 3 5 8" xfId="1304"/>
    <cellStyle name="20% - Akzent3 3 5 9" xfId="1305"/>
    <cellStyle name="20% - Akzent3 3 6" xfId="1306"/>
    <cellStyle name="20% - Akzent3 3 6 2" xfId="1307"/>
    <cellStyle name="20% - Akzent3 3 6 2 2" xfId="1308"/>
    <cellStyle name="20% - Akzent3 3 6 2 2 2" xfId="1309"/>
    <cellStyle name="20% - Akzent3 3 6 2 3" xfId="1310"/>
    <cellStyle name="20% - Akzent3 3 6 2 4" xfId="1311"/>
    <cellStyle name="20% - Akzent3 3 6 2 5" xfId="1312"/>
    <cellStyle name="20% - Akzent3 3 6 3" xfId="1313"/>
    <cellStyle name="20% - Akzent3 3 6 3 2" xfId="1314"/>
    <cellStyle name="20% - Akzent3 3 6 3 2 2" xfId="1315"/>
    <cellStyle name="20% - Akzent3 3 6 3 3" xfId="1316"/>
    <cellStyle name="20% - Akzent3 3 6 3 4" xfId="1317"/>
    <cellStyle name="20% - Akzent3 3 6 3 5" xfId="1318"/>
    <cellStyle name="20% - Akzent3 3 6 4" xfId="1319"/>
    <cellStyle name="20% - Akzent3 3 6 4 2" xfId="1320"/>
    <cellStyle name="20% - Akzent3 3 6 4 2 2" xfId="1321"/>
    <cellStyle name="20% - Akzent3 3 6 4 3" xfId="1322"/>
    <cellStyle name="20% - Akzent3 3 6 4 4" xfId="1323"/>
    <cellStyle name="20% - Akzent3 3 6 5" xfId="1324"/>
    <cellStyle name="20% - Akzent3 3 6 5 2" xfId="1325"/>
    <cellStyle name="20% - Akzent3 3 6 6" xfId="1326"/>
    <cellStyle name="20% - Akzent3 3 6 7" xfId="1327"/>
    <cellStyle name="20% - Akzent3 3 6 8" xfId="1328"/>
    <cellStyle name="20% - Akzent3 3 6 9" xfId="1329"/>
    <cellStyle name="20% - Akzent3 3 7" xfId="1330"/>
    <cellStyle name="20% - Akzent3 3 7 2" xfId="1331"/>
    <cellStyle name="20% - Akzent3 3 7 2 2" xfId="1332"/>
    <cellStyle name="20% - Akzent3 3 7 3" xfId="1333"/>
    <cellStyle name="20% - Akzent3 3 7 4" xfId="1334"/>
    <cellStyle name="20% - Akzent3 3 7 5" xfId="1335"/>
    <cellStyle name="20% - Akzent3 3 8" xfId="1336"/>
    <cellStyle name="20% - Akzent3 3 8 2" xfId="1337"/>
    <cellStyle name="20% - Akzent3 3 8 2 2" xfId="1338"/>
    <cellStyle name="20% - Akzent3 3 8 3" xfId="1339"/>
    <cellStyle name="20% - Akzent3 3 8 4" xfId="1340"/>
    <cellStyle name="20% - Akzent3 3 8 5" xfId="1341"/>
    <cellStyle name="20% - Akzent3 3 9" xfId="1342"/>
    <cellStyle name="20% - Akzent3 3 9 2" xfId="1343"/>
    <cellStyle name="20% - Akzent3 3 9 2 2" xfId="1344"/>
    <cellStyle name="20% - Akzent3 3 9 3" xfId="1345"/>
    <cellStyle name="20% - Akzent3 3 9 4" xfId="1346"/>
    <cellStyle name="20% - Akzent3 4" xfId="1347"/>
    <cellStyle name="20% - Akzent3 4 10" xfId="1348"/>
    <cellStyle name="20% - Akzent3 4 2" xfId="1349"/>
    <cellStyle name="20% - Akzent3 4 2 2" xfId="1350"/>
    <cellStyle name="20% - Akzent3 4 2 2 2" xfId="1351"/>
    <cellStyle name="20% - Akzent3 4 2 2 2 2" xfId="1352"/>
    <cellStyle name="20% - Akzent3 4 2 2 3" xfId="1353"/>
    <cellStyle name="20% - Akzent3 4 2 2 4" xfId="1354"/>
    <cellStyle name="20% - Akzent3 4 2 2 5" xfId="1355"/>
    <cellStyle name="20% - Akzent3 4 2 3" xfId="1356"/>
    <cellStyle name="20% - Akzent3 4 2 3 2" xfId="1357"/>
    <cellStyle name="20% - Akzent3 4 2 3 2 2" xfId="1358"/>
    <cellStyle name="20% - Akzent3 4 2 3 3" xfId="1359"/>
    <cellStyle name="20% - Akzent3 4 2 3 4" xfId="1360"/>
    <cellStyle name="20% - Akzent3 4 2 3 5" xfId="1361"/>
    <cellStyle name="20% - Akzent3 4 2 4" xfId="1362"/>
    <cellStyle name="20% - Akzent3 4 2 4 2" xfId="1363"/>
    <cellStyle name="20% - Akzent3 4 2 4 2 2" xfId="1364"/>
    <cellStyle name="20% - Akzent3 4 2 4 3" xfId="1365"/>
    <cellStyle name="20% - Akzent3 4 2 4 4" xfId="1366"/>
    <cellStyle name="20% - Akzent3 4 2 5" xfId="1367"/>
    <cellStyle name="20% - Akzent3 4 2 5 2" xfId="1368"/>
    <cellStyle name="20% - Akzent3 4 2 6" xfId="1369"/>
    <cellStyle name="20% - Akzent3 4 2 7" xfId="1370"/>
    <cellStyle name="20% - Akzent3 4 2 8" xfId="1371"/>
    <cellStyle name="20% - Akzent3 4 2 9" xfId="1372"/>
    <cellStyle name="20% - Akzent3 4 3" xfId="1373"/>
    <cellStyle name="20% - Akzent3 4 3 2" xfId="1374"/>
    <cellStyle name="20% - Akzent3 4 3 2 2" xfId="1375"/>
    <cellStyle name="20% - Akzent3 4 3 3" xfId="1376"/>
    <cellStyle name="20% - Akzent3 4 3 4" xfId="1377"/>
    <cellStyle name="20% - Akzent3 4 3 5" xfId="1378"/>
    <cellStyle name="20% - Akzent3 4 4" xfId="1379"/>
    <cellStyle name="20% - Akzent3 4 4 2" xfId="1380"/>
    <cellStyle name="20% - Akzent3 4 4 2 2" xfId="1381"/>
    <cellStyle name="20% - Akzent3 4 4 3" xfId="1382"/>
    <cellStyle name="20% - Akzent3 4 4 4" xfId="1383"/>
    <cellStyle name="20% - Akzent3 4 4 5" xfId="1384"/>
    <cellStyle name="20% - Akzent3 4 5" xfId="1385"/>
    <cellStyle name="20% - Akzent3 4 5 2" xfId="1386"/>
    <cellStyle name="20% - Akzent3 4 5 2 2" xfId="1387"/>
    <cellStyle name="20% - Akzent3 4 5 3" xfId="1388"/>
    <cellStyle name="20% - Akzent3 4 5 4" xfId="1389"/>
    <cellStyle name="20% - Akzent3 4 6" xfId="1390"/>
    <cellStyle name="20% - Akzent3 4 6 2" xfId="1391"/>
    <cellStyle name="20% - Akzent3 4 7" xfId="1392"/>
    <cellStyle name="20% - Akzent3 4 8" xfId="1393"/>
    <cellStyle name="20% - Akzent3 4 9" xfId="1394"/>
    <cellStyle name="20% - Akzent3 5" xfId="1395"/>
    <cellStyle name="20% - Akzent3 5 10" xfId="1396"/>
    <cellStyle name="20% - Akzent3 5 2" xfId="1397"/>
    <cellStyle name="20% - Akzent3 5 2 2" xfId="1398"/>
    <cellStyle name="20% - Akzent3 5 2 2 2" xfId="1399"/>
    <cellStyle name="20% - Akzent3 5 2 2 2 2" xfId="1400"/>
    <cellStyle name="20% - Akzent3 5 2 2 3" xfId="1401"/>
    <cellStyle name="20% - Akzent3 5 2 2 4" xfId="1402"/>
    <cellStyle name="20% - Akzent3 5 2 2 5" xfId="1403"/>
    <cellStyle name="20% - Akzent3 5 2 3" xfId="1404"/>
    <cellStyle name="20% - Akzent3 5 2 3 2" xfId="1405"/>
    <cellStyle name="20% - Akzent3 5 2 3 2 2" xfId="1406"/>
    <cellStyle name="20% - Akzent3 5 2 3 3" xfId="1407"/>
    <cellStyle name="20% - Akzent3 5 2 3 4" xfId="1408"/>
    <cellStyle name="20% - Akzent3 5 2 3 5" xfId="1409"/>
    <cellStyle name="20% - Akzent3 5 2 4" xfId="1410"/>
    <cellStyle name="20% - Akzent3 5 2 4 2" xfId="1411"/>
    <cellStyle name="20% - Akzent3 5 2 4 2 2" xfId="1412"/>
    <cellStyle name="20% - Akzent3 5 2 4 3" xfId="1413"/>
    <cellStyle name="20% - Akzent3 5 2 4 4" xfId="1414"/>
    <cellStyle name="20% - Akzent3 5 2 5" xfId="1415"/>
    <cellStyle name="20% - Akzent3 5 2 5 2" xfId="1416"/>
    <cellStyle name="20% - Akzent3 5 2 6" xfId="1417"/>
    <cellStyle name="20% - Akzent3 5 2 7" xfId="1418"/>
    <cellStyle name="20% - Akzent3 5 2 8" xfId="1419"/>
    <cellStyle name="20% - Akzent3 5 2 9" xfId="1420"/>
    <cellStyle name="20% - Akzent3 5 3" xfId="1421"/>
    <cellStyle name="20% - Akzent3 5 3 2" xfId="1422"/>
    <cellStyle name="20% - Akzent3 5 3 2 2" xfId="1423"/>
    <cellStyle name="20% - Akzent3 5 3 3" xfId="1424"/>
    <cellStyle name="20% - Akzent3 5 3 4" xfId="1425"/>
    <cellStyle name="20% - Akzent3 5 3 5" xfId="1426"/>
    <cellStyle name="20% - Akzent3 5 4" xfId="1427"/>
    <cellStyle name="20% - Akzent3 5 4 2" xfId="1428"/>
    <cellStyle name="20% - Akzent3 5 4 2 2" xfId="1429"/>
    <cellStyle name="20% - Akzent3 5 4 3" xfId="1430"/>
    <cellStyle name="20% - Akzent3 5 4 4" xfId="1431"/>
    <cellStyle name="20% - Akzent3 5 4 5" xfId="1432"/>
    <cellStyle name="20% - Akzent3 5 5" xfId="1433"/>
    <cellStyle name="20% - Akzent3 5 5 2" xfId="1434"/>
    <cellStyle name="20% - Akzent3 5 5 2 2" xfId="1435"/>
    <cellStyle name="20% - Akzent3 5 5 3" xfId="1436"/>
    <cellStyle name="20% - Akzent3 5 5 4" xfId="1437"/>
    <cellStyle name="20% - Akzent3 5 6" xfId="1438"/>
    <cellStyle name="20% - Akzent3 5 6 2" xfId="1439"/>
    <cellStyle name="20% - Akzent3 5 7" xfId="1440"/>
    <cellStyle name="20% - Akzent3 5 8" xfId="1441"/>
    <cellStyle name="20% - Akzent3 5 9" xfId="1442"/>
    <cellStyle name="20% - Akzent3 6" xfId="1443"/>
    <cellStyle name="20% - Akzent3 6 10" xfId="1444"/>
    <cellStyle name="20% - Akzent3 6 2" xfId="1445"/>
    <cellStyle name="20% - Akzent3 6 2 2" xfId="1446"/>
    <cellStyle name="20% - Akzent3 6 2 2 2" xfId="1447"/>
    <cellStyle name="20% - Akzent3 6 2 2 2 2" xfId="1448"/>
    <cellStyle name="20% - Akzent3 6 2 2 3" xfId="1449"/>
    <cellStyle name="20% - Akzent3 6 2 2 4" xfId="1450"/>
    <cellStyle name="20% - Akzent3 6 2 2 5" xfId="1451"/>
    <cellStyle name="20% - Akzent3 6 2 3" xfId="1452"/>
    <cellStyle name="20% - Akzent3 6 2 3 2" xfId="1453"/>
    <cellStyle name="20% - Akzent3 6 2 3 2 2" xfId="1454"/>
    <cellStyle name="20% - Akzent3 6 2 3 3" xfId="1455"/>
    <cellStyle name="20% - Akzent3 6 2 3 4" xfId="1456"/>
    <cellStyle name="20% - Akzent3 6 2 3 5" xfId="1457"/>
    <cellStyle name="20% - Akzent3 6 2 4" xfId="1458"/>
    <cellStyle name="20% - Akzent3 6 2 4 2" xfId="1459"/>
    <cellStyle name="20% - Akzent3 6 2 4 2 2" xfId="1460"/>
    <cellStyle name="20% - Akzent3 6 2 4 3" xfId="1461"/>
    <cellStyle name="20% - Akzent3 6 2 4 4" xfId="1462"/>
    <cellStyle name="20% - Akzent3 6 2 5" xfId="1463"/>
    <cellStyle name="20% - Akzent3 6 2 5 2" xfId="1464"/>
    <cellStyle name="20% - Akzent3 6 2 6" xfId="1465"/>
    <cellStyle name="20% - Akzent3 6 2 7" xfId="1466"/>
    <cellStyle name="20% - Akzent3 6 2 8" xfId="1467"/>
    <cellStyle name="20% - Akzent3 6 2 9" xfId="1468"/>
    <cellStyle name="20% - Akzent3 6 3" xfId="1469"/>
    <cellStyle name="20% - Akzent3 6 3 2" xfId="1470"/>
    <cellStyle name="20% - Akzent3 6 3 2 2" xfId="1471"/>
    <cellStyle name="20% - Akzent3 6 3 3" xfId="1472"/>
    <cellStyle name="20% - Akzent3 6 3 4" xfId="1473"/>
    <cellStyle name="20% - Akzent3 6 3 5" xfId="1474"/>
    <cellStyle name="20% - Akzent3 6 4" xfId="1475"/>
    <cellStyle name="20% - Akzent3 6 4 2" xfId="1476"/>
    <cellStyle name="20% - Akzent3 6 4 2 2" xfId="1477"/>
    <cellStyle name="20% - Akzent3 6 4 3" xfId="1478"/>
    <cellStyle name="20% - Akzent3 6 4 4" xfId="1479"/>
    <cellStyle name="20% - Akzent3 6 4 5" xfId="1480"/>
    <cellStyle name="20% - Akzent3 6 5" xfId="1481"/>
    <cellStyle name="20% - Akzent3 6 5 2" xfId="1482"/>
    <cellStyle name="20% - Akzent3 6 5 2 2" xfId="1483"/>
    <cellStyle name="20% - Akzent3 6 5 3" xfId="1484"/>
    <cellStyle name="20% - Akzent3 6 5 4" xfId="1485"/>
    <cellStyle name="20% - Akzent3 6 6" xfId="1486"/>
    <cellStyle name="20% - Akzent3 6 6 2" xfId="1487"/>
    <cellStyle name="20% - Akzent3 6 7" xfId="1488"/>
    <cellStyle name="20% - Akzent3 6 8" xfId="1489"/>
    <cellStyle name="20% - Akzent3 6 9" xfId="1490"/>
    <cellStyle name="20% - Akzent3 7" xfId="1491"/>
    <cellStyle name="20% - Akzent3 7 2" xfId="1492"/>
    <cellStyle name="20% - Akzent3 7 2 2" xfId="1493"/>
    <cellStyle name="20% - Akzent3 7 3" xfId="1494"/>
    <cellStyle name="20% - Akzent3 7 4" xfId="1495"/>
    <cellStyle name="20% - Akzent3 7 5" xfId="1496"/>
    <cellStyle name="20% - Akzent3 8" xfId="1497"/>
    <cellStyle name="20% - Akzent3 8 2" xfId="1498"/>
    <cellStyle name="20% - Akzent3 8 2 2" xfId="1499"/>
    <cellStyle name="20% - Akzent3 8 3" xfId="1500"/>
    <cellStyle name="20% - Akzent3 8 4" xfId="1501"/>
    <cellStyle name="20% - Akzent3 8 5" xfId="1502"/>
    <cellStyle name="20% - Akzent3 9" xfId="1503"/>
    <cellStyle name="20% - Akzent3 9 2" xfId="1504"/>
    <cellStyle name="20% - Akzent3 9 2 2" xfId="1505"/>
    <cellStyle name="20% - Akzent3 9 3" xfId="1506"/>
    <cellStyle name="20% - Akzent4 10" xfId="1507"/>
    <cellStyle name="20% - Akzent4 10 2" xfId="1508"/>
    <cellStyle name="20% - Akzent4 11" xfId="1509"/>
    <cellStyle name="20% - Akzent4 2" xfId="1510"/>
    <cellStyle name="20% - Akzent4 2 2" xfId="1511"/>
    <cellStyle name="20% - Akzent4 3" xfId="1512"/>
    <cellStyle name="20% - Akzent4 3 10" xfId="1513"/>
    <cellStyle name="20% - Akzent4 3 10 2" xfId="1514"/>
    <cellStyle name="20% - Akzent4 3 11" xfId="1515"/>
    <cellStyle name="20% - Akzent4 3 12" xfId="1516"/>
    <cellStyle name="20% - Akzent4 3 13" xfId="1517"/>
    <cellStyle name="20% - Akzent4 3 14" xfId="1518"/>
    <cellStyle name="20% - Akzent4 3 2" xfId="1519"/>
    <cellStyle name="20% - Akzent4 3 2 10" xfId="1520"/>
    <cellStyle name="20% - Akzent4 3 2 11" xfId="1521"/>
    <cellStyle name="20% - Akzent4 3 2 2" xfId="1522"/>
    <cellStyle name="20% - Akzent4 3 2 2 10" xfId="1523"/>
    <cellStyle name="20% - Akzent4 3 2 2 2" xfId="1524"/>
    <cellStyle name="20% - Akzent4 3 2 2 2 2" xfId="1525"/>
    <cellStyle name="20% - Akzent4 3 2 2 2 2 2" xfId="1526"/>
    <cellStyle name="20% - Akzent4 3 2 2 2 2 2 2" xfId="1527"/>
    <cellStyle name="20% - Akzent4 3 2 2 2 2 3" xfId="1528"/>
    <cellStyle name="20% - Akzent4 3 2 2 2 2 4" xfId="1529"/>
    <cellStyle name="20% - Akzent4 3 2 2 2 2 5" xfId="1530"/>
    <cellStyle name="20% - Akzent4 3 2 2 2 3" xfId="1531"/>
    <cellStyle name="20% - Akzent4 3 2 2 2 3 2" xfId="1532"/>
    <cellStyle name="20% - Akzent4 3 2 2 2 3 2 2" xfId="1533"/>
    <cellStyle name="20% - Akzent4 3 2 2 2 3 3" xfId="1534"/>
    <cellStyle name="20% - Akzent4 3 2 2 2 3 4" xfId="1535"/>
    <cellStyle name="20% - Akzent4 3 2 2 2 3 5" xfId="1536"/>
    <cellStyle name="20% - Akzent4 3 2 2 2 4" xfId="1537"/>
    <cellStyle name="20% - Akzent4 3 2 2 2 4 2" xfId="1538"/>
    <cellStyle name="20% - Akzent4 3 2 2 2 4 2 2" xfId="1539"/>
    <cellStyle name="20% - Akzent4 3 2 2 2 4 3" xfId="1540"/>
    <cellStyle name="20% - Akzent4 3 2 2 2 4 4" xfId="1541"/>
    <cellStyle name="20% - Akzent4 3 2 2 2 5" xfId="1542"/>
    <cellStyle name="20% - Akzent4 3 2 2 2 5 2" xfId="1543"/>
    <cellStyle name="20% - Akzent4 3 2 2 2 6" xfId="1544"/>
    <cellStyle name="20% - Akzent4 3 2 2 2 7" xfId="1545"/>
    <cellStyle name="20% - Akzent4 3 2 2 2 8" xfId="1546"/>
    <cellStyle name="20% - Akzent4 3 2 2 2 9" xfId="1547"/>
    <cellStyle name="20% - Akzent4 3 2 2 3" xfId="1548"/>
    <cellStyle name="20% - Akzent4 3 2 2 3 2" xfId="1549"/>
    <cellStyle name="20% - Akzent4 3 2 2 3 2 2" xfId="1550"/>
    <cellStyle name="20% - Akzent4 3 2 2 3 3" xfId="1551"/>
    <cellStyle name="20% - Akzent4 3 2 2 3 4" xfId="1552"/>
    <cellStyle name="20% - Akzent4 3 2 2 3 5" xfId="1553"/>
    <cellStyle name="20% - Akzent4 3 2 2 4" xfId="1554"/>
    <cellStyle name="20% - Akzent4 3 2 2 4 2" xfId="1555"/>
    <cellStyle name="20% - Akzent4 3 2 2 4 2 2" xfId="1556"/>
    <cellStyle name="20% - Akzent4 3 2 2 4 3" xfId="1557"/>
    <cellStyle name="20% - Akzent4 3 2 2 4 4" xfId="1558"/>
    <cellStyle name="20% - Akzent4 3 2 2 4 5" xfId="1559"/>
    <cellStyle name="20% - Akzent4 3 2 2 5" xfId="1560"/>
    <cellStyle name="20% - Akzent4 3 2 2 5 2" xfId="1561"/>
    <cellStyle name="20% - Akzent4 3 2 2 5 2 2" xfId="1562"/>
    <cellStyle name="20% - Akzent4 3 2 2 5 3" xfId="1563"/>
    <cellStyle name="20% - Akzent4 3 2 2 5 4" xfId="1564"/>
    <cellStyle name="20% - Akzent4 3 2 2 6" xfId="1565"/>
    <cellStyle name="20% - Akzent4 3 2 2 6 2" xfId="1566"/>
    <cellStyle name="20% - Akzent4 3 2 2 7" xfId="1567"/>
    <cellStyle name="20% - Akzent4 3 2 2 8" xfId="1568"/>
    <cellStyle name="20% - Akzent4 3 2 2 9" xfId="1569"/>
    <cellStyle name="20% - Akzent4 3 2 3" xfId="1570"/>
    <cellStyle name="20% - Akzent4 3 2 3 2" xfId="1571"/>
    <cellStyle name="20% - Akzent4 3 2 3 2 2" xfId="1572"/>
    <cellStyle name="20% - Akzent4 3 2 3 2 2 2" xfId="1573"/>
    <cellStyle name="20% - Akzent4 3 2 3 2 3" xfId="1574"/>
    <cellStyle name="20% - Akzent4 3 2 3 2 4" xfId="1575"/>
    <cellStyle name="20% - Akzent4 3 2 3 2 5" xfId="1576"/>
    <cellStyle name="20% - Akzent4 3 2 3 3" xfId="1577"/>
    <cellStyle name="20% - Akzent4 3 2 3 3 2" xfId="1578"/>
    <cellStyle name="20% - Akzent4 3 2 3 3 2 2" xfId="1579"/>
    <cellStyle name="20% - Akzent4 3 2 3 3 3" xfId="1580"/>
    <cellStyle name="20% - Akzent4 3 2 3 3 4" xfId="1581"/>
    <cellStyle name="20% - Akzent4 3 2 3 3 5" xfId="1582"/>
    <cellStyle name="20% - Akzent4 3 2 3 4" xfId="1583"/>
    <cellStyle name="20% - Akzent4 3 2 3 4 2" xfId="1584"/>
    <cellStyle name="20% - Akzent4 3 2 3 4 2 2" xfId="1585"/>
    <cellStyle name="20% - Akzent4 3 2 3 4 3" xfId="1586"/>
    <cellStyle name="20% - Akzent4 3 2 3 4 4" xfId="1587"/>
    <cellStyle name="20% - Akzent4 3 2 3 5" xfId="1588"/>
    <cellStyle name="20% - Akzent4 3 2 3 5 2" xfId="1589"/>
    <cellStyle name="20% - Akzent4 3 2 3 6" xfId="1590"/>
    <cellStyle name="20% - Akzent4 3 2 3 7" xfId="1591"/>
    <cellStyle name="20% - Akzent4 3 2 3 8" xfId="1592"/>
    <cellStyle name="20% - Akzent4 3 2 3 9" xfId="1593"/>
    <cellStyle name="20% - Akzent4 3 2 4" xfId="1594"/>
    <cellStyle name="20% - Akzent4 3 2 4 2" xfId="1595"/>
    <cellStyle name="20% - Akzent4 3 2 4 2 2" xfId="1596"/>
    <cellStyle name="20% - Akzent4 3 2 4 3" xfId="1597"/>
    <cellStyle name="20% - Akzent4 3 2 4 4" xfId="1598"/>
    <cellStyle name="20% - Akzent4 3 2 4 5" xfId="1599"/>
    <cellStyle name="20% - Akzent4 3 2 5" xfId="1600"/>
    <cellStyle name="20% - Akzent4 3 2 5 2" xfId="1601"/>
    <cellStyle name="20% - Akzent4 3 2 5 2 2" xfId="1602"/>
    <cellStyle name="20% - Akzent4 3 2 5 3" xfId="1603"/>
    <cellStyle name="20% - Akzent4 3 2 5 4" xfId="1604"/>
    <cellStyle name="20% - Akzent4 3 2 5 5" xfId="1605"/>
    <cellStyle name="20% - Akzent4 3 2 6" xfId="1606"/>
    <cellStyle name="20% - Akzent4 3 2 6 2" xfId="1607"/>
    <cellStyle name="20% - Akzent4 3 2 6 2 2" xfId="1608"/>
    <cellStyle name="20% - Akzent4 3 2 6 3" xfId="1609"/>
    <cellStyle name="20% - Akzent4 3 2 6 4" xfId="1610"/>
    <cellStyle name="20% - Akzent4 3 2 7" xfId="1611"/>
    <cellStyle name="20% - Akzent4 3 2 7 2" xfId="1612"/>
    <cellStyle name="20% - Akzent4 3 2 8" xfId="1613"/>
    <cellStyle name="20% - Akzent4 3 2 9" xfId="1614"/>
    <cellStyle name="20% - Akzent4 3 3" xfId="1615"/>
    <cellStyle name="20% - Akzent4 3 3 10" xfId="1616"/>
    <cellStyle name="20% - Akzent4 3 3 11" xfId="1617"/>
    <cellStyle name="20% - Akzent4 3 3 2" xfId="1618"/>
    <cellStyle name="20% - Akzent4 3 3 2 10" xfId="1619"/>
    <cellStyle name="20% - Akzent4 3 3 2 2" xfId="1620"/>
    <cellStyle name="20% - Akzent4 3 3 2 2 2" xfId="1621"/>
    <cellStyle name="20% - Akzent4 3 3 2 2 2 2" xfId="1622"/>
    <cellStyle name="20% - Akzent4 3 3 2 2 2 2 2" xfId="1623"/>
    <cellStyle name="20% - Akzent4 3 3 2 2 2 3" xfId="1624"/>
    <cellStyle name="20% - Akzent4 3 3 2 2 2 4" xfId="1625"/>
    <cellStyle name="20% - Akzent4 3 3 2 2 2 5" xfId="1626"/>
    <cellStyle name="20% - Akzent4 3 3 2 2 3" xfId="1627"/>
    <cellStyle name="20% - Akzent4 3 3 2 2 3 2" xfId="1628"/>
    <cellStyle name="20% - Akzent4 3 3 2 2 3 2 2" xfId="1629"/>
    <cellStyle name="20% - Akzent4 3 3 2 2 3 3" xfId="1630"/>
    <cellStyle name="20% - Akzent4 3 3 2 2 3 4" xfId="1631"/>
    <cellStyle name="20% - Akzent4 3 3 2 2 3 5" xfId="1632"/>
    <cellStyle name="20% - Akzent4 3 3 2 2 4" xfId="1633"/>
    <cellStyle name="20% - Akzent4 3 3 2 2 4 2" xfId="1634"/>
    <cellStyle name="20% - Akzent4 3 3 2 2 4 2 2" xfId="1635"/>
    <cellStyle name="20% - Akzent4 3 3 2 2 4 3" xfId="1636"/>
    <cellStyle name="20% - Akzent4 3 3 2 2 4 4" xfId="1637"/>
    <cellStyle name="20% - Akzent4 3 3 2 2 5" xfId="1638"/>
    <cellStyle name="20% - Akzent4 3 3 2 2 5 2" xfId="1639"/>
    <cellStyle name="20% - Akzent4 3 3 2 2 6" xfId="1640"/>
    <cellStyle name="20% - Akzent4 3 3 2 2 7" xfId="1641"/>
    <cellStyle name="20% - Akzent4 3 3 2 2 8" xfId="1642"/>
    <cellStyle name="20% - Akzent4 3 3 2 2 9" xfId="1643"/>
    <cellStyle name="20% - Akzent4 3 3 2 3" xfId="1644"/>
    <cellStyle name="20% - Akzent4 3 3 2 3 2" xfId="1645"/>
    <cellStyle name="20% - Akzent4 3 3 2 3 2 2" xfId="1646"/>
    <cellStyle name="20% - Akzent4 3 3 2 3 3" xfId="1647"/>
    <cellStyle name="20% - Akzent4 3 3 2 3 4" xfId="1648"/>
    <cellStyle name="20% - Akzent4 3 3 2 3 5" xfId="1649"/>
    <cellStyle name="20% - Akzent4 3 3 2 4" xfId="1650"/>
    <cellStyle name="20% - Akzent4 3 3 2 4 2" xfId="1651"/>
    <cellStyle name="20% - Akzent4 3 3 2 4 2 2" xfId="1652"/>
    <cellStyle name="20% - Akzent4 3 3 2 4 3" xfId="1653"/>
    <cellStyle name="20% - Akzent4 3 3 2 4 4" xfId="1654"/>
    <cellStyle name="20% - Akzent4 3 3 2 4 5" xfId="1655"/>
    <cellStyle name="20% - Akzent4 3 3 2 5" xfId="1656"/>
    <cellStyle name="20% - Akzent4 3 3 2 5 2" xfId="1657"/>
    <cellStyle name="20% - Akzent4 3 3 2 5 2 2" xfId="1658"/>
    <cellStyle name="20% - Akzent4 3 3 2 5 3" xfId="1659"/>
    <cellStyle name="20% - Akzent4 3 3 2 5 4" xfId="1660"/>
    <cellStyle name="20% - Akzent4 3 3 2 6" xfId="1661"/>
    <cellStyle name="20% - Akzent4 3 3 2 6 2" xfId="1662"/>
    <cellStyle name="20% - Akzent4 3 3 2 7" xfId="1663"/>
    <cellStyle name="20% - Akzent4 3 3 2 8" xfId="1664"/>
    <cellStyle name="20% - Akzent4 3 3 2 9" xfId="1665"/>
    <cellStyle name="20% - Akzent4 3 3 3" xfId="1666"/>
    <cellStyle name="20% - Akzent4 3 3 3 2" xfId="1667"/>
    <cellStyle name="20% - Akzent4 3 3 3 2 2" xfId="1668"/>
    <cellStyle name="20% - Akzent4 3 3 3 2 2 2" xfId="1669"/>
    <cellStyle name="20% - Akzent4 3 3 3 2 3" xfId="1670"/>
    <cellStyle name="20% - Akzent4 3 3 3 2 4" xfId="1671"/>
    <cellStyle name="20% - Akzent4 3 3 3 2 5" xfId="1672"/>
    <cellStyle name="20% - Akzent4 3 3 3 3" xfId="1673"/>
    <cellStyle name="20% - Akzent4 3 3 3 3 2" xfId="1674"/>
    <cellStyle name="20% - Akzent4 3 3 3 3 2 2" xfId="1675"/>
    <cellStyle name="20% - Akzent4 3 3 3 3 3" xfId="1676"/>
    <cellStyle name="20% - Akzent4 3 3 3 3 4" xfId="1677"/>
    <cellStyle name="20% - Akzent4 3 3 3 3 5" xfId="1678"/>
    <cellStyle name="20% - Akzent4 3 3 3 4" xfId="1679"/>
    <cellStyle name="20% - Akzent4 3 3 3 4 2" xfId="1680"/>
    <cellStyle name="20% - Akzent4 3 3 3 4 2 2" xfId="1681"/>
    <cellStyle name="20% - Akzent4 3 3 3 4 3" xfId="1682"/>
    <cellStyle name="20% - Akzent4 3 3 3 4 4" xfId="1683"/>
    <cellStyle name="20% - Akzent4 3 3 3 5" xfId="1684"/>
    <cellStyle name="20% - Akzent4 3 3 3 5 2" xfId="1685"/>
    <cellStyle name="20% - Akzent4 3 3 3 6" xfId="1686"/>
    <cellStyle name="20% - Akzent4 3 3 3 7" xfId="1687"/>
    <cellStyle name="20% - Akzent4 3 3 3 8" xfId="1688"/>
    <cellStyle name="20% - Akzent4 3 3 3 9" xfId="1689"/>
    <cellStyle name="20% - Akzent4 3 3 4" xfId="1690"/>
    <cellStyle name="20% - Akzent4 3 3 4 2" xfId="1691"/>
    <cellStyle name="20% - Akzent4 3 3 4 2 2" xfId="1692"/>
    <cellStyle name="20% - Akzent4 3 3 4 3" xfId="1693"/>
    <cellStyle name="20% - Akzent4 3 3 4 4" xfId="1694"/>
    <cellStyle name="20% - Akzent4 3 3 4 5" xfId="1695"/>
    <cellStyle name="20% - Akzent4 3 3 5" xfId="1696"/>
    <cellStyle name="20% - Akzent4 3 3 5 2" xfId="1697"/>
    <cellStyle name="20% - Akzent4 3 3 5 2 2" xfId="1698"/>
    <cellStyle name="20% - Akzent4 3 3 5 3" xfId="1699"/>
    <cellStyle name="20% - Akzent4 3 3 5 4" xfId="1700"/>
    <cellStyle name="20% - Akzent4 3 3 5 5" xfId="1701"/>
    <cellStyle name="20% - Akzent4 3 3 6" xfId="1702"/>
    <cellStyle name="20% - Akzent4 3 3 6 2" xfId="1703"/>
    <cellStyle name="20% - Akzent4 3 3 6 2 2" xfId="1704"/>
    <cellStyle name="20% - Akzent4 3 3 6 3" xfId="1705"/>
    <cellStyle name="20% - Akzent4 3 3 6 4" xfId="1706"/>
    <cellStyle name="20% - Akzent4 3 3 7" xfId="1707"/>
    <cellStyle name="20% - Akzent4 3 3 7 2" xfId="1708"/>
    <cellStyle name="20% - Akzent4 3 3 8" xfId="1709"/>
    <cellStyle name="20% - Akzent4 3 3 9" xfId="1710"/>
    <cellStyle name="20% - Akzent4 3 4" xfId="1711"/>
    <cellStyle name="20% - Akzent4 3 4 10" xfId="1712"/>
    <cellStyle name="20% - Akzent4 3 4 2" xfId="1713"/>
    <cellStyle name="20% - Akzent4 3 4 2 2" xfId="1714"/>
    <cellStyle name="20% - Akzent4 3 4 2 2 2" xfId="1715"/>
    <cellStyle name="20% - Akzent4 3 4 2 2 2 2" xfId="1716"/>
    <cellStyle name="20% - Akzent4 3 4 2 2 3" xfId="1717"/>
    <cellStyle name="20% - Akzent4 3 4 2 2 4" xfId="1718"/>
    <cellStyle name="20% - Akzent4 3 4 2 2 5" xfId="1719"/>
    <cellStyle name="20% - Akzent4 3 4 2 3" xfId="1720"/>
    <cellStyle name="20% - Akzent4 3 4 2 3 2" xfId="1721"/>
    <cellStyle name="20% - Akzent4 3 4 2 3 2 2" xfId="1722"/>
    <cellStyle name="20% - Akzent4 3 4 2 3 3" xfId="1723"/>
    <cellStyle name="20% - Akzent4 3 4 2 3 4" xfId="1724"/>
    <cellStyle name="20% - Akzent4 3 4 2 3 5" xfId="1725"/>
    <cellStyle name="20% - Akzent4 3 4 2 4" xfId="1726"/>
    <cellStyle name="20% - Akzent4 3 4 2 4 2" xfId="1727"/>
    <cellStyle name="20% - Akzent4 3 4 2 4 2 2" xfId="1728"/>
    <cellStyle name="20% - Akzent4 3 4 2 4 3" xfId="1729"/>
    <cellStyle name="20% - Akzent4 3 4 2 4 4" xfId="1730"/>
    <cellStyle name="20% - Akzent4 3 4 2 5" xfId="1731"/>
    <cellStyle name="20% - Akzent4 3 4 2 5 2" xfId="1732"/>
    <cellStyle name="20% - Akzent4 3 4 2 6" xfId="1733"/>
    <cellStyle name="20% - Akzent4 3 4 2 7" xfId="1734"/>
    <cellStyle name="20% - Akzent4 3 4 2 8" xfId="1735"/>
    <cellStyle name="20% - Akzent4 3 4 2 9" xfId="1736"/>
    <cellStyle name="20% - Akzent4 3 4 3" xfId="1737"/>
    <cellStyle name="20% - Akzent4 3 4 3 2" xfId="1738"/>
    <cellStyle name="20% - Akzent4 3 4 3 2 2" xfId="1739"/>
    <cellStyle name="20% - Akzent4 3 4 3 3" xfId="1740"/>
    <cellStyle name="20% - Akzent4 3 4 3 4" xfId="1741"/>
    <cellStyle name="20% - Akzent4 3 4 3 5" xfId="1742"/>
    <cellStyle name="20% - Akzent4 3 4 4" xfId="1743"/>
    <cellStyle name="20% - Akzent4 3 4 4 2" xfId="1744"/>
    <cellStyle name="20% - Akzent4 3 4 4 2 2" xfId="1745"/>
    <cellStyle name="20% - Akzent4 3 4 4 3" xfId="1746"/>
    <cellStyle name="20% - Akzent4 3 4 4 4" xfId="1747"/>
    <cellStyle name="20% - Akzent4 3 4 4 5" xfId="1748"/>
    <cellStyle name="20% - Akzent4 3 4 5" xfId="1749"/>
    <cellStyle name="20% - Akzent4 3 4 5 2" xfId="1750"/>
    <cellStyle name="20% - Akzent4 3 4 5 2 2" xfId="1751"/>
    <cellStyle name="20% - Akzent4 3 4 5 3" xfId="1752"/>
    <cellStyle name="20% - Akzent4 3 4 5 4" xfId="1753"/>
    <cellStyle name="20% - Akzent4 3 4 6" xfId="1754"/>
    <cellStyle name="20% - Akzent4 3 4 6 2" xfId="1755"/>
    <cellStyle name="20% - Akzent4 3 4 7" xfId="1756"/>
    <cellStyle name="20% - Akzent4 3 4 8" xfId="1757"/>
    <cellStyle name="20% - Akzent4 3 4 9" xfId="1758"/>
    <cellStyle name="20% - Akzent4 3 5" xfId="1759"/>
    <cellStyle name="20% - Akzent4 3 5 10" xfId="1760"/>
    <cellStyle name="20% - Akzent4 3 5 2" xfId="1761"/>
    <cellStyle name="20% - Akzent4 3 5 2 2" xfId="1762"/>
    <cellStyle name="20% - Akzent4 3 5 2 2 2" xfId="1763"/>
    <cellStyle name="20% - Akzent4 3 5 2 2 2 2" xfId="1764"/>
    <cellStyle name="20% - Akzent4 3 5 2 2 3" xfId="1765"/>
    <cellStyle name="20% - Akzent4 3 5 2 2 4" xfId="1766"/>
    <cellStyle name="20% - Akzent4 3 5 2 2 5" xfId="1767"/>
    <cellStyle name="20% - Akzent4 3 5 2 3" xfId="1768"/>
    <cellStyle name="20% - Akzent4 3 5 2 3 2" xfId="1769"/>
    <cellStyle name="20% - Akzent4 3 5 2 3 2 2" xfId="1770"/>
    <cellStyle name="20% - Akzent4 3 5 2 3 3" xfId="1771"/>
    <cellStyle name="20% - Akzent4 3 5 2 3 4" xfId="1772"/>
    <cellStyle name="20% - Akzent4 3 5 2 3 5" xfId="1773"/>
    <cellStyle name="20% - Akzent4 3 5 2 4" xfId="1774"/>
    <cellStyle name="20% - Akzent4 3 5 2 4 2" xfId="1775"/>
    <cellStyle name="20% - Akzent4 3 5 2 4 2 2" xfId="1776"/>
    <cellStyle name="20% - Akzent4 3 5 2 4 3" xfId="1777"/>
    <cellStyle name="20% - Akzent4 3 5 2 4 4" xfId="1778"/>
    <cellStyle name="20% - Akzent4 3 5 2 5" xfId="1779"/>
    <cellStyle name="20% - Akzent4 3 5 2 5 2" xfId="1780"/>
    <cellStyle name="20% - Akzent4 3 5 2 6" xfId="1781"/>
    <cellStyle name="20% - Akzent4 3 5 2 7" xfId="1782"/>
    <cellStyle name="20% - Akzent4 3 5 2 8" xfId="1783"/>
    <cellStyle name="20% - Akzent4 3 5 2 9" xfId="1784"/>
    <cellStyle name="20% - Akzent4 3 5 3" xfId="1785"/>
    <cellStyle name="20% - Akzent4 3 5 3 2" xfId="1786"/>
    <cellStyle name="20% - Akzent4 3 5 3 2 2" xfId="1787"/>
    <cellStyle name="20% - Akzent4 3 5 3 3" xfId="1788"/>
    <cellStyle name="20% - Akzent4 3 5 3 4" xfId="1789"/>
    <cellStyle name="20% - Akzent4 3 5 3 5" xfId="1790"/>
    <cellStyle name="20% - Akzent4 3 5 4" xfId="1791"/>
    <cellStyle name="20% - Akzent4 3 5 4 2" xfId="1792"/>
    <cellStyle name="20% - Akzent4 3 5 4 2 2" xfId="1793"/>
    <cellStyle name="20% - Akzent4 3 5 4 3" xfId="1794"/>
    <cellStyle name="20% - Akzent4 3 5 4 4" xfId="1795"/>
    <cellStyle name="20% - Akzent4 3 5 4 5" xfId="1796"/>
    <cellStyle name="20% - Akzent4 3 5 5" xfId="1797"/>
    <cellStyle name="20% - Akzent4 3 5 5 2" xfId="1798"/>
    <cellStyle name="20% - Akzent4 3 5 5 2 2" xfId="1799"/>
    <cellStyle name="20% - Akzent4 3 5 5 3" xfId="1800"/>
    <cellStyle name="20% - Akzent4 3 5 5 4" xfId="1801"/>
    <cellStyle name="20% - Akzent4 3 5 6" xfId="1802"/>
    <cellStyle name="20% - Akzent4 3 5 6 2" xfId="1803"/>
    <cellStyle name="20% - Akzent4 3 5 7" xfId="1804"/>
    <cellStyle name="20% - Akzent4 3 5 8" xfId="1805"/>
    <cellStyle name="20% - Akzent4 3 5 9" xfId="1806"/>
    <cellStyle name="20% - Akzent4 3 6" xfId="1807"/>
    <cellStyle name="20% - Akzent4 3 6 2" xfId="1808"/>
    <cellStyle name="20% - Akzent4 3 6 2 2" xfId="1809"/>
    <cellStyle name="20% - Akzent4 3 6 2 2 2" xfId="1810"/>
    <cellStyle name="20% - Akzent4 3 6 2 3" xfId="1811"/>
    <cellStyle name="20% - Akzent4 3 6 2 4" xfId="1812"/>
    <cellStyle name="20% - Akzent4 3 6 2 5" xfId="1813"/>
    <cellStyle name="20% - Akzent4 3 6 3" xfId="1814"/>
    <cellStyle name="20% - Akzent4 3 6 3 2" xfId="1815"/>
    <cellStyle name="20% - Akzent4 3 6 3 2 2" xfId="1816"/>
    <cellStyle name="20% - Akzent4 3 6 3 3" xfId="1817"/>
    <cellStyle name="20% - Akzent4 3 6 3 4" xfId="1818"/>
    <cellStyle name="20% - Akzent4 3 6 3 5" xfId="1819"/>
    <cellStyle name="20% - Akzent4 3 6 4" xfId="1820"/>
    <cellStyle name="20% - Akzent4 3 6 4 2" xfId="1821"/>
    <cellStyle name="20% - Akzent4 3 6 4 2 2" xfId="1822"/>
    <cellStyle name="20% - Akzent4 3 6 4 3" xfId="1823"/>
    <cellStyle name="20% - Akzent4 3 6 4 4" xfId="1824"/>
    <cellStyle name="20% - Akzent4 3 6 5" xfId="1825"/>
    <cellStyle name="20% - Akzent4 3 6 5 2" xfId="1826"/>
    <cellStyle name="20% - Akzent4 3 6 6" xfId="1827"/>
    <cellStyle name="20% - Akzent4 3 6 7" xfId="1828"/>
    <cellStyle name="20% - Akzent4 3 6 8" xfId="1829"/>
    <cellStyle name="20% - Akzent4 3 6 9" xfId="1830"/>
    <cellStyle name="20% - Akzent4 3 7" xfId="1831"/>
    <cellStyle name="20% - Akzent4 3 7 2" xfId="1832"/>
    <cellStyle name="20% - Akzent4 3 7 2 2" xfId="1833"/>
    <cellStyle name="20% - Akzent4 3 7 3" xfId="1834"/>
    <cellStyle name="20% - Akzent4 3 7 4" xfId="1835"/>
    <cellStyle name="20% - Akzent4 3 7 5" xfId="1836"/>
    <cellStyle name="20% - Akzent4 3 8" xfId="1837"/>
    <cellStyle name="20% - Akzent4 3 8 2" xfId="1838"/>
    <cellStyle name="20% - Akzent4 3 8 2 2" xfId="1839"/>
    <cellStyle name="20% - Akzent4 3 8 3" xfId="1840"/>
    <cellStyle name="20% - Akzent4 3 8 4" xfId="1841"/>
    <cellStyle name="20% - Akzent4 3 8 5" xfId="1842"/>
    <cellStyle name="20% - Akzent4 3 9" xfId="1843"/>
    <cellStyle name="20% - Akzent4 3 9 2" xfId="1844"/>
    <cellStyle name="20% - Akzent4 3 9 2 2" xfId="1845"/>
    <cellStyle name="20% - Akzent4 3 9 3" xfId="1846"/>
    <cellStyle name="20% - Akzent4 3 9 4" xfId="1847"/>
    <cellStyle name="20% - Akzent4 4" xfId="1848"/>
    <cellStyle name="20% - Akzent4 4 10" xfId="1849"/>
    <cellStyle name="20% - Akzent4 4 2" xfId="1850"/>
    <cellStyle name="20% - Akzent4 4 2 2" xfId="1851"/>
    <cellStyle name="20% - Akzent4 4 2 2 2" xfId="1852"/>
    <cellStyle name="20% - Akzent4 4 2 2 2 2" xfId="1853"/>
    <cellStyle name="20% - Akzent4 4 2 2 3" xfId="1854"/>
    <cellStyle name="20% - Akzent4 4 2 2 4" xfId="1855"/>
    <cellStyle name="20% - Akzent4 4 2 2 5" xfId="1856"/>
    <cellStyle name="20% - Akzent4 4 2 3" xfId="1857"/>
    <cellStyle name="20% - Akzent4 4 2 3 2" xfId="1858"/>
    <cellStyle name="20% - Akzent4 4 2 3 2 2" xfId="1859"/>
    <cellStyle name="20% - Akzent4 4 2 3 3" xfId="1860"/>
    <cellStyle name="20% - Akzent4 4 2 3 4" xfId="1861"/>
    <cellStyle name="20% - Akzent4 4 2 3 5" xfId="1862"/>
    <cellStyle name="20% - Akzent4 4 2 4" xfId="1863"/>
    <cellStyle name="20% - Akzent4 4 2 4 2" xfId="1864"/>
    <cellStyle name="20% - Akzent4 4 2 4 2 2" xfId="1865"/>
    <cellStyle name="20% - Akzent4 4 2 4 3" xfId="1866"/>
    <cellStyle name="20% - Akzent4 4 2 4 4" xfId="1867"/>
    <cellStyle name="20% - Akzent4 4 2 5" xfId="1868"/>
    <cellStyle name="20% - Akzent4 4 2 5 2" xfId="1869"/>
    <cellStyle name="20% - Akzent4 4 2 6" xfId="1870"/>
    <cellStyle name="20% - Akzent4 4 2 7" xfId="1871"/>
    <cellStyle name="20% - Akzent4 4 2 8" xfId="1872"/>
    <cellStyle name="20% - Akzent4 4 2 9" xfId="1873"/>
    <cellStyle name="20% - Akzent4 4 3" xfId="1874"/>
    <cellStyle name="20% - Akzent4 4 3 2" xfId="1875"/>
    <cellStyle name="20% - Akzent4 4 3 2 2" xfId="1876"/>
    <cellStyle name="20% - Akzent4 4 3 3" xfId="1877"/>
    <cellStyle name="20% - Akzent4 4 3 4" xfId="1878"/>
    <cellStyle name="20% - Akzent4 4 3 5" xfId="1879"/>
    <cellStyle name="20% - Akzent4 4 4" xfId="1880"/>
    <cellStyle name="20% - Akzent4 4 4 2" xfId="1881"/>
    <cellStyle name="20% - Akzent4 4 4 2 2" xfId="1882"/>
    <cellStyle name="20% - Akzent4 4 4 3" xfId="1883"/>
    <cellStyle name="20% - Akzent4 4 4 4" xfId="1884"/>
    <cellStyle name="20% - Akzent4 4 4 5" xfId="1885"/>
    <cellStyle name="20% - Akzent4 4 5" xfId="1886"/>
    <cellStyle name="20% - Akzent4 4 5 2" xfId="1887"/>
    <cellStyle name="20% - Akzent4 4 5 2 2" xfId="1888"/>
    <cellStyle name="20% - Akzent4 4 5 3" xfId="1889"/>
    <cellStyle name="20% - Akzent4 4 5 4" xfId="1890"/>
    <cellStyle name="20% - Akzent4 4 6" xfId="1891"/>
    <cellStyle name="20% - Akzent4 4 6 2" xfId="1892"/>
    <cellStyle name="20% - Akzent4 4 7" xfId="1893"/>
    <cellStyle name="20% - Akzent4 4 8" xfId="1894"/>
    <cellStyle name="20% - Akzent4 4 9" xfId="1895"/>
    <cellStyle name="20% - Akzent4 5" xfId="1896"/>
    <cellStyle name="20% - Akzent4 5 10" xfId="1897"/>
    <cellStyle name="20% - Akzent4 5 2" xfId="1898"/>
    <cellStyle name="20% - Akzent4 5 2 2" xfId="1899"/>
    <cellStyle name="20% - Akzent4 5 2 2 2" xfId="1900"/>
    <cellStyle name="20% - Akzent4 5 2 2 2 2" xfId="1901"/>
    <cellStyle name="20% - Akzent4 5 2 2 3" xfId="1902"/>
    <cellStyle name="20% - Akzent4 5 2 2 4" xfId="1903"/>
    <cellStyle name="20% - Akzent4 5 2 2 5" xfId="1904"/>
    <cellStyle name="20% - Akzent4 5 2 3" xfId="1905"/>
    <cellStyle name="20% - Akzent4 5 2 3 2" xfId="1906"/>
    <cellStyle name="20% - Akzent4 5 2 3 2 2" xfId="1907"/>
    <cellStyle name="20% - Akzent4 5 2 3 3" xfId="1908"/>
    <cellStyle name="20% - Akzent4 5 2 3 4" xfId="1909"/>
    <cellStyle name="20% - Akzent4 5 2 3 5" xfId="1910"/>
    <cellStyle name="20% - Akzent4 5 2 4" xfId="1911"/>
    <cellStyle name="20% - Akzent4 5 2 4 2" xfId="1912"/>
    <cellStyle name="20% - Akzent4 5 2 4 2 2" xfId="1913"/>
    <cellStyle name="20% - Akzent4 5 2 4 3" xfId="1914"/>
    <cellStyle name="20% - Akzent4 5 2 4 4" xfId="1915"/>
    <cellStyle name="20% - Akzent4 5 2 5" xfId="1916"/>
    <cellStyle name="20% - Akzent4 5 2 5 2" xfId="1917"/>
    <cellStyle name="20% - Akzent4 5 2 6" xfId="1918"/>
    <cellStyle name="20% - Akzent4 5 2 7" xfId="1919"/>
    <cellStyle name="20% - Akzent4 5 2 8" xfId="1920"/>
    <cellStyle name="20% - Akzent4 5 2 9" xfId="1921"/>
    <cellStyle name="20% - Akzent4 5 3" xfId="1922"/>
    <cellStyle name="20% - Akzent4 5 3 2" xfId="1923"/>
    <cellStyle name="20% - Akzent4 5 3 2 2" xfId="1924"/>
    <cellStyle name="20% - Akzent4 5 3 3" xfId="1925"/>
    <cellStyle name="20% - Akzent4 5 3 4" xfId="1926"/>
    <cellStyle name="20% - Akzent4 5 3 5" xfId="1927"/>
    <cellStyle name="20% - Akzent4 5 4" xfId="1928"/>
    <cellStyle name="20% - Akzent4 5 4 2" xfId="1929"/>
    <cellStyle name="20% - Akzent4 5 4 2 2" xfId="1930"/>
    <cellStyle name="20% - Akzent4 5 4 3" xfId="1931"/>
    <cellStyle name="20% - Akzent4 5 4 4" xfId="1932"/>
    <cellStyle name="20% - Akzent4 5 4 5" xfId="1933"/>
    <cellStyle name="20% - Akzent4 5 5" xfId="1934"/>
    <cellStyle name="20% - Akzent4 5 5 2" xfId="1935"/>
    <cellStyle name="20% - Akzent4 5 5 2 2" xfId="1936"/>
    <cellStyle name="20% - Akzent4 5 5 3" xfId="1937"/>
    <cellStyle name="20% - Akzent4 5 5 4" xfId="1938"/>
    <cellStyle name="20% - Akzent4 5 6" xfId="1939"/>
    <cellStyle name="20% - Akzent4 5 6 2" xfId="1940"/>
    <cellStyle name="20% - Akzent4 5 7" xfId="1941"/>
    <cellStyle name="20% - Akzent4 5 8" xfId="1942"/>
    <cellStyle name="20% - Akzent4 5 9" xfId="1943"/>
    <cellStyle name="20% - Akzent4 6" xfId="1944"/>
    <cellStyle name="20% - Akzent4 6 10" xfId="1945"/>
    <cellStyle name="20% - Akzent4 6 2" xfId="1946"/>
    <cellStyle name="20% - Akzent4 6 2 2" xfId="1947"/>
    <cellStyle name="20% - Akzent4 6 2 2 2" xfId="1948"/>
    <cellStyle name="20% - Akzent4 6 2 2 2 2" xfId="1949"/>
    <cellStyle name="20% - Akzent4 6 2 2 3" xfId="1950"/>
    <cellStyle name="20% - Akzent4 6 2 2 4" xfId="1951"/>
    <cellStyle name="20% - Akzent4 6 2 2 5" xfId="1952"/>
    <cellStyle name="20% - Akzent4 6 2 3" xfId="1953"/>
    <cellStyle name="20% - Akzent4 6 2 3 2" xfId="1954"/>
    <cellStyle name="20% - Akzent4 6 2 3 2 2" xfId="1955"/>
    <cellStyle name="20% - Akzent4 6 2 3 3" xfId="1956"/>
    <cellStyle name="20% - Akzent4 6 2 3 4" xfId="1957"/>
    <cellStyle name="20% - Akzent4 6 2 3 5" xfId="1958"/>
    <cellStyle name="20% - Akzent4 6 2 4" xfId="1959"/>
    <cellStyle name="20% - Akzent4 6 2 4 2" xfId="1960"/>
    <cellStyle name="20% - Akzent4 6 2 4 2 2" xfId="1961"/>
    <cellStyle name="20% - Akzent4 6 2 4 3" xfId="1962"/>
    <cellStyle name="20% - Akzent4 6 2 4 4" xfId="1963"/>
    <cellStyle name="20% - Akzent4 6 2 5" xfId="1964"/>
    <cellStyle name="20% - Akzent4 6 2 5 2" xfId="1965"/>
    <cellStyle name="20% - Akzent4 6 2 6" xfId="1966"/>
    <cellStyle name="20% - Akzent4 6 2 7" xfId="1967"/>
    <cellStyle name="20% - Akzent4 6 2 8" xfId="1968"/>
    <cellStyle name="20% - Akzent4 6 2 9" xfId="1969"/>
    <cellStyle name="20% - Akzent4 6 3" xfId="1970"/>
    <cellStyle name="20% - Akzent4 6 3 2" xfId="1971"/>
    <cellStyle name="20% - Akzent4 6 3 2 2" xfId="1972"/>
    <cellStyle name="20% - Akzent4 6 3 3" xfId="1973"/>
    <cellStyle name="20% - Akzent4 6 3 4" xfId="1974"/>
    <cellStyle name="20% - Akzent4 6 3 5" xfId="1975"/>
    <cellStyle name="20% - Akzent4 6 4" xfId="1976"/>
    <cellStyle name="20% - Akzent4 6 4 2" xfId="1977"/>
    <cellStyle name="20% - Akzent4 6 4 2 2" xfId="1978"/>
    <cellStyle name="20% - Akzent4 6 4 3" xfId="1979"/>
    <cellStyle name="20% - Akzent4 6 4 4" xfId="1980"/>
    <cellStyle name="20% - Akzent4 6 4 5" xfId="1981"/>
    <cellStyle name="20% - Akzent4 6 5" xfId="1982"/>
    <cellStyle name="20% - Akzent4 6 5 2" xfId="1983"/>
    <cellStyle name="20% - Akzent4 6 5 2 2" xfId="1984"/>
    <cellStyle name="20% - Akzent4 6 5 3" xfId="1985"/>
    <cellStyle name="20% - Akzent4 6 5 4" xfId="1986"/>
    <cellStyle name="20% - Akzent4 6 6" xfId="1987"/>
    <cellStyle name="20% - Akzent4 6 6 2" xfId="1988"/>
    <cellStyle name="20% - Akzent4 6 7" xfId="1989"/>
    <cellStyle name="20% - Akzent4 6 8" xfId="1990"/>
    <cellStyle name="20% - Akzent4 6 9" xfId="1991"/>
    <cellStyle name="20% - Akzent4 7" xfId="1992"/>
    <cellStyle name="20% - Akzent4 7 2" xfId="1993"/>
    <cellStyle name="20% - Akzent4 7 2 2" xfId="1994"/>
    <cellStyle name="20% - Akzent4 7 3" xfId="1995"/>
    <cellStyle name="20% - Akzent4 7 4" xfId="1996"/>
    <cellStyle name="20% - Akzent4 7 5" xfId="1997"/>
    <cellStyle name="20% - Akzent4 8" xfId="1998"/>
    <cellStyle name="20% - Akzent4 8 2" xfId="1999"/>
    <cellStyle name="20% - Akzent4 8 2 2" xfId="2000"/>
    <cellStyle name="20% - Akzent4 8 3" xfId="2001"/>
    <cellStyle name="20% - Akzent4 8 4" xfId="2002"/>
    <cellStyle name="20% - Akzent4 8 5" xfId="2003"/>
    <cellStyle name="20% - Akzent4 9" xfId="2004"/>
    <cellStyle name="20% - Akzent4 9 2" xfId="2005"/>
    <cellStyle name="20% - Akzent4 9 2 2" xfId="2006"/>
    <cellStyle name="20% - Akzent4 9 3" xfId="2007"/>
    <cellStyle name="20% - Akzent5 10" xfId="2008"/>
    <cellStyle name="20% - Akzent5 10 2" xfId="2009"/>
    <cellStyle name="20% - Akzent5 10 2 2" xfId="2010"/>
    <cellStyle name="20% - Akzent5 10 3" xfId="2011"/>
    <cellStyle name="20% - Akzent5 10 4" xfId="2012"/>
    <cellStyle name="20% - Akzent5 10 5" xfId="2013"/>
    <cellStyle name="20% - Akzent5 11" xfId="2014"/>
    <cellStyle name="20% - Akzent5 11 2" xfId="2015"/>
    <cellStyle name="20% - Akzent5 11 2 2" xfId="2016"/>
    <cellStyle name="20% - Akzent5 11 3" xfId="2017"/>
    <cellStyle name="20% - Akzent5 12" xfId="2018"/>
    <cellStyle name="20% - Akzent5 12 2" xfId="2019"/>
    <cellStyle name="20% - Akzent5 13" xfId="2020"/>
    <cellStyle name="20% - Akzent5 2" xfId="2021"/>
    <cellStyle name="20% - Akzent5 2 2" xfId="2022"/>
    <cellStyle name="20% - Akzent5 3" xfId="2023"/>
    <cellStyle name="20% - Akzent5 3 10" xfId="2024"/>
    <cellStyle name="20% - Akzent5 3 11" xfId="2025"/>
    <cellStyle name="20% - Akzent5 3 2" xfId="2026"/>
    <cellStyle name="20% - Akzent5 3 2 10" xfId="2027"/>
    <cellStyle name="20% - Akzent5 3 2 2" xfId="2028"/>
    <cellStyle name="20% - Akzent5 3 2 2 2" xfId="2029"/>
    <cellStyle name="20% - Akzent5 3 2 2 2 2" xfId="2030"/>
    <cellStyle name="20% - Akzent5 3 2 2 2 2 2" xfId="2031"/>
    <cellStyle name="20% - Akzent5 3 2 2 2 3" xfId="2032"/>
    <cellStyle name="20% - Akzent5 3 2 2 2 4" xfId="2033"/>
    <cellStyle name="20% - Akzent5 3 2 2 2 5" xfId="2034"/>
    <cellStyle name="20% - Akzent5 3 2 2 3" xfId="2035"/>
    <cellStyle name="20% - Akzent5 3 2 2 3 2" xfId="2036"/>
    <cellStyle name="20% - Akzent5 3 2 2 3 2 2" xfId="2037"/>
    <cellStyle name="20% - Akzent5 3 2 2 3 3" xfId="2038"/>
    <cellStyle name="20% - Akzent5 3 2 2 3 4" xfId="2039"/>
    <cellStyle name="20% - Akzent5 3 2 2 3 5" xfId="2040"/>
    <cellStyle name="20% - Akzent5 3 2 2 4" xfId="2041"/>
    <cellStyle name="20% - Akzent5 3 2 2 4 2" xfId="2042"/>
    <cellStyle name="20% - Akzent5 3 2 2 4 2 2" xfId="2043"/>
    <cellStyle name="20% - Akzent5 3 2 2 4 3" xfId="2044"/>
    <cellStyle name="20% - Akzent5 3 2 2 4 4" xfId="2045"/>
    <cellStyle name="20% - Akzent5 3 2 2 5" xfId="2046"/>
    <cellStyle name="20% - Akzent5 3 2 2 5 2" xfId="2047"/>
    <cellStyle name="20% - Akzent5 3 2 2 6" xfId="2048"/>
    <cellStyle name="20% - Akzent5 3 2 2 7" xfId="2049"/>
    <cellStyle name="20% - Akzent5 3 2 2 8" xfId="2050"/>
    <cellStyle name="20% - Akzent5 3 2 2 9" xfId="2051"/>
    <cellStyle name="20% - Akzent5 3 2 3" xfId="2052"/>
    <cellStyle name="20% - Akzent5 3 2 3 2" xfId="2053"/>
    <cellStyle name="20% - Akzent5 3 2 3 2 2" xfId="2054"/>
    <cellStyle name="20% - Akzent5 3 2 3 3" xfId="2055"/>
    <cellStyle name="20% - Akzent5 3 2 3 4" xfId="2056"/>
    <cellStyle name="20% - Akzent5 3 2 3 5" xfId="2057"/>
    <cellStyle name="20% - Akzent5 3 2 4" xfId="2058"/>
    <cellStyle name="20% - Akzent5 3 2 4 2" xfId="2059"/>
    <cellStyle name="20% - Akzent5 3 2 4 2 2" xfId="2060"/>
    <cellStyle name="20% - Akzent5 3 2 4 3" xfId="2061"/>
    <cellStyle name="20% - Akzent5 3 2 4 4" xfId="2062"/>
    <cellStyle name="20% - Akzent5 3 2 4 5" xfId="2063"/>
    <cellStyle name="20% - Akzent5 3 2 5" xfId="2064"/>
    <cellStyle name="20% - Akzent5 3 2 5 2" xfId="2065"/>
    <cellStyle name="20% - Akzent5 3 2 5 2 2" xfId="2066"/>
    <cellStyle name="20% - Akzent5 3 2 5 3" xfId="2067"/>
    <cellStyle name="20% - Akzent5 3 2 5 4" xfId="2068"/>
    <cellStyle name="20% - Akzent5 3 2 6" xfId="2069"/>
    <cellStyle name="20% - Akzent5 3 2 6 2" xfId="2070"/>
    <cellStyle name="20% - Akzent5 3 2 7" xfId="2071"/>
    <cellStyle name="20% - Akzent5 3 2 8" xfId="2072"/>
    <cellStyle name="20% - Akzent5 3 2 9" xfId="2073"/>
    <cellStyle name="20% - Akzent5 3 3" xfId="2074"/>
    <cellStyle name="20% - Akzent5 3 3 2" xfId="2075"/>
    <cellStyle name="20% - Akzent5 3 3 2 2" xfId="2076"/>
    <cellStyle name="20% - Akzent5 3 3 2 2 2" xfId="2077"/>
    <cellStyle name="20% - Akzent5 3 3 2 3" xfId="2078"/>
    <cellStyle name="20% - Akzent5 3 3 2 4" xfId="2079"/>
    <cellStyle name="20% - Akzent5 3 3 2 5" xfId="2080"/>
    <cellStyle name="20% - Akzent5 3 3 3" xfId="2081"/>
    <cellStyle name="20% - Akzent5 3 3 3 2" xfId="2082"/>
    <cellStyle name="20% - Akzent5 3 3 3 2 2" xfId="2083"/>
    <cellStyle name="20% - Akzent5 3 3 3 3" xfId="2084"/>
    <cellStyle name="20% - Akzent5 3 3 3 4" xfId="2085"/>
    <cellStyle name="20% - Akzent5 3 3 3 5" xfId="2086"/>
    <cellStyle name="20% - Akzent5 3 3 4" xfId="2087"/>
    <cellStyle name="20% - Akzent5 3 3 4 2" xfId="2088"/>
    <cellStyle name="20% - Akzent5 3 3 4 2 2" xfId="2089"/>
    <cellStyle name="20% - Akzent5 3 3 4 3" xfId="2090"/>
    <cellStyle name="20% - Akzent5 3 3 4 4" xfId="2091"/>
    <cellStyle name="20% - Akzent5 3 3 5" xfId="2092"/>
    <cellStyle name="20% - Akzent5 3 3 5 2" xfId="2093"/>
    <cellStyle name="20% - Akzent5 3 3 6" xfId="2094"/>
    <cellStyle name="20% - Akzent5 3 3 7" xfId="2095"/>
    <cellStyle name="20% - Akzent5 3 3 8" xfId="2096"/>
    <cellStyle name="20% - Akzent5 3 3 9" xfId="2097"/>
    <cellStyle name="20% - Akzent5 3 4" xfId="2098"/>
    <cellStyle name="20% - Akzent5 3 4 2" xfId="2099"/>
    <cellStyle name="20% - Akzent5 3 4 2 2" xfId="2100"/>
    <cellStyle name="20% - Akzent5 3 4 3" xfId="2101"/>
    <cellStyle name="20% - Akzent5 3 4 4" xfId="2102"/>
    <cellStyle name="20% - Akzent5 3 4 5" xfId="2103"/>
    <cellStyle name="20% - Akzent5 3 5" xfId="2104"/>
    <cellStyle name="20% - Akzent5 3 5 2" xfId="2105"/>
    <cellStyle name="20% - Akzent5 3 5 2 2" xfId="2106"/>
    <cellStyle name="20% - Akzent5 3 5 3" xfId="2107"/>
    <cellStyle name="20% - Akzent5 3 5 4" xfId="2108"/>
    <cellStyle name="20% - Akzent5 3 5 5" xfId="2109"/>
    <cellStyle name="20% - Akzent5 3 6" xfId="2110"/>
    <cellStyle name="20% - Akzent5 3 6 2" xfId="2111"/>
    <cellStyle name="20% - Akzent5 3 6 2 2" xfId="2112"/>
    <cellStyle name="20% - Akzent5 3 6 3" xfId="2113"/>
    <cellStyle name="20% - Akzent5 3 6 4" xfId="2114"/>
    <cellStyle name="20% - Akzent5 3 7" xfId="2115"/>
    <cellStyle name="20% - Akzent5 3 7 2" xfId="2116"/>
    <cellStyle name="20% - Akzent5 3 8" xfId="2117"/>
    <cellStyle name="20% - Akzent5 3 9" xfId="2118"/>
    <cellStyle name="20% - Akzent5 4" xfId="2119"/>
    <cellStyle name="20% - Akzent5 4 10" xfId="2120"/>
    <cellStyle name="20% - Akzent5 4 11" xfId="2121"/>
    <cellStyle name="20% - Akzent5 4 2" xfId="2122"/>
    <cellStyle name="20% - Akzent5 4 2 10" xfId="2123"/>
    <cellStyle name="20% - Akzent5 4 2 2" xfId="2124"/>
    <cellStyle name="20% - Akzent5 4 2 2 2" xfId="2125"/>
    <cellStyle name="20% - Akzent5 4 2 2 2 2" xfId="2126"/>
    <cellStyle name="20% - Akzent5 4 2 2 2 2 2" xfId="2127"/>
    <cellStyle name="20% - Akzent5 4 2 2 2 3" xfId="2128"/>
    <cellStyle name="20% - Akzent5 4 2 2 2 4" xfId="2129"/>
    <cellStyle name="20% - Akzent5 4 2 2 2 5" xfId="2130"/>
    <cellStyle name="20% - Akzent5 4 2 2 3" xfId="2131"/>
    <cellStyle name="20% - Akzent5 4 2 2 3 2" xfId="2132"/>
    <cellStyle name="20% - Akzent5 4 2 2 3 2 2" xfId="2133"/>
    <cellStyle name="20% - Akzent5 4 2 2 3 3" xfId="2134"/>
    <cellStyle name="20% - Akzent5 4 2 2 3 4" xfId="2135"/>
    <cellStyle name="20% - Akzent5 4 2 2 3 5" xfId="2136"/>
    <cellStyle name="20% - Akzent5 4 2 2 4" xfId="2137"/>
    <cellStyle name="20% - Akzent5 4 2 2 4 2" xfId="2138"/>
    <cellStyle name="20% - Akzent5 4 2 2 4 2 2" xfId="2139"/>
    <cellStyle name="20% - Akzent5 4 2 2 4 3" xfId="2140"/>
    <cellStyle name="20% - Akzent5 4 2 2 4 4" xfId="2141"/>
    <cellStyle name="20% - Akzent5 4 2 2 5" xfId="2142"/>
    <cellStyle name="20% - Akzent5 4 2 2 5 2" xfId="2143"/>
    <cellStyle name="20% - Akzent5 4 2 2 6" xfId="2144"/>
    <cellStyle name="20% - Akzent5 4 2 2 7" xfId="2145"/>
    <cellStyle name="20% - Akzent5 4 2 2 8" xfId="2146"/>
    <cellStyle name="20% - Akzent5 4 2 2 9" xfId="2147"/>
    <cellStyle name="20% - Akzent5 4 2 3" xfId="2148"/>
    <cellStyle name="20% - Akzent5 4 2 3 2" xfId="2149"/>
    <cellStyle name="20% - Akzent5 4 2 3 2 2" xfId="2150"/>
    <cellStyle name="20% - Akzent5 4 2 3 3" xfId="2151"/>
    <cellStyle name="20% - Akzent5 4 2 3 4" xfId="2152"/>
    <cellStyle name="20% - Akzent5 4 2 3 5" xfId="2153"/>
    <cellStyle name="20% - Akzent5 4 2 4" xfId="2154"/>
    <cellStyle name="20% - Akzent5 4 2 4 2" xfId="2155"/>
    <cellStyle name="20% - Akzent5 4 2 4 2 2" xfId="2156"/>
    <cellStyle name="20% - Akzent5 4 2 4 3" xfId="2157"/>
    <cellStyle name="20% - Akzent5 4 2 4 4" xfId="2158"/>
    <cellStyle name="20% - Akzent5 4 2 4 5" xfId="2159"/>
    <cellStyle name="20% - Akzent5 4 2 5" xfId="2160"/>
    <cellStyle name="20% - Akzent5 4 2 5 2" xfId="2161"/>
    <cellStyle name="20% - Akzent5 4 2 5 2 2" xfId="2162"/>
    <cellStyle name="20% - Akzent5 4 2 5 3" xfId="2163"/>
    <cellStyle name="20% - Akzent5 4 2 5 4" xfId="2164"/>
    <cellStyle name="20% - Akzent5 4 2 6" xfId="2165"/>
    <cellStyle name="20% - Akzent5 4 2 6 2" xfId="2166"/>
    <cellStyle name="20% - Akzent5 4 2 7" xfId="2167"/>
    <cellStyle name="20% - Akzent5 4 2 8" xfId="2168"/>
    <cellStyle name="20% - Akzent5 4 2 9" xfId="2169"/>
    <cellStyle name="20% - Akzent5 4 3" xfId="2170"/>
    <cellStyle name="20% - Akzent5 4 3 2" xfId="2171"/>
    <cellStyle name="20% - Akzent5 4 3 2 2" xfId="2172"/>
    <cellStyle name="20% - Akzent5 4 3 2 2 2" xfId="2173"/>
    <cellStyle name="20% - Akzent5 4 3 2 3" xfId="2174"/>
    <cellStyle name="20% - Akzent5 4 3 2 4" xfId="2175"/>
    <cellStyle name="20% - Akzent5 4 3 2 5" xfId="2176"/>
    <cellStyle name="20% - Akzent5 4 3 3" xfId="2177"/>
    <cellStyle name="20% - Akzent5 4 3 3 2" xfId="2178"/>
    <cellStyle name="20% - Akzent5 4 3 3 2 2" xfId="2179"/>
    <cellStyle name="20% - Akzent5 4 3 3 3" xfId="2180"/>
    <cellStyle name="20% - Akzent5 4 3 3 4" xfId="2181"/>
    <cellStyle name="20% - Akzent5 4 3 3 5" xfId="2182"/>
    <cellStyle name="20% - Akzent5 4 3 4" xfId="2183"/>
    <cellStyle name="20% - Akzent5 4 3 4 2" xfId="2184"/>
    <cellStyle name="20% - Akzent5 4 3 4 2 2" xfId="2185"/>
    <cellStyle name="20% - Akzent5 4 3 4 3" xfId="2186"/>
    <cellStyle name="20% - Akzent5 4 3 4 4" xfId="2187"/>
    <cellStyle name="20% - Akzent5 4 3 5" xfId="2188"/>
    <cellStyle name="20% - Akzent5 4 3 5 2" xfId="2189"/>
    <cellStyle name="20% - Akzent5 4 3 6" xfId="2190"/>
    <cellStyle name="20% - Akzent5 4 3 7" xfId="2191"/>
    <cellStyle name="20% - Akzent5 4 3 8" xfId="2192"/>
    <cellStyle name="20% - Akzent5 4 3 9" xfId="2193"/>
    <cellStyle name="20% - Akzent5 4 4" xfId="2194"/>
    <cellStyle name="20% - Akzent5 4 4 2" xfId="2195"/>
    <cellStyle name="20% - Akzent5 4 4 2 2" xfId="2196"/>
    <cellStyle name="20% - Akzent5 4 4 3" xfId="2197"/>
    <cellStyle name="20% - Akzent5 4 4 4" xfId="2198"/>
    <cellStyle name="20% - Akzent5 4 4 5" xfId="2199"/>
    <cellStyle name="20% - Akzent5 4 5" xfId="2200"/>
    <cellStyle name="20% - Akzent5 4 5 2" xfId="2201"/>
    <cellStyle name="20% - Akzent5 4 5 2 2" xfId="2202"/>
    <cellStyle name="20% - Akzent5 4 5 3" xfId="2203"/>
    <cellStyle name="20% - Akzent5 4 5 4" xfId="2204"/>
    <cellStyle name="20% - Akzent5 4 5 5" xfId="2205"/>
    <cellStyle name="20% - Akzent5 4 6" xfId="2206"/>
    <cellStyle name="20% - Akzent5 4 6 2" xfId="2207"/>
    <cellStyle name="20% - Akzent5 4 6 2 2" xfId="2208"/>
    <cellStyle name="20% - Akzent5 4 6 3" xfId="2209"/>
    <cellStyle name="20% - Akzent5 4 6 4" xfId="2210"/>
    <cellStyle name="20% - Akzent5 4 7" xfId="2211"/>
    <cellStyle name="20% - Akzent5 4 7 2" xfId="2212"/>
    <cellStyle name="20% - Akzent5 4 8" xfId="2213"/>
    <cellStyle name="20% - Akzent5 4 9" xfId="2214"/>
    <cellStyle name="20% - Akzent5 5" xfId="2215"/>
    <cellStyle name="20% - Akzent5 5 10" xfId="2216"/>
    <cellStyle name="20% - Akzent5 5 11" xfId="2217"/>
    <cellStyle name="20% - Akzent5 5 2" xfId="2218"/>
    <cellStyle name="20% - Akzent5 5 2 10" xfId="2219"/>
    <cellStyle name="20% - Akzent5 5 2 2" xfId="2220"/>
    <cellStyle name="20% - Akzent5 5 2 2 2" xfId="2221"/>
    <cellStyle name="20% - Akzent5 5 2 2 2 2" xfId="2222"/>
    <cellStyle name="20% - Akzent5 5 2 2 2 2 2" xfId="2223"/>
    <cellStyle name="20% - Akzent5 5 2 2 2 3" xfId="2224"/>
    <cellStyle name="20% - Akzent5 5 2 2 2 4" xfId="2225"/>
    <cellStyle name="20% - Akzent5 5 2 2 2 5" xfId="2226"/>
    <cellStyle name="20% - Akzent5 5 2 2 3" xfId="2227"/>
    <cellStyle name="20% - Akzent5 5 2 2 3 2" xfId="2228"/>
    <cellStyle name="20% - Akzent5 5 2 2 3 2 2" xfId="2229"/>
    <cellStyle name="20% - Akzent5 5 2 2 3 3" xfId="2230"/>
    <cellStyle name="20% - Akzent5 5 2 2 3 4" xfId="2231"/>
    <cellStyle name="20% - Akzent5 5 2 2 3 5" xfId="2232"/>
    <cellStyle name="20% - Akzent5 5 2 2 4" xfId="2233"/>
    <cellStyle name="20% - Akzent5 5 2 2 4 2" xfId="2234"/>
    <cellStyle name="20% - Akzent5 5 2 2 4 2 2" xfId="2235"/>
    <cellStyle name="20% - Akzent5 5 2 2 4 3" xfId="2236"/>
    <cellStyle name="20% - Akzent5 5 2 2 4 4" xfId="2237"/>
    <cellStyle name="20% - Akzent5 5 2 2 5" xfId="2238"/>
    <cellStyle name="20% - Akzent5 5 2 2 5 2" xfId="2239"/>
    <cellStyle name="20% - Akzent5 5 2 2 6" xfId="2240"/>
    <cellStyle name="20% - Akzent5 5 2 2 7" xfId="2241"/>
    <cellStyle name="20% - Akzent5 5 2 2 8" xfId="2242"/>
    <cellStyle name="20% - Akzent5 5 2 2 9" xfId="2243"/>
    <cellStyle name="20% - Akzent5 5 2 3" xfId="2244"/>
    <cellStyle name="20% - Akzent5 5 2 3 2" xfId="2245"/>
    <cellStyle name="20% - Akzent5 5 2 3 2 2" xfId="2246"/>
    <cellStyle name="20% - Akzent5 5 2 3 3" xfId="2247"/>
    <cellStyle name="20% - Akzent5 5 2 3 4" xfId="2248"/>
    <cellStyle name="20% - Akzent5 5 2 3 5" xfId="2249"/>
    <cellStyle name="20% - Akzent5 5 2 4" xfId="2250"/>
    <cellStyle name="20% - Akzent5 5 2 4 2" xfId="2251"/>
    <cellStyle name="20% - Akzent5 5 2 4 2 2" xfId="2252"/>
    <cellStyle name="20% - Akzent5 5 2 4 3" xfId="2253"/>
    <cellStyle name="20% - Akzent5 5 2 4 4" xfId="2254"/>
    <cellStyle name="20% - Akzent5 5 2 4 5" xfId="2255"/>
    <cellStyle name="20% - Akzent5 5 2 5" xfId="2256"/>
    <cellStyle name="20% - Akzent5 5 2 5 2" xfId="2257"/>
    <cellStyle name="20% - Akzent5 5 2 5 2 2" xfId="2258"/>
    <cellStyle name="20% - Akzent5 5 2 5 3" xfId="2259"/>
    <cellStyle name="20% - Akzent5 5 2 5 4" xfId="2260"/>
    <cellStyle name="20% - Akzent5 5 2 6" xfId="2261"/>
    <cellStyle name="20% - Akzent5 5 2 6 2" xfId="2262"/>
    <cellStyle name="20% - Akzent5 5 2 7" xfId="2263"/>
    <cellStyle name="20% - Akzent5 5 2 8" xfId="2264"/>
    <cellStyle name="20% - Akzent5 5 2 9" xfId="2265"/>
    <cellStyle name="20% - Akzent5 5 3" xfId="2266"/>
    <cellStyle name="20% - Akzent5 5 3 2" xfId="2267"/>
    <cellStyle name="20% - Akzent5 5 3 2 2" xfId="2268"/>
    <cellStyle name="20% - Akzent5 5 3 2 2 2" xfId="2269"/>
    <cellStyle name="20% - Akzent5 5 3 2 3" xfId="2270"/>
    <cellStyle name="20% - Akzent5 5 3 2 4" xfId="2271"/>
    <cellStyle name="20% - Akzent5 5 3 2 5" xfId="2272"/>
    <cellStyle name="20% - Akzent5 5 3 3" xfId="2273"/>
    <cellStyle name="20% - Akzent5 5 3 3 2" xfId="2274"/>
    <cellStyle name="20% - Akzent5 5 3 3 2 2" xfId="2275"/>
    <cellStyle name="20% - Akzent5 5 3 3 3" xfId="2276"/>
    <cellStyle name="20% - Akzent5 5 3 3 4" xfId="2277"/>
    <cellStyle name="20% - Akzent5 5 3 3 5" xfId="2278"/>
    <cellStyle name="20% - Akzent5 5 3 4" xfId="2279"/>
    <cellStyle name="20% - Akzent5 5 3 4 2" xfId="2280"/>
    <cellStyle name="20% - Akzent5 5 3 4 2 2" xfId="2281"/>
    <cellStyle name="20% - Akzent5 5 3 4 3" xfId="2282"/>
    <cellStyle name="20% - Akzent5 5 3 4 4" xfId="2283"/>
    <cellStyle name="20% - Akzent5 5 3 5" xfId="2284"/>
    <cellStyle name="20% - Akzent5 5 3 5 2" xfId="2285"/>
    <cellStyle name="20% - Akzent5 5 3 6" xfId="2286"/>
    <cellStyle name="20% - Akzent5 5 3 7" xfId="2287"/>
    <cellStyle name="20% - Akzent5 5 3 8" xfId="2288"/>
    <cellStyle name="20% - Akzent5 5 3 9" xfId="2289"/>
    <cellStyle name="20% - Akzent5 5 4" xfId="2290"/>
    <cellStyle name="20% - Akzent5 5 4 2" xfId="2291"/>
    <cellStyle name="20% - Akzent5 5 4 2 2" xfId="2292"/>
    <cellStyle name="20% - Akzent5 5 4 3" xfId="2293"/>
    <cellStyle name="20% - Akzent5 5 4 4" xfId="2294"/>
    <cellStyle name="20% - Akzent5 5 4 5" xfId="2295"/>
    <cellStyle name="20% - Akzent5 5 5" xfId="2296"/>
    <cellStyle name="20% - Akzent5 5 5 2" xfId="2297"/>
    <cellStyle name="20% - Akzent5 5 5 2 2" xfId="2298"/>
    <cellStyle name="20% - Akzent5 5 5 3" xfId="2299"/>
    <cellStyle name="20% - Akzent5 5 5 4" xfId="2300"/>
    <cellStyle name="20% - Akzent5 5 5 5" xfId="2301"/>
    <cellStyle name="20% - Akzent5 5 6" xfId="2302"/>
    <cellStyle name="20% - Akzent5 5 6 2" xfId="2303"/>
    <cellStyle name="20% - Akzent5 5 6 2 2" xfId="2304"/>
    <cellStyle name="20% - Akzent5 5 6 3" xfId="2305"/>
    <cellStyle name="20% - Akzent5 5 6 4" xfId="2306"/>
    <cellStyle name="20% - Akzent5 5 7" xfId="2307"/>
    <cellStyle name="20% - Akzent5 5 7 2" xfId="2308"/>
    <cellStyle name="20% - Akzent5 5 8" xfId="2309"/>
    <cellStyle name="20% - Akzent5 5 9" xfId="2310"/>
    <cellStyle name="20% - Akzent5 6" xfId="2311"/>
    <cellStyle name="20% - Akzent5 6 10" xfId="2312"/>
    <cellStyle name="20% - Akzent5 6 2" xfId="2313"/>
    <cellStyle name="20% - Akzent5 6 2 2" xfId="2314"/>
    <cellStyle name="20% - Akzent5 6 2 2 2" xfId="2315"/>
    <cellStyle name="20% - Akzent5 6 2 2 2 2" xfId="2316"/>
    <cellStyle name="20% - Akzent5 6 2 2 3" xfId="2317"/>
    <cellStyle name="20% - Akzent5 6 2 2 4" xfId="2318"/>
    <cellStyle name="20% - Akzent5 6 2 2 5" xfId="2319"/>
    <cellStyle name="20% - Akzent5 6 2 3" xfId="2320"/>
    <cellStyle name="20% - Akzent5 6 2 3 2" xfId="2321"/>
    <cellStyle name="20% - Akzent5 6 2 3 2 2" xfId="2322"/>
    <cellStyle name="20% - Akzent5 6 2 3 3" xfId="2323"/>
    <cellStyle name="20% - Akzent5 6 2 3 4" xfId="2324"/>
    <cellStyle name="20% - Akzent5 6 2 3 5" xfId="2325"/>
    <cellStyle name="20% - Akzent5 6 2 4" xfId="2326"/>
    <cellStyle name="20% - Akzent5 6 2 4 2" xfId="2327"/>
    <cellStyle name="20% - Akzent5 6 2 4 2 2" xfId="2328"/>
    <cellStyle name="20% - Akzent5 6 2 4 3" xfId="2329"/>
    <cellStyle name="20% - Akzent5 6 2 4 4" xfId="2330"/>
    <cellStyle name="20% - Akzent5 6 2 5" xfId="2331"/>
    <cellStyle name="20% - Akzent5 6 2 5 2" xfId="2332"/>
    <cellStyle name="20% - Akzent5 6 2 6" xfId="2333"/>
    <cellStyle name="20% - Akzent5 6 2 7" xfId="2334"/>
    <cellStyle name="20% - Akzent5 6 2 8" xfId="2335"/>
    <cellStyle name="20% - Akzent5 6 2 9" xfId="2336"/>
    <cellStyle name="20% - Akzent5 6 3" xfId="2337"/>
    <cellStyle name="20% - Akzent5 6 3 2" xfId="2338"/>
    <cellStyle name="20% - Akzent5 6 3 2 2" xfId="2339"/>
    <cellStyle name="20% - Akzent5 6 3 3" xfId="2340"/>
    <cellStyle name="20% - Akzent5 6 3 4" xfId="2341"/>
    <cellStyle name="20% - Akzent5 6 3 5" xfId="2342"/>
    <cellStyle name="20% - Akzent5 6 4" xfId="2343"/>
    <cellStyle name="20% - Akzent5 6 4 2" xfId="2344"/>
    <cellStyle name="20% - Akzent5 6 4 2 2" xfId="2345"/>
    <cellStyle name="20% - Akzent5 6 4 3" xfId="2346"/>
    <cellStyle name="20% - Akzent5 6 4 4" xfId="2347"/>
    <cellStyle name="20% - Akzent5 6 4 5" xfId="2348"/>
    <cellStyle name="20% - Akzent5 6 5" xfId="2349"/>
    <cellStyle name="20% - Akzent5 6 5 2" xfId="2350"/>
    <cellStyle name="20% - Akzent5 6 5 2 2" xfId="2351"/>
    <cellStyle name="20% - Akzent5 6 5 3" xfId="2352"/>
    <cellStyle name="20% - Akzent5 6 5 4" xfId="2353"/>
    <cellStyle name="20% - Akzent5 6 6" xfId="2354"/>
    <cellStyle name="20% - Akzent5 6 6 2" xfId="2355"/>
    <cellStyle name="20% - Akzent5 6 7" xfId="2356"/>
    <cellStyle name="20% - Akzent5 6 8" xfId="2357"/>
    <cellStyle name="20% - Akzent5 6 9" xfId="2358"/>
    <cellStyle name="20% - Akzent5 7" xfId="2359"/>
    <cellStyle name="20% - Akzent5 7 10" xfId="2360"/>
    <cellStyle name="20% - Akzent5 7 2" xfId="2361"/>
    <cellStyle name="20% - Akzent5 7 2 2" xfId="2362"/>
    <cellStyle name="20% - Akzent5 7 2 2 2" xfId="2363"/>
    <cellStyle name="20% - Akzent5 7 2 2 2 2" xfId="2364"/>
    <cellStyle name="20% - Akzent5 7 2 2 3" xfId="2365"/>
    <cellStyle name="20% - Akzent5 7 2 2 4" xfId="2366"/>
    <cellStyle name="20% - Akzent5 7 2 2 5" xfId="2367"/>
    <cellStyle name="20% - Akzent5 7 2 3" xfId="2368"/>
    <cellStyle name="20% - Akzent5 7 2 3 2" xfId="2369"/>
    <cellStyle name="20% - Akzent5 7 2 3 2 2" xfId="2370"/>
    <cellStyle name="20% - Akzent5 7 2 3 3" xfId="2371"/>
    <cellStyle name="20% - Akzent5 7 2 3 4" xfId="2372"/>
    <cellStyle name="20% - Akzent5 7 2 3 5" xfId="2373"/>
    <cellStyle name="20% - Akzent5 7 2 4" xfId="2374"/>
    <cellStyle name="20% - Akzent5 7 2 4 2" xfId="2375"/>
    <cellStyle name="20% - Akzent5 7 2 4 2 2" xfId="2376"/>
    <cellStyle name="20% - Akzent5 7 2 4 3" xfId="2377"/>
    <cellStyle name="20% - Akzent5 7 2 4 4" xfId="2378"/>
    <cellStyle name="20% - Akzent5 7 2 5" xfId="2379"/>
    <cellStyle name="20% - Akzent5 7 2 5 2" xfId="2380"/>
    <cellStyle name="20% - Akzent5 7 2 6" xfId="2381"/>
    <cellStyle name="20% - Akzent5 7 2 7" xfId="2382"/>
    <cellStyle name="20% - Akzent5 7 2 8" xfId="2383"/>
    <cellStyle name="20% - Akzent5 7 2 9" xfId="2384"/>
    <cellStyle name="20% - Akzent5 7 3" xfId="2385"/>
    <cellStyle name="20% - Akzent5 7 3 2" xfId="2386"/>
    <cellStyle name="20% - Akzent5 7 3 2 2" xfId="2387"/>
    <cellStyle name="20% - Akzent5 7 3 3" xfId="2388"/>
    <cellStyle name="20% - Akzent5 7 3 4" xfId="2389"/>
    <cellStyle name="20% - Akzent5 7 3 5" xfId="2390"/>
    <cellStyle name="20% - Akzent5 7 4" xfId="2391"/>
    <cellStyle name="20% - Akzent5 7 4 2" xfId="2392"/>
    <cellStyle name="20% - Akzent5 7 4 2 2" xfId="2393"/>
    <cellStyle name="20% - Akzent5 7 4 3" xfId="2394"/>
    <cellStyle name="20% - Akzent5 7 4 4" xfId="2395"/>
    <cellStyle name="20% - Akzent5 7 4 5" xfId="2396"/>
    <cellStyle name="20% - Akzent5 7 5" xfId="2397"/>
    <cellStyle name="20% - Akzent5 7 5 2" xfId="2398"/>
    <cellStyle name="20% - Akzent5 7 5 2 2" xfId="2399"/>
    <cellStyle name="20% - Akzent5 7 5 3" xfId="2400"/>
    <cellStyle name="20% - Akzent5 7 5 4" xfId="2401"/>
    <cellStyle name="20% - Akzent5 7 6" xfId="2402"/>
    <cellStyle name="20% - Akzent5 7 6 2" xfId="2403"/>
    <cellStyle name="20% - Akzent5 7 7" xfId="2404"/>
    <cellStyle name="20% - Akzent5 7 8" xfId="2405"/>
    <cellStyle name="20% - Akzent5 7 9" xfId="2406"/>
    <cellStyle name="20% - Akzent5 8" xfId="2407"/>
    <cellStyle name="20% - Akzent5 8 2" xfId="2408"/>
    <cellStyle name="20% - Akzent5 8 2 2" xfId="2409"/>
    <cellStyle name="20% - Akzent5 8 2 2 2" xfId="2410"/>
    <cellStyle name="20% - Akzent5 8 2 3" xfId="2411"/>
    <cellStyle name="20% - Akzent5 8 2 4" xfId="2412"/>
    <cellStyle name="20% - Akzent5 8 2 5" xfId="2413"/>
    <cellStyle name="20% - Akzent5 8 3" xfId="2414"/>
    <cellStyle name="20% - Akzent5 8 3 2" xfId="2415"/>
    <cellStyle name="20% - Akzent5 8 3 2 2" xfId="2416"/>
    <cellStyle name="20% - Akzent5 8 3 3" xfId="2417"/>
    <cellStyle name="20% - Akzent5 8 3 4" xfId="2418"/>
    <cellStyle name="20% - Akzent5 8 3 5" xfId="2419"/>
    <cellStyle name="20% - Akzent5 8 4" xfId="2420"/>
    <cellStyle name="20% - Akzent5 8 4 2" xfId="2421"/>
    <cellStyle name="20% - Akzent5 8 4 2 2" xfId="2422"/>
    <cellStyle name="20% - Akzent5 8 4 3" xfId="2423"/>
    <cellStyle name="20% - Akzent5 8 4 4" xfId="2424"/>
    <cellStyle name="20% - Akzent5 8 5" xfId="2425"/>
    <cellStyle name="20% - Akzent5 8 5 2" xfId="2426"/>
    <cellStyle name="20% - Akzent5 8 6" xfId="2427"/>
    <cellStyle name="20% - Akzent5 8 7" xfId="2428"/>
    <cellStyle name="20% - Akzent5 8 8" xfId="2429"/>
    <cellStyle name="20% - Akzent5 8 9" xfId="2430"/>
    <cellStyle name="20% - Akzent5 9" xfId="2431"/>
    <cellStyle name="20% - Akzent5 9 2" xfId="2432"/>
    <cellStyle name="20% - Akzent5 9 2 2" xfId="2433"/>
    <cellStyle name="20% - Akzent5 9 3" xfId="2434"/>
    <cellStyle name="20% - Akzent5 9 4" xfId="2435"/>
    <cellStyle name="20% - Akzent5 9 5" xfId="2436"/>
    <cellStyle name="20% - Akzent6 10" xfId="2437"/>
    <cellStyle name="20% - Akzent6 10 2" xfId="2438"/>
    <cellStyle name="20% - Akzent6 11" xfId="2439"/>
    <cellStyle name="20% - Akzent6 2" xfId="2440"/>
    <cellStyle name="20% - Akzent6 2 2" xfId="2441"/>
    <cellStyle name="20% - Akzent6 3" xfId="2442"/>
    <cellStyle name="20% - Akzent6 3 10" xfId="2443"/>
    <cellStyle name="20% - Akzent6 3 10 2" xfId="2444"/>
    <cellStyle name="20% - Akzent6 3 11" xfId="2445"/>
    <cellStyle name="20% - Akzent6 3 12" xfId="2446"/>
    <cellStyle name="20% - Akzent6 3 13" xfId="2447"/>
    <cellStyle name="20% - Akzent6 3 14" xfId="2448"/>
    <cellStyle name="20% - Akzent6 3 2" xfId="2449"/>
    <cellStyle name="20% - Akzent6 3 2 10" xfId="2450"/>
    <cellStyle name="20% - Akzent6 3 2 11" xfId="2451"/>
    <cellStyle name="20% - Akzent6 3 2 2" xfId="2452"/>
    <cellStyle name="20% - Akzent6 3 2 2 10" xfId="2453"/>
    <cellStyle name="20% - Akzent6 3 2 2 2" xfId="2454"/>
    <cellStyle name="20% - Akzent6 3 2 2 2 2" xfId="2455"/>
    <cellStyle name="20% - Akzent6 3 2 2 2 2 2" xfId="2456"/>
    <cellStyle name="20% - Akzent6 3 2 2 2 2 2 2" xfId="2457"/>
    <cellStyle name="20% - Akzent6 3 2 2 2 2 3" xfId="2458"/>
    <cellStyle name="20% - Akzent6 3 2 2 2 2 4" xfId="2459"/>
    <cellStyle name="20% - Akzent6 3 2 2 2 2 5" xfId="2460"/>
    <cellStyle name="20% - Akzent6 3 2 2 2 3" xfId="2461"/>
    <cellStyle name="20% - Akzent6 3 2 2 2 3 2" xfId="2462"/>
    <cellStyle name="20% - Akzent6 3 2 2 2 3 2 2" xfId="2463"/>
    <cellStyle name="20% - Akzent6 3 2 2 2 3 3" xfId="2464"/>
    <cellStyle name="20% - Akzent6 3 2 2 2 3 4" xfId="2465"/>
    <cellStyle name="20% - Akzent6 3 2 2 2 3 5" xfId="2466"/>
    <cellStyle name="20% - Akzent6 3 2 2 2 4" xfId="2467"/>
    <cellStyle name="20% - Akzent6 3 2 2 2 4 2" xfId="2468"/>
    <cellStyle name="20% - Akzent6 3 2 2 2 4 2 2" xfId="2469"/>
    <cellStyle name="20% - Akzent6 3 2 2 2 4 3" xfId="2470"/>
    <cellStyle name="20% - Akzent6 3 2 2 2 4 4" xfId="2471"/>
    <cellStyle name="20% - Akzent6 3 2 2 2 5" xfId="2472"/>
    <cellStyle name="20% - Akzent6 3 2 2 2 5 2" xfId="2473"/>
    <cellStyle name="20% - Akzent6 3 2 2 2 6" xfId="2474"/>
    <cellStyle name="20% - Akzent6 3 2 2 2 7" xfId="2475"/>
    <cellStyle name="20% - Akzent6 3 2 2 2 8" xfId="2476"/>
    <cellStyle name="20% - Akzent6 3 2 2 2 9" xfId="2477"/>
    <cellStyle name="20% - Akzent6 3 2 2 3" xfId="2478"/>
    <cellStyle name="20% - Akzent6 3 2 2 3 2" xfId="2479"/>
    <cellStyle name="20% - Akzent6 3 2 2 3 2 2" xfId="2480"/>
    <cellStyle name="20% - Akzent6 3 2 2 3 3" xfId="2481"/>
    <cellStyle name="20% - Akzent6 3 2 2 3 4" xfId="2482"/>
    <cellStyle name="20% - Akzent6 3 2 2 3 5" xfId="2483"/>
    <cellStyle name="20% - Akzent6 3 2 2 4" xfId="2484"/>
    <cellStyle name="20% - Akzent6 3 2 2 4 2" xfId="2485"/>
    <cellStyle name="20% - Akzent6 3 2 2 4 2 2" xfId="2486"/>
    <cellStyle name="20% - Akzent6 3 2 2 4 3" xfId="2487"/>
    <cellStyle name="20% - Akzent6 3 2 2 4 4" xfId="2488"/>
    <cellStyle name="20% - Akzent6 3 2 2 4 5" xfId="2489"/>
    <cellStyle name="20% - Akzent6 3 2 2 5" xfId="2490"/>
    <cellStyle name="20% - Akzent6 3 2 2 5 2" xfId="2491"/>
    <cellStyle name="20% - Akzent6 3 2 2 5 2 2" xfId="2492"/>
    <cellStyle name="20% - Akzent6 3 2 2 5 3" xfId="2493"/>
    <cellStyle name="20% - Akzent6 3 2 2 5 4" xfId="2494"/>
    <cellStyle name="20% - Akzent6 3 2 2 6" xfId="2495"/>
    <cellStyle name="20% - Akzent6 3 2 2 6 2" xfId="2496"/>
    <cellStyle name="20% - Akzent6 3 2 2 7" xfId="2497"/>
    <cellStyle name="20% - Akzent6 3 2 2 8" xfId="2498"/>
    <cellStyle name="20% - Akzent6 3 2 2 9" xfId="2499"/>
    <cellStyle name="20% - Akzent6 3 2 3" xfId="2500"/>
    <cellStyle name="20% - Akzent6 3 2 3 2" xfId="2501"/>
    <cellStyle name="20% - Akzent6 3 2 3 2 2" xfId="2502"/>
    <cellStyle name="20% - Akzent6 3 2 3 2 2 2" xfId="2503"/>
    <cellStyle name="20% - Akzent6 3 2 3 2 3" xfId="2504"/>
    <cellStyle name="20% - Akzent6 3 2 3 2 4" xfId="2505"/>
    <cellStyle name="20% - Akzent6 3 2 3 2 5" xfId="2506"/>
    <cellStyle name="20% - Akzent6 3 2 3 3" xfId="2507"/>
    <cellStyle name="20% - Akzent6 3 2 3 3 2" xfId="2508"/>
    <cellStyle name="20% - Akzent6 3 2 3 3 2 2" xfId="2509"/>
    <cellStyle name="20% - Akzent6 3 2 3 3 3" xfId="2510"/>
    <cellStyle name="20% - Akzent6 3 2 3 3 4" xfId="2511"/>
    <cellStyle name="20% - Akzent6 3 2 3 3 5" xfId="2512"/>
    <cellStyle name="20% - Akzent6 3 2 3 4" xfId="2513"/>
    <cellStyle name="20% - Akzent6 3 2 3 4 2" xfId="2514"/>
    <cellStyle name="20% - Akzent6 3 2 3 4 2 2" xfId="2515"/>
    <cellStyle name="20% - Akzent6 3 2 3 4 3" xfId="2516"/>
    <cellStyle name="20% - Akzent6 3 2 3 4 4" xfId="2517"/>
    <cellStyle name="20% - Akzent6 3 2 3 5" xfId="2518"/>
    <cellStyle name="20% - Akzent6 3 2 3 5 2" xfId="2519"/>
    <cellStyle name="20% - Akzent6 3 2 3 6" xfId="2520"/>
    <cellStyle name="20% - Akzent6 3 2 3 7" xfId="2521"/>
    <cellStyle name="20% - Akzent6 3 2 3 8" xfId="2522"/>
    <cellStyle name="20% - Akzent6 3 2 3 9" xfId="2523"/>
    <cellStyle name="20% - Akzent6 3 2 4" xfId="2524"/>
    <cellStyle name="20% - Akzent6 3 2 4 2" xfId="2525"/>
    <cellStyle name="20% - Akzent6 3 2 4 2 2" xfId="2526"/>
    <cellStyle name="20% - Akzent6 3 2 4 3" xfId="2527"/>
    <cellStyle name="20% - Akzent6 3 2 4 4" xfId="2528"/>
    <cellStyle name="20% - Akzent6 3 2 4 5" xfId="2529"/>
    <cellStyle name="20% - Akzent6 3 2 5" xfId="2530"/>
    <cellStyle name="20% - Akzent6 3 2 5 2" xfId="2531"/>
    <cellStyle name="20% - Akzent6 3 2 5 2 2" xfId="2532"/>
    <cellStyle name="20% - Akzent6 3 2 5 3" xfId="2533"/>
    <cellStyle name="20% - Akzent6 3 2 5 4" xfId="2534"/>
    <cellStyle name="20% - Akzent6 3 2 5 5" xfId="2535"/>
    <cellStyle name="20% - Akzent6 3 2 6" xfId="2536"/>
    <cellStyle name="20% - Akzent6 3 2 6 2" xfId="2537"/>
    <cellStyle name="20% - Akzent6 3 2 6 2 2" xfId="2538"/>
    <cellStyle name="20% - Akzent6 3 2 6 3" xfId="2539"/>
    <cellStyle name="20% - Akzent6 3 2 6 4" xfId="2540"/>
    <cellStyle name="20% - Akzent6 3 2 7" xfId="2541"/>
    <cellStyle name="20% - Akzent6 3 2 7 2" xfId="2542"/>
    <cellStyle name="20% - Akzent6 3 2 8" xfId="2543"/>
    <cellStyle name="20% - Akzent6 3 2 9" xfId="2544"/>
    <cellStyle name="20% - Akzent6 3 3" xfId="2545"/>
    <cellStyle name="20% - Akzent6 3 3 10" xfId="2546"/>
    <cellStyle name="20% - Akzent6 3 3 11" xfId="2547"/>
    <cellStyle name="20% - Akzent6 3 3 2" xfId="2548"/>
    <cellStyle name="20% - Akzent6 3 3 2 10" xfId="2549"/>
    <cellStyle name="20% - Akzent6 3 3 2 2" xfId="2550"/>
    <cellStyle name="20% - Akzent6 3 3 2 2 2" xfId="2551"/>
    <cellStyle name="20% - Akzent6 3 3 2 2 2 2" xfId="2552"/>
    <cellStyle name="20% - Akzent6 3 3 2 2 2 2 2" xfId="2553"/>
    <cellStyle name="20% - Akzent6 3 3 2 2 2 3" xfId="2554"/>
    <cellStyle name="20% - Akzent6 3 3 2 2 2 4" xfId="2555"/>
    <cellStyle name="20% - Akzent6 3 3 2 2 2 5" xfId="2556"/>
    <cellStyle name="20% - Akzent6 3 3 2 2 3" xfId="2557"/>
    <cellStyle name="20% - Akzent6 3 3 2 2 3 2" xfId="2558"/>
    <cellStyle name="20% - Akzent6 3 3 2 2 3 2 2" xfId="2559"/>
    <cellStyle name="20% - Akzent6 3 3 2 2 3 3" xfId="2560"/>
    <cellStyle name="20% - Akzent6 3 3 2 2 3 4" xfId="2561"/>
    <cellStyle name="20% - Akzent6 3 3 2 2 3 5" xfId="2562"/>
    <cellStyle name="20% - Akzent6 3 3 2 2 4" xfId="2563"/>
    <cellStyle name="20% - Akzent6 3 3 2 2 4 2" xfId="2564"/>
    <cellStyle name="20% - Akzent6 3 3 2 2 4 2 2" xfId="2565"/>
    <cellStyle name="20% - Akzent6 3 3 2 2 4 3" xfId="2566"/>
    <cellStyle name="20% - Akzent6 3 3 2 2 4 4" xfId="2567"/>
    <cellStyle name="20% - Akzent6 3 3 2 2 5" xfId="2568"/>
    <cellStyle name="20% - Akzent6 3 3 2 2 5 2" xfId="2569"/>
    <cellStyle name="20% - Akzent6 3 3 2 2 6" xfId="2570"/>
    <cellStyle name="20% - Akzent6 3 3 2 2 7" xfId="2571"/>
    <cellStyle name="20% - Akzent6 3 3 2 2 8" xfId="2572"/>
    <cellStyle name="20% - Akzent6 3 3 2 2 9" xfId="2573"/>
    <cellStyle name="20% - Akzent6 3 3 2 3" xfId="2574"/>
    <cellStyle name="20% - Akzent6 3 3 2 3 2" xfId="2575"/>
    <cellStyle name="20% - Akzent6 3 3 2 3 2 2" xfId="2576"/>
    <cellStyle name="20% - Akzent6 3 3 2 3 3" xfId="2577"/>
    <cellStyle name="20% - Akzent6 3 3 2 3 4" xfId="2578"/>
    <cellStyle name="20% - Akzent6 3 3 2 3 5" xfId="2579"/>
    <cellStyle name="20% - Akzent6 3 3 2 4" xfId="2580"/>
    <cellStyle name="20% - Akzent6 3 3 2 4 2" xfId="2581"/>
    <cellStyle name="20% - Akzent6 3 3 2 4 2 2" xfId="2582"/>
    <cellStyle name="20% - Akzent6 3 3 2 4 3" xfId="2583"/>
    <cellStyle name="20% - Akzent6 3 3 2 4 4" xfId="2584"/>
    <cellStyle name="20% - Akzent6 3 3 2 4 5" xfId="2585"/>
    <cellStyle name="20% - Akzent6 3 3 2 5" xfId="2586"/>
    <cellStyle name="20% - Akzent6 3 3 2 5 2" xfId="2587"/>
    <cellStyle name="20% - Akzent6 3 3 2 5 2 2" xfId="2588"/>
    <cellStyle name="20% - Akzent6 3 3 2 5 3" xfId="2589"/>
    <cellStyle name="20% - Akzent6 3 3 2 5 4" xfId="2590"/>
    <cellStyle name="20% - Akzent6 3 3 2 6" xfId="2591"/>
    <cellStyle name="20% - Akzent6 3 3 2 6 2" xfId="2592"/>
    <cellStyle name="20% - Akzent6 3 3 2 7" xfId="2593"/>
    <cellStyle name="20% - Akzent6 3 3 2 8" xfId="2594"/>
    <cellStyle name="20% - Akzent6 3 3 2 9" xfId="2595"/>
    <cellStyle name="20% - Akzent6 3 3 3" xfId="2596"/>
    <cellStyle name="20% - Akzent6 3 3 3 2" xfId="2597"/>
    <cellStyle name="20% - Akzent6 3 3 3 2 2" xfId="2598"/>
    <cellStyle name="20% - Akzent6 3 3 3 2 2 2" xfId="2599"/>
    <cellStyle name="20% - Akzent6 3 3 3 2 3" xfId="2600"/>
    <cellStyle name="20% - Akzent6 3 3 3 2 4" xfId="2601"/>
    <cellStyle name="20% - Akzent6 3 3 3 2 5" xfId="2602"/>
    <cellStyle name="20% - Akzent6 3 3 3 3" xfId="2603"/>
    <cellStyle name="20% - Akzent6 3 3 3 3 2" xfId="2604"/>
    <cellStyle name="20% - Akzent6 3 3 3 3 2 2" xfId="2605"/>
    <cellStyle name="20% - Akzent6 3 3 3 3 3" xfId="2606"/>
    <cellStyle name="20% - Akzent6 3 3 3 3 4" xfId="2607"/>
    <cellStyle name="20% - Akzent6 3 3 3 3 5" xfId="2608"/>
    <cellStyle name="20% - Akzent6 3 3 3 4" xfId="2609"/>
    <cellStyle name="20% - Akzent6 3 3 3 4 2" xfId="2610"/>
    <cellStyle name="20% - Akzent6 3 3 3 4 2 2" xfId="2611"/>
    <cellStyle name="20% - Akzent6 3 3 3 4 3" xfId="2612"/>
    <cellStyle name="20% - Akzent6 3 3 3 4 4" xfId="2613"/>
    <cellStyle name="20% - Akzent6 3 3 3 5" xfId="2614"/>
    <cellStyle name="20% - Akzent6 3 3 3 5 2" xfId="2615"/>
    <cellStyle name="20% - Akzent6 3 3 3 6" xfId="2616"/>
    <cellStyle name="20% - Akzent6 3 3 3 7" xfId="2617"/>
    <cellStyle name="20% - Akzent6 3 3 3 8" xfId="2618"/>
    <cellStyle name="20% - Akzent6 3 3 3 9" xfId="2619"/>
    <cellStyle name="20% - Akzent6 3 3 4" xfId="2620"/>
    <cellStyle name="20% - Akzent6 3 3 4 2" xfId="2621"/>
    <cellStyle name="20% - Akzent6 3 3 4 2 2" xfId="2622"/>
    <cellStyle name="20% - Akzent6 3 3 4 3" xfId="2623"/>
    <cellStyle name="20% - Akzent6 3 3 4 4" xfId="2624"/>
    <cellStyle name="20% - Akzent6 3 3 4 5" xfId="2625"/>
    <cellStyle name="20% - Akzent6 3 3 5" xfId="2626"/>
    <cellStyle name="20% - Akzent6 3 3 5 2" xfId="2627"/>
    <cellStyle name="20% - Akzent6 3 3 5 2 2" xfId="2628"/>
    <cellStyle name="20% - Akzent6 3 3 5 3" xfId="2629"/>
    <cellStyle name="20% - Akzent6 3 3 5 4" xfId="2630"/>
    <cellStyle name="20% - Akzent6 3 3 5 5" xfId="2631"/>
    <cellStyle name="20% - Akzent6 3 3 6" xfId="2632"/>
    <cellStyle name="20% - Akzent6 3 3 6 2" xfId="2633"/>
    <cellStyle name="20% - Akzent6 3 3 6 2 2" xfId="2634"/>
    <cellStyle name="20% - Akzent6 3 3 6 3" xfId="2635"/>
    <cellStyle name="20% - Akzent6 3 3 6 4" xfId="2636"/>
    <cellStyle name="20% - Akzent6 3 3 7" xfId="2637"/>
    <cellStyle name="20% - Akzent6 3 3 7 2" xfId="2638"/>
    <cellStyle name="20% - Akzent6 3 3 8" xfId="2639"/>
    <cellStyle name="20% - Akzent6 3 3 9" xfId="2640"/>
    <cellStyle name="20% - Akzent6 3 4" xfId="2641"/>
    <cellStyle name="20% - Akzent6 3 4 10" xfId="2642"/>
    <cellStyle name="20% - Akzent6 3 4 2" xfId="2643"/>
    <cellStyle name="20% - Akzent6 3 4 2 2" xfId="2644"/>
    <cellStyle name="20% - Akzent6 3 4 2 2 2" xfId="2645"/>
    <cellStyle name="20% - Akzent6 3 4 2 2 2 2" xfId="2646"/>
    <cellStyle name="20% - Akzent6 3 4 2 2 3" xfId="2647"/>
    <cellStyle name="20% - Akzent6 3 4 2 2 4" xfId="2648"/>
    <cellStyle name="20% - Akzent6 3 4 2 2 5" xfId="2649"/>
    <cellStyle name="20% - Akzent6 3 4 2 3" xfId="2650"/>
    <cellStyle name="20% - Akzent6 3 4 2 3 2" xfId="2651"/>
    <cellStyle name="20% - Akzent6 3 4 2 3 2 2" xfId="2652"/>
    <cellStyle name="20% - Akzent6 3 4 2 3 3" xfId="2653"/>
    <cellStyle name="20% - Akzent6 3 4 2 3 4" xfId="2654"/>
    <cellStyle name="20% - Akzent6 3 4 2 3 5" xfId="2655"/>
    <cellStyle name="20% - Akzent6 3 4 2 4" xfId="2656"/>
    <cellStyle name="20% - Akzent6 3 4 2 4 2" xfId="2657"/>
    <cellStyle name="20% - Akzent6 3 4 2 4 2 2" xfId="2658"/>
    <cellStyle name="20% - Akzent6 3 4 2 4 3" xfId="2659"/>
    <cellStyle name="20% - Akzent6 3 4 2 4 4" xfId="2660"/>
    <cellStyle name="20% - Akzent6 3 4 2 5" xfId="2661"/>
    <cellStyle name="20% - Akzent6 3 4 2 5 2" xfId="2662"/>
    <cellStyle name="20% - Akzent6 3 4 2 6" xfId="2663"/>
    <cellStyle name="20% - Akzent6 3 4 2 7" xfId="2664"/>
    <cellStyle name="20% - Akzent6 3 4 2 8" xfId="2665"/>
    <cellStyle name="20% - Akzent6 3 4 2 9" xfId="2666"/>
    <cellStyle name="20% - Akzent6 3 4 3" xfId="2667"/>
    <cellStyle name="20% - Akzent6 3 4 3 2" xfId="2668"/>
    <cellStyle name="20% - Akzent6 3 4 3 2 2" xfId="2669"/>
    <cellStyle name="20% - Akzent6 3 4 3 3" xfId="2670"/>
    <cellStyle name="20% - Akzent6 3 4 3 4" xfId="2671"/>
    <cellStyle name="20% - Akzent6 3 4 3 5" xfId="2672"/>
    <cellStyle name="20% - Akzent6 3 4 4" xfId="2673"/>
    <cellStyle name="20% - Akzent6 3 4 4 2" xfId="2674"/>
    <cellStyle name="20% - Akzent6 3 4 4 2 2" xfId="2675"/>
    <cellStyle name="20% - Akzent6 3 4 4 3" xfId="2676"/>
    <cellStyle name="20% - Akzent6 3 4 4 4" xfId="2677"/>
    <cellStyle name="20% - Akzent6 3 4 4 5" xfId="2678"/>
    <cellStyle name="20% - Akzent6 3 4 5" xfId="2679"/>
    <cellStyle name="20% - Akzent6 3 4 5 2" xfId="2680"/>
    <cellStyle name="20% - Akzent6 3 4 5 2 2" xfId="2681"/>
    <cellStyle name="20% - Akzent6 3 4 5 3" xfId="2682"/>
    <cellStyle name="20% - Akzent6 3 4 5 4" xfId="2683"/>
    <cellStyle name="20% - Akzent6 3 4 6" xfId="2684"/>
    <cellStyle name="20% - Akzent6 3 4 6 2" xfId="2685"/>
    <cellStyle name="20% - Akzent6 3 4 7" xfId="2686"/>
    <cellStyle name="20% - Akzent6 3 4 8" xfId="2687"/>
    <cellStyle name="20% - Akzent6 3 4 9" xfId="2688"/>
    <cellStyle name="20% - Akzent6 3 5" xfId="2689"/>
    <cellStyle name="20% - Akzent6 3 5 10" xfId="2690"/>
    <cellStyle name="20% - Akzent6 3 5 2" xfId="2691"/>
    <cellStyle name="20% - Akzent6 3 5 2 2" xfId="2692"/>
    <cellStyle name="20% - Akzent6 3 5 2 2 2" xfId="2693"/>
    <cellStyle name="20% - Akzent6 3 5 2 2 2 2" xfId="2694"/>
    <cellStyle name="20% - Akzent6 3 5 2 2 3" xfId="2695"/>
    <cellStyle name="20% - Akzent6 3 5 2 2 4" xfId="2696"/>
    <cellStyle name="20% - Akzent6 3 5 2 2 5" xfId="2697"/>
    <cellStyle name="20% - Akzent6 3 5 2 3" xfId="2698"/>
    <cellStyle name="20% - Akzent6 3 5 2 3 2" xfId="2699"/>
    <cellStyle name="20% - Akzent6 3 5 2 3 2 2" xfId="2700"/>
    <cellStyle name="20% - Akzent6 3 5 2 3 3" xfId="2701"/>
    <cellStyle name="20% - Akzent6 3 5 2 3 4" xfId="2702"/>
    <cellStyle name="20% - Akzent6 3 5 2 3 5" xfId="2703"/>
    <cellStyle name="20% - Akzent6 3 5 2 4" xfId="2704"/>
    <cellStyle name="20% - Akzent6 3 5 2 4 2" xfId="2705"/>
    <cellStyle name="20% - Akzent6 3 5 2 4 2 2" xfId="2706"/>
    <cellStyle name="20% - Akzent6 3 5 2 4 3" xfId="2707"/>
    <cellStyle name="20% - Akzent6 3 5 2 4 4" xfId="2708"/>
    <cellStyle name="20% - Akzent6 3 5 2 5" xfId="2709"/>
    <cellStyle name="20% - Akzent6 3 5 2 5 2" xfId="2710"/>
    <cellStyle name="20% - Akzent6 3 5 2 6" xfId="2711"/>
    <cellStyle name="20% - Akzent6 3 5 2 7" xfId="2712"/>
    <cellStyle name="20% - Akzent6 3 5 2 8" xfId="2713"/>
    <cellStyle name="20% - Akzent6 3 5 2 9" xfId="2714"/>
    <cellStyle name="20% - Akzent6 3 5 3" xfId="2715"/>
    <cellStyle name="20% - Akzent6 3 5 3 2" xfId="2716"/>
    <cellStyle name="20% - Akzent6 3 5 3 2 2" xfId="2717"/>
    <cellStyle name="20% - Akzent6 3 5 3 3" xfId="2718"/>
    <cellStyle name="20% - Akzent6 3 5 3 4" xfId="2719"/>
    <cellStyle name="20% - Akzent6 3 5 3 5" xfId="2720"/>
    <cellStyle name="20% - Akzent6 3 5 4" xfId="2721"/>
    <cellStyle name="20% - Akzent6 3 5 4 2" xfId="2722"/>
    <cellStyle name="20% - Akzent6 3 5 4 2 2" xfId="2723"/>
    <cellStyle name="20% - Akzent6 3 5 4 3" xfId="2724"/>
    <cellStyle name="20% - Akzent6 3 5 4 4" xfId="2725"/>
    <cellStyle name="20% - Akzent6 3 5 4 5" xfId="2726"/>
    <cellStyle name="20% - Akzent6 3 5 5" xfId="2727"/>
    <cellStyle name="20% - Akzent6 3 5 5 2" xfId="2728"/>
    <cellStyle name="20% - Akzent6 3 5 5 2 2" xfId="2729"/>
    <cellStyle name="20% - Akzent6 3 5 5 3" xfId="2730"/>
    <cellStyle name="20% - Akzent6 3 5 5 4" xfId="2731"/>
    <cellStyle name="20% - Akzent6 3 5 6" xfId="2732"/>
    <cellStyle name="20% - Akzent6 3 5 6 2" xfId="2733"/>
    <cellStyle name="20% - Akzent6 3 5 7" xfId="2734"/>
    <cellStyle name="20% - Akzent6 3 5 8" xfId="2735"/>
    <cellStyle name="20% - Akzent6 3 5 9" xfId="2736"/>
    <cellStyle name="20% - Akzent6 3 6" xfId="2737"/>
    <cellStyle name="20% - Akzent6 3 6 2" xfId="2738"/>
    <cellStyle name="20% - Akzent6 3 6 2 2" xfId="2739"/>
    <cellStyle name="20% - Akzent6 3 6 2 2 2" xfId="2740"/>
    <cellStyle name="20% - Akzent6 3 6 2 3" xfId="2741"/>
    <cellStyle name="20% - Akzent6 3 6 2 4" xfId="2742"/>
    <cellStyle name="20% - Akzent6 3 6 2 5" xfId="2743"/>
    <cellStyle name="20% - Akzent6 3 6 3" xfId="2744"/>
    <cellStyle name="20% - Akzent6 3 6 3 2" xfId="2745"/>
    <cellStyle name="20% - Akzent6 3 6 3 2 2" xfId="2746"/>
    <cellStyle name="20% - Akzent6 3 6 3 3" xfId="2747"/>
    <cellStyle name="20% - Akzent6 3 6 3 4" xfId="2748"/>
    <cellStyle name="20% - Akzent6 3 6 3 5" xfId="2749"/>
    <cellStyle name="20% - Akzent6 3 6 4" xfId="2750"/>
    <cellStyle name="20% - Akzent6 3 6 4 2" xfId="2751"/>
    <cellStyle name="20% - Akzent6 3 6 4 2 2" xfId="2752"/>
    <cellStyle name="20% - Akzent6 3 6 4 3" xfId="2753"/>
    <cellStyle name="20% - Akzent6 3 6 4 4" xfId="2754"/>
    <cellStyle name="20% - Akzent6 3 6 5" xfId="2755"/>
    <cellStyle name="20% - Akzent6 3 6 5 2" xfId="2756"/>
    <cellStyle name="20% - Akzent6 3 6 6" xfId="2757"/>
    <cellStyle name="20% - Akzent6 3 6 7" xfId="2758"/>
    <cellStyle name="20% - Akzent6 3 6 8" xfId="2759"/>
    <cellStyle name="20% - Akzent6 3 6 9" xfId="2760"/>
    <cellStyle name="20% - Akzent6 3 7" xfId="2761"/>
    <cellStyle name="20% - Akzent6 3 7 2" xfId="2762"/>
    <cellStyle name="20% - Akzent6 3 7 2 2" xfId="2763"/>
    <cellStyle name="20% - Akzent6 3 7 3" xfId="2764"/>
    <cellStyle name="20% - Akzent6 3 7 4" xfId="2765"/>
    <cellStyle name="20% - Akzent6 3 7 5" xfId="2766"/>
    <cellStyle name="20% - Akzent6 3 8" xfId="2767"/>
    <cellStyle name="20% - Akzent6 3 8 2" xfId="2768"/>
    <cellStyle name="20% - Akzent6 3 8 2 2" xfId="2769"/>
    <cellStyle name="20% - Akzent6 3 8 3" xfId="2770"/>
    <cellStyle name="20% - Akzent6 3 8 4" xfId="2771"/>
    <cellStyle name="20% - Akzent6 3 8 5" xfId="2772"/>
    <cellStyle name="20% - Akzent6 3 9" xfId="2773"/>
    <cellStyle name="20% - Akzent6 3 9 2" xfId="2774"/>
    <cellStyle name="20% - Akzent6 3 9 2 2" xfId="2775"/>
    <cellStyle name="20% - Akzent6 3 9 3" xfId="2776"/>
    <cellStyle name="20% - Akzent6 3 9 4" xfId="2777"/>
    <cellStyle name="20% - Akzent6 4" xfId="2778"/>
    <cellStyle name="20% - Akzent6 4 10" xfId="2779"/>
    <cellStyle name="20% - Akzent6 4 2" xfId="2780"/>
    <cellStyle name="20% - Akzent6 4 2 2" xfId="2781"/>
    <cellStyle name="20% - Akzent6 4 2 2 2" xfId="2782"/>
    <cellStyle name="20% - Akzent6 4 2 2 2 2" xfId="2783"/>
    <cellStyle name="20% - Akzent6 4 2 2 3" xfId="2784"/>
    <cellStyle name="20% - Akzent6 4 2 2 4" xfId="2785"/>
    <cellStyle name="20% - Akzent6 4 2 2 5" xfId="2786"/>
    <cellStyle name="20% - Akzent6 4 2 3" xfId="2787"/>
    <cellStyle name="20% - Akzent6 4 2 3 2" xfId="2788"/>
    <cellStyle name="20% - Akzent6 4 2 3 2 2" xfId="2789"/>
    <cellStyle name="20% - Akzent6 4 2 3 3" xfId="2790"/>
    <cellStyle name="20% - Akzent6 4 2 3 4" xfId="2791"/>
    <cellStyle name="20% - Akzent6 4 2 3 5" xfId="2792"/>
    <cellStyle name="20% - Akzent6 4 2 4" xfId="2793"/>
    <cellStyle name="20% - Akzent6 4 2 4 2" xfId="2794"/>
    <cellStyle name="20% - Akzent6 4 2 4 2 2" xfId="2795"/>
    <cellStyle name="20% - Akzent6 4 2 4 3" xfId="2796"/>
    <cellStyle name="20% - Akzent6 4 2 4 4" xfId="2797"/>
    <cellStyle name="20% - Akzent6 4 2 5" xfId="2798"/>
    <cellStyle name="20% - Akzent6 4 2 5 2" xfId="2799"/>
    <cellStyle name="20% - Akzent6 4 2 6" xfId="2800"/>
    <cellStyle name="20% - Akzent6 4 2 7" xfId="2801"/>
    <cellStyle name="20% - Akzent6 4 2 8" xfId="2802"/>
    <cellStyle name="20% - Akzent6 4 2 9" xfId="2803"/>
    <cellStyle name="20% - Akzent6 4 3" xfId="2804"/>
    <cellStyle name="20% - Akzent6 4 3 2" xfId="2805"/>
    <cellStyle name="20% - Akzent6 4 3 2 2" xfId="2806"/>
    <cellStyle name="20% - Akzent6 4 3 3" xfId="2807"/>
    <cellStyle name="20% - Akzent6 4 3 4" xfId="2808"/>
    <cellStyle name="20% - Akzent6 4 3 5" xfId="2809"/>
    <cellStyle name="20% - Akzent6 4 4" xfId="2810"/>
    <cellStyle name="20% - Akzent6 4 4 2" xfId="2811"/>
    <cellStyle name="20% - Akzent6 4 4 2 2" xfId="2812"/>
    <cellStyle name="20% - Akzent6 4 4 3" xfId="2813"/>
    <cellStyle name="20% - Akzent6 4 4 4" xfId="2814"/>
    <cellStyle name="20% - Akzent6 4 4 5" xfId="2815"/>
    <cellStyle name="20% - Akzent6 4 5" xfId="2816"/>
    <cellStyle name="20% - Akzent6 4 5 2" xfId="2817"/>
    <cellStyle name="20% - Akzent6 4 5 2 2" xfId="2818"/>
    <cellStyle name="20% - Akzent6 4 5 3" xfId="2819"/>
    <cellStyle name="20% - Akzent6 4 5 4" xfId="2820"/>
    <cellStyle name="20% - Akzent6 4 6" xfId="2821"/>
    <cellStyle name="20% - Akzent6 4 6 2" xfId="2822"/>
    <cellStyle name="20% - Akzent6 4 7" xfId="2823"/>
    <cellStyle name="20% - Akzent6 4 8" xfId="2824"/>
    <cellStyle name="20% - Akzent6 4 9" xfId="2825"/>
    <cellStyle name="20% - Akzent6 5" xfId="2826"/>
    <cellStyle name="20% - Akzent6 5 10" xfId="2827"/>
    <cellStyle name="20% - Akzent6 5 2" xfId="2828"/>
    <cellStyle name="20% - Akzent6 5 2 2" xfId="2829"/>
    <cellStyle name="20% - Akzent6 5 2 2 2" xfId="2830"/>
    <cellStyle name="20% - Akzent6 5 2 2 2 2" xfId="2831"/>
    <cellStyle name="20% - Akzent6 5 2 2 3" xfId="2832"/>
    <cellStyle name="20% - Akzent6 5 2 2 4" xfId="2833"/>
    <cellStyle name="20% - Akzent6 5 2 2 5" xfId="2834"/>
    <cellStyle name="20% - Akzent6 5 2 3" xfId="2835"/>
    <cellStyle name="20% - Akzent6 5 2 3 2" xfId="2836"/>
    <cellStyle name="20% - Akzent6 5 2 3 2 2" xfId="2837"/>
    <cellStyle name="20% - Akzent6 5 2 3 3" xfId="2838"/>
    <cellStyle name="20% - Akzent6 5 2 3 4" xfId="2839"/>
    <cellStyle name="20% - Akzent6 5 2 3 5" xfId="2840"/>
    <cellStyle name="20% - Akzent6 5 2 4" xfId="2841"/>
    <cellStyle name="20% - Akzent6 5 2 4 2" xfId="2842"/>
    <cellStyle name="20% - Akzent6 5 2 4 2 2" xfId="2843"/>
    <cellStyle name="20% - Akzent6 5 2 4 3" xfId="2844"/>
    <cellStyle name="20% - Akzent6 5 2 4 4" xfId="2845"/>
    <cellStyle name="20% - Akzent6 5 2 5" xfId="2846"/>
    <cellStyle name="20% - Akzent6 5 2 5 2" xfId="2847"/>
    <cellStyle name="20% - Akzent6 5 2 6" xfId="2848"/>
    <cellStyle name="20% - Akzent6 5 2 7" xfId="2849"/>
    <cellStyle name="20% - Akzent6 5 2 8" xfId="2850"/>
    <cellStyle name="20% - Akzent6 5 2 9" xfId="2851"/>
    <cellStyle name="20% - Akzent6 5 3" xfId="2852"/>
    <cellStyle name="20% - Akzent6 5 3 2" xfId="2853"/>
    <cellStyle name="20% - Akzent6 5 3 2 2" xfId="2854"/>
    <cellStyle name="20% - Akzent6 5 3 3" xfId="2855"/>
    <cellStyle name="20% - Akzent6 5 3 4" xfId="2856"/>
    <cellStyle name="20% - Akzent6 5 3 5" xfId="2857"/>
    <cellStyle name="20% - Akzent6 5 4" xfId="2858"/>
    <cellStyle name="20% - Akzent6 5 4 2" xfId="2859"/>
    <cellStyle name="20% - Akzent6 5 4 2 2" xfId="2860"/>
    <cellStyle name="20% - Akzent6 5 4 3" xfId="2861"/>
    <cellStyle name="20% - Akzent6 5 4 4" xfId="2862"/>
    <cellStyle name="20% - Akzent6 5 4 5" xfId="2863"/>
    <cellStyle name="20% - Akzent6 5 5" xfId="2864"/>
    <cellStyle name="20% - Akzent6 5 5 2" xfId="2865"/>
    <cellStyle name="20% - Akzent6 5 5 2 2" xfId="2866"/>
    <cellStyle name="20% - Akzent6 5 5 3" xfId="2867"/>
    <cellStyle name="20% - Akzent6 5 5 4" xfId="2868"/>
    <cellStyle name="20% - Akzent6 5 6" xfId="2869"/>
    <cellStyle name="20% - Akzent6 5 6 2" xfId="2870"/>
    <cellStyle name="20% - Akzent6 5 7" xfId="2871"/>
    <cellStyle name="20% - Akzent6 5 8" xfId="2872"/>
    <cellStyle name="20% - Akzent6 5 9" xfId="2873"/>
    <cellStyle name="20% - Akzent6 6" xfId="2874"/>
    <cellStyle name="20% - Akzent6 6 10" xfId="2875"/>
    <cellStyle name="20% - Akzent6 6 2" xfId="2876"/>
    <cellStyle name="20% - Akzent6 6 2 2" xfId="2877"/>
    <cellStyle name="20% - Akzent6 6 2 2 2" xfId="2878"/>
    <cellStyle name="20% - Akzent6 6 2 2 2 2" xfId="2879"/>
    <cellStyle name="20% - Akzent6 6 2 2 3" xfId="2880"/>
    <cellStyle name="20% - Akzent6 6 2 2 4" xfId="2881"/>
    <cellStyle name="20% - Akzent6 6 2 2 5" xfId="2882"/>
    <cellStyle name="20% - Akzent6 6 2 3" xfId="2883"/>
    <cellStyle name="20% - Akzent6 6 2 3 2" xfId="2884"/>
    <cellStyle name="20% - Akzent6 6 2 3 2 2" xfId="2885"/>
    <cellStyle name="20% - Akzent6 6 2 3 3" xfId="2886"/>
    <cellStyle name="20% - Akzent6 6 2 3 4" xfId="2887"/>
    <cellStyle name="20% - Akzent6 6 2 3 5" xfId="2888"/>
    <cellStyle name="20% - Akzent6 6 2 4" xfId="2889"/>
    <cellStyle name="20% - Akzent6 6 2 4 2" xfId="2890"/>
    <cellStyle name="20% - Akzent6 6 2 4 2 2" xfId="2891"/>
    <cellStyle name="20% - Akzent6 6 2 4 3" xfId="2892"/>
    <cellStyle name="20% - Akzent6 6 2 4 4" xfId="2893"/>
    <cellStyle name="20% - Akzent6 6 2 5" xfId="2894"/>
    <cellStyle name="20% - Akzent6 6 2 5 2" xfId="2895"/>
    <cellStyle name="20% - Akzent6 6 2 6" xfId="2896"/>
    <cellStyle name="20% - Akzent6 6 2 7" xfId="2897"/>
    <cellStyle name="20% - Akzent6 6 2 8" xfId="2898"/>
    <cellStyle name="20% - Akzent6 6 2 9" xfId="2899"/>
    <cellStyle name="20% - Akzent6 6 3" xfId="2900"/>
    <cellStyle name="20% - Akzent6 6 3 2" xfId="2901"/>
    <cellStyle name="20% - Akzent6 6 3 2 2" xfId="2902"/>
    <cellStyle name="20% - Akzent6 6 3 3" xfId="2903"/>
    <cellStyle name="20% - Akzent6 6 3 4" xfId="2904"/>
    <cellStyle name="20% - Akzent6 6 3 5" xfId="2905"/>
    <cellStyle name="20% - Akzent6 6 4" xfId="2906"/>
    <cellStyle name="20% - Akzent6 6 4 2" xfId="2907"/>
    <cellStyle name="20% - Akzent6 6 4 2 2" xfId="2908"/>
    <cellStyle name="20% - Akzent6 6 4 3" xfId="2909"/>
    <cellStyle name="20% - Akzent6 6 4 4" xfId="2910"/>
    <cellStyle name="20% - Akzent6 6 4 5" xfId="2911"/>
    <cellStyle name="20% - Akzent6 6 5" xfId="2912"/>
    <cellStyle name="20% - Akzent6 6 5 2" xfId="2913"/>
    <cellStyle name="20% - Akzent6 6 5 2 2" xfId="2914"/>
    <cellStyle name="20% - Akzent6 6 5 3" xfId="2915"/>
    <cellStyle name="20% - Akzent6 6 5 4" xfId="2916"/>
    <cellStyle name="20% - Akzent6 6 6" xfId="2917"/>
    <cellStyle name="20% - Akzent6 6 6 2" xfId="2918"/>
    <cellStyle name="20% - Akzent6 6 7" xfId="2919"/>
    <cellStyle name="20% - Akzent6 6 8" xfId="2920"/>
    <cellStyle name="20% - Akzent6 6 9" xfId="2921"/>
    <cellStyle name="20% - Akzent6 7" xfId="2922"/>
    <cellStyle name="20% - Akzent6 7 2" xfId="2923"/>
    <cellStyle name="20% - Akzent6 7 2 2" xfId="2924"/>
    <cellStyle name="20% - Akzent6 7 3" xfId="2925"/>
    <cellStyle name="20% - Akzent6 7 4" xfId="2926"/>
    <cellStyle name="20% - Akzent6 7 5" xfId="2927"/>
    <cellStyle name="20% - Akzent6 8" xfId="2928"/>
    <cellStyle name="20% - Akzent6 8 2" xfId="2929"/>
    <cellStyle name="20% - Akzent6 8 2 2" xfId="2930"/>
    <cellStyle name="20% - Akzent6 8 3" xfId="2931"/>
    <cellStyle name="20% - Akzent6 8 4" xfId="2932"/>
    <cellStyle name="20% - Akzent6 8 5" xfId="2933"/>
    <cellStyle name="20% - Akzent6 9" xfId="2934"/>
    <cellStyle name="20% - Akzent6 9 2" xfId="2935"/>
    <cellStyle name="20% - Akzent6 9 2 2" xfId="2936"/>
    <cellStyle name="20% - Akzent6 9 3" xfId="2937"/>
    <cellStyle name="20% - Énfasis1 2" xfId="2938"/>
    <cellStyle name="20% - Énfasis1 2 2" xfId="2939"/>
    <cellStyle name="20% - Énfasis1 3" xfId="2940"/>
    <cellStyle name="20% - Énfasis1 4" xfId="2941"/>
    <cellStyle name="20% - Énfasis2 2" xfId="2942"/>
    <cellStyle name="20% - Énfasis2 2 2" xfId="2943"/>
    <cellStyle name="20% - Énfasis2 3" xfId="2944"/>
    <cellStyle name="20% - Énfasis2 4" xfId="2945"/>
    <cellStyle name="20% - Énfasis3 2" xfId="2946"/>
    <cellStyle name="20% - Énfasis3 2 2" xfId="2947"/>
    <cellStyle name="20% - Énfasis3 3" xfId="2948"/>
    <cellStyle name="20% - Énfasis3 4" xfId="2949"/>
    <cellStyle name="20% - Énfasis4 2" xfId="2950"/>
    <cellStyle name="20% - Énfasis4 2 2" xfId="2951"/>
    <cellStyle name="20% - Énfasis4 3" xfId="2952"/>
    <cellStyle name="20% - Énfasis4 4" xfId="2953"/>
    <cellStyle name="20% - Énfasis5 2" xfId="2954"/>
    <cellStyle name="20% - Énfasis5 2 2" xfId="2955"/>
    <cellStyle name="20% - Énfasis6 2" xfId="2956"/>
    <cellStyle name="20% - Énfasis6 2 2" xfId="2957"/>
    <cellStyle name="20% - Énfasis6 3" xfId="2958"/>
    <cellStyle name="20% - Énfasis6 4" xfId="2959"/>
    <cellStyle name="40% - Akzent1 10" xfId="2960"/>
    <cellStyle name="40% - Akzent1 10 2" xfId="2961"/>
    <cellStyle name="40% - Akzent1 11" xfId="2962"/>
    <cellStyle name="40% - Akzent1 2" xfId="2963"/>
    <cellStyle name="40% - Akzent1 2 2" xfId="2964"/>
    <cellStyle name="40% - Akzent1 3" xfId="2965"/>
    <cellStyle name="40% - Akzent1 3 10" xfId="2966"/>
    <cellStyle name="40% - Akzent1 3 10 2" xfId="2967"/>
    <cellStyle name="40% - Akzent1 3 11" xfId="2968"/>
    <cellStyle name="40% - Akzent1 3 12" xfId="2969"/>
    <cellStyle name="40% - Akzent1 3 13" xfId="2970"/>
    <cellStyle name="40% - Akzent1 3 14" xfId="2971"/>
    <cellStyle name="40% - Akzent1 3 2" xfId="2972"/>
    <cellStyle name="40% - Akzent1 3 2 10" xfId="2973"/>
    <cellStyle name="40% - Akzent1 3 2 11" xfId="2974"/>
    <cellStyle name="40% - Akzent1 3 2 2" xfId="2975"/>
    <cellStyle name="40% - Akzent1 3 2 2 10" xfId="2976"/>
    <cellStyle name="40% - Akzent1 3 2 2 2" xfId="2977"/>
    <cellStyle name="40% - Akzent1 3 2 2 2 2" xfId="2978"/>
    <cellStyle name="40% - Akzent1 3 2 2 2 2 2" xfId="2979"/>
    <cellStyle name="40% - Akzent1 3 2 2 2 2 2 2" xfId="2980"/>
    <cellStyle name="40% - Akzent1 3 2 2 2 2 3" xfId="2981"/>
    <cellStyle name="40% - Akzent1 3 2 2 2 2 4" xfId="2982"/>
    <cellStyle name="40% - Akzent1 3 2 2 2 2 5" xfId="2983"/>
    <cellStyle name="40% - Akzent1 3 2 2 2 3" xfId="2984"/>
    <cellStyle name="40% - Akzent1 3 2 2 2 3 2" xfId="2985"/>
    <cellStyle name="40% - Akzent1 3 2 2 2 3 2 2" xfId="2986"/>
    <cellStyle name="40% - Akzent1 3 2 2 2 3 3" xfId="2987"/>
    <cellStyle name="40% - Akzent1 3 2 2 2 3 4" xfId="2988"/>
    <cellStyle name="40% - Akzent1 3 2 2 2 3 5" xfId="2989"/>
    <cellStyle name="40% - Akzent1 3 2 2 2 4" xfId="2990"/>
    <cellStyle name="40% - Akzent1 3 2 2 2 4 2" xfId="2991"/>
    <cellStyle name="40% - Akzent1 3 2 2 2 4 2 2" xfId="2992"/>
    <cellStyle name="40% - Akzent1 3 2 2 2 4 3" xfId="2993"/>
    <cellStyle name="40% - Akzent1 3 2 2 2 4 4" xfId="2994"/>
    <cellStyle name="40% - Akzent1 3 2 2 2 5" xfId="2995"/>
    <cellStyle name="40% - Akzent1 3 2 2 2 5 2" xfId="2996"/>
    <cellStyle name="40% - Akzent1 3 2 2 2 6" xfId="2997"/>
    <cellStyle name="40% - Akzent1 3 2 2 2 7" xfId="2998"/>
    <cellStyle name="40% - Akzent1 3 2 2 2 8" xfId="2999"/>
    <cellStyle name="40% - Akzent1 3 2 2 2 9" xfId="3000"/>
    <cellStyle name="40% - Akzent1 3 2 2 3" xfId="3001"/>
    <cellStyle name="40% - Akzent1 3 2 2 3 2" xfId="3002"/>
    <cellStyle name="40% - Akzent1 3 2 2 3 2 2" xfId="3003"/>
    <cellStyle name="40% - Akzent1 3 2 2 3 3" xfId="3004"/>
    <cellStyle name="40% - Akzent1 3 2 2 3 4" xfId="3005"/>
    <cellStyle name="40% - Akzent1 3 2 2 3 5" xfId="3006"/>
    <cellStyle name="40% - Akzent1 3 2 2 4" xfId="3007"/>
    <cellStyle name="40% - Akzent1 3 2 2 4 2" xfId="3008"/>
    <cellStyle name="40% - Akzent1 3 2 2 4 2 2" xfId="3009"/>
    <cellStyle name="40% - Akzent1 3 2 2 4 3" xfId="3010"/>
    <cellStyle name="40% - Akzent1 3 2 2 4 4" xfId="3011"/>
    <cellStyle name="40% - Akzent1 3 2 2 4 5" xfId="3012"/>
    <cellStyle name="40% - Akzent1 3 2 2 5" xfId="3013"/>
    <cellStyle name="40% - Akzent1 3 2 2 5 2" xfId="3014"/>
    <cellStyle name="40% - Akzent1 3 2 2 5 2 2" xfId="3015"/>
    <cellStyle name="40% - Akzent1 3 2 2 5 3" xfId="3016"/>
    <cellStyle name="40% - Akzent1 3 2 2 5 4" xfId="3017"/>
    <cellStyle name="40% - Akzent1 3 2 2 6" xfId="3018"/>
    <cellStyle name="40% - Akzent1 3 2 2 6 2" xfId="3019"/>
    <cellStyle name="40% - Akzent1 3 2 2 7" xfId="3020"/>
    <cellStyle name="40% - Akzent1 3 2 2 8" xfId="3021"/>
    <cellStyle name="40% - Akzent1 3 2 2 9" xfId="3022"/>
    <cellStyle name="40% - Akzent1 3 2 3" xfId="3023"/>
    <cellStyle name="40% - Akzent1 3 2 3 2" xfId="3024"/>
    <cellStyle name="40% - Akzent1 3 2 3 2 2" xfId="3025"/>
    <cellStyle name="40% - Akzent1 3 2 3 2 2 2" xfId="3026"/>
    <cellStyle name="40% - Akzent1 3 2 3 2 3" xfId="3027"/>
    <cellStyle name="40% - Akzent1 3 2 3 2 4" xfId="3028"/>
    <cellStyle name="40% - Akzent1 3 2 3 2 5" xfId="3029"/>
    <cellStyle name="40% - Akzent1 3 2 3 3" xfId="3030"/>
    <cellStyle name="40% - Akzent1 3 2 3 3 2" xfId="3031"/>
    <cellStyle name="40% - Akzent1 3 2 3 3 2 2" xfId="3032"/>
    <cellStyle name="40% - Akzent1 3 2 3 3 3" xfId="3033"/>
    <cellStyle name="40% - Akzent1 3 2 3 3 4" xfId="3034"/>
    <cellStyle name="40% - Akzent1 3 2 3 3 5" xfId="3035"/>
    <cellStyle name="40% - Akzent1 3 2 3 4" xfId="3036"/>
    <cellStyle name="40% - Akzent1 3 2 3 4 2" xfId="3037"/>
    <cellStyle name="40% - Akzent1 3 2 3 4 2 2" xfId="3038"/>
    <cellStyle name="40% - Akzent1 3 2 3 4 3" xfId="3039"/>
    <cellStyle name="40% - Akzent1 3 2 3 4 4" xfId="3040"/>
    <cellStyle name="40% - Akzent1 3 2 3 5" xfId="3041"/>
    <cellStyle name="40% - Akzent1 3 2 3 5 2" xfId="3042"/>
    <cellStyle name="40% - Akzent1 3 2 3 6" xfId="3043"/>
    <cellStyle name="40% - Akzent1 3 2 3 7" xfId="3044"/>
    <cellStyle name="40% - Akzent1 3 2 3 8" xfId="3045"/>
    <cellStyle name="40% - Akzent1 3 2 3 9" xfId="3046"/>
    <cellStyle name="40% - Akzent1 3 2 4" xfId="3047"/>
    <cellStyle name="40% - Akzent1 3 2 4 2" xfId="3048"/>
    <cellStyle name="40% - Akzent1 3 2 4 2 2" xfId="3049"/>
    <cellStyle name="40% - Akzent1 3 2 4 3" xfId="3050"/>
    <cellStyle name="40% - Akzent1 3 2 4 4" xfId="3051"/>
    <cellStyle name="40% - Akzent1 3 2 4 5" xfId="3052"/>
    <cellStyle name="40% - Akzent1 3 2 5" xfId="3053"/>
    <cellStyle name="40% - Akzent1 3 2 5 2" xfId="3054"/>
    <cellStyle name="40% - Akzent1 3 2 5 2 2" xfId="3055"/>
    <cellStyle name="40% - Akzent1 3 2 5 3" xfId="3056"/>
    <cellStyle name="40% - Akzent1 3 2 5 4" xfId="3057"/>
    <cellStyle name="40% - Akzent1 3 2 5 5" xfId="3058"/>
    <cellStyle name="40% - Akzent1 3 2 6" xfId="3059"/>
    <cellStyle name="40% - Akzent1 3 2 6 2" xfId="3060"/>
    <cellStyle name="40% - Akzent1 3 2 6 2 2" xfId="3061"/>
    <cellStyle name="40% - Akzent1 3 2 6 3" xfId="3062"/>
    <cellStyle name="40% - Akzent1 3 2 6 4" xfId="3063"/>
    <cellStyle name="40% - Akzent1 3 2 7" xfId="3064"/>
    <cellStyle name="40% - Akzent1 3 2 7 2" xfId="3065"/>
    <cellStyle name="40% - Akzent1 3 2 8" xfId="3066"/>
    <cellStyle name="40% - Akzent1 3 2 9" xfId="3067"/>
    <cellStyle name="40% - Akzent1 3 3" xfId="3068"/>
    <cellStyle name="40% - Akzent1 3 3 10" xfId="3069"/>
    <cellStyle name="40% - Akzent1 3 3 11" xfId="3070"/>
    <cellStyle name="40% - Akzent1 3 3 2" xfId="3071"/>
    <cellStyle name="40% - Akzent1 3 3 2 10" xfId="3072"/>
    <cellStyle name="40% - Akzent1 3 3 2 2" xfId="3073"/>
    <cellStyle name="40% - Akzent1 3 3 2 2 2" xfId="3074"/>
    <cellStyle name="40% - Akzent1 3 3 2 2 2 2" xfId="3075"/>
    <cellStyle name="40% - Akzent1 3 3 2 2 2 2 2" xfId="3076"/>
    <cellStyle name="40% - Akzent1 3 3 2 2 2 3" xfId="3077"/>
    <cellStyle name="40% - Akzent1 3 3 2 2 2 4" xfId="3078"/>
    <cellStyle name="40% - Akzent1 3 3 2 2 2 5" xfId="3079"/>
    <cellStyle name="40% - Akzent1 3 3 2 2 3" xfId="3080"/>
    <cellStyle name="40% - Akzent1 3 3 2 2 3 2" xfId="3081"/>
    <cellStyle name="40% - Akzent1 3 3 2 2 3 2 2" xfId="3082"/>
    <cellStyle name="40% - Akzent1 3 3 2 2 3 3" xfId="3083"/>
    <cellStyle name="40% - Akzent1 3 3 2 2 3 4" xfId="3084"/>
    <cellStyle name="40% - Akzent1 3 3 2 2 3 5" xfId="3085"/>
    <cellStyle name="40% - Akzent1 3 3 2 2 4" xfId="3086"/>
    <cellStyle name="40% - Akzent1 3 3 2 2 4 2" xfId="3087"/>
    <cellStyle name="40% - Akzent1 3 3 2 2 4 2 2" xfId="3088"/>
    <cellStyle name="40% - Akzent1 3 3 2 2 4 3" xfId="3089"/>
    <cellStyle name="40% - Akzent1 3 3 2 2 4 4" xfId="3090"/>
    <cellStyle name="40% - Akzent1 3 3 2 2 5" xfId="3091"/>
    <cellStyle name="40% - Akzent1 3 3 2 2 5 2" xfId="3092"/>
    <cellStyle name="40% - Akzent1 3 3 2 2 6" xfId="3093"/>
    <cellStyle name="40% - Akzent1 3 3 2 2 7" xfId="3094"/>
    <cellStyle name="40% - Akzent1 3 3 2 2 8" xfId="3095"/>
    <cellStyle name="40% - Akzent1 3 3 2 2 9" xfId="3096"/>
    <cellStyle name="40% - Akzent1 3 3 2 3" xfId="3097"/>
    <cellStyle name="40% - Akzent1 3 3 2 3 2" xfId="3098"/>
    <cellStyle name="40% - Akzent1 3 3 2 3 2 2" xfId="3099"/>
    <cellStyle name="40% - Akzent1 3 3 2 3 3" xfId="3100"/>
    <cellStyle name="40% - Akzent1 3 3 2 3 4" xfId="3101"/>
    <cellStyle name="40% - Akzent1 3 3 2 3 5" xfId="3102"/>
    <cellStyle name="40% - Akzent1 3 3 2 4" xfId="3103"/>
    <cellStyle name="40% - Akzent1 3 3 2 4 2" xfId="3104"/>
    <cellStyle name="40% - Akzent1 3 3 2 4 2 2" xfId="3105"/>
    <cellStyle name="40% - Akzent1 3 3 2 4 3" xfId="3106"/>
    <cellStyle name="40% - Akzent1 3 3 2 4 4" xfId="3107"/>
    <cellStyle name="40% - Akzent1 3 3 2 4 5" xfId="3108"/>
    <cellStyle name="40% - Akzent1 3 3 2 5" xfId="3109"/>
    <cellStyle name="40% - Akzent1 3 3 2 5 2" xfId="3110"/>
    <cellStyle name="40% - Akzent1 3 3 2 5 2 2" xfId="3111"/>
    <cellStyle name="40% - Akzent1 3 3 2 5 3" xfId="3112"/>
    <cellStyle name="40% - Akzent1 3 3 2 5 4" xfId="3113"/>
    <cellStyle name="40% - Akzent1 3 3 2 6" xfId="3114"/>
    <cellStyle name="40% - Akzent1 3 3 2 6 2" xfId="3115"/>
    <cellStyle name="40% - Akzent1 3 3 2 7" xfId="3116"/>
    <cellStyle name="40% - Akzent1 3 3 2 8" xfId="3117"/>
    <cellStyle name="40% - Akzent1 3 3 2 9" xfId="3118"/>
    <cellStyle name="40% - Akzent1 3 3 3" xfId="3119"/>
    <cellStyle name="40% - Akzent1 3 3 3 2" xfId="3120"/>
    <cellStyle name="40% - Akzent1 3 3 3 2 2" xfId="3121"/>
    <cellStyle name="40% - Akzent1 3 3 3 2 2 2" xfId="3122"/>
    <cellStyle name="40% - Akzent1 3 3 3 2 3" xfId="3123"/>
    <cellStyle name="40% - Akzent1 3 3 3 2 4" xfId="3124"/>
    <cellStyle name="40% - Akzent1 3 3 3 2 5" xfId="3125"/>
    <cellStyle name="40% - Akzent1 3 3 3 3" xfId="3126"/>
    <cellStyle name="40% - Akzent1 3 3 3 3 2" xfId="3127"/>
    <cellStyle name="40% - Akzent1 3 3 3 3 2 2" xfId="3128"/>
    <cellStyle name="40% - Akzent1 3 3 3 3 3" xfId="3129"/>
    <cellStyle name="40% - Akzent1 3 3 3 3 4" xfId="3130"/>
    <cellStyle name="40% - Akzent1 3 3 3 3 5" xfId="3131"/>
    <cellStyle name="40% - Akzent1 3 3 3 4" xfId="3132"/>
    <cellStyle name="40% - Akzent1 3 3 3 4 2" xfId="3133"/>
    <cellStyle name="40% - Akzent1 3 3 3 4 2 2" xfId="3134"/>
    <cellStyle name="40% - Akzent1 3 3 3 4 3" xfId="3135"/>
    <cellStyle name="40% - Akzent1 3 3 3 4 4" xfId="3136"/>
    <cellStyle name="40% - Akzent1 3 3 3 5" xfId="3137"/>
    <cellStyle name="40% - Akzent1 3 3 3 5 2" xfId="3138"/>
    <cellStyle name="40% - Akzent1 3 3 3 6" xfId="3139"/>
    <cellStyle name="40% - Akzent1 3 3 3 7" xfId="3140"/>
    <cellStyle name="40% - Akzent1 3 3 3 8" xfId="3141"/>
    <cellStyle name="40% - Akzent1 3 3 3 9" xfId="3142"/>
    <cellStyle name="40% - Akzent1 3 3 4" xfId="3143"/>
    <cellStyle name="40% - Akzent1 3 3 4 2" xfId="3144"/>
    <cellStyle name="40% - Akzent1 3 3 4 2 2" xfId="3145"/>
    <cellStyle name="40% - Akzent1 3 3 4 3" xfId="3146"/>
    <cellStyle name="40% - Akzent1 3 3 4 4" xfId="3147"/>
    <cellStyle name="40% - Akzent1 3 3 4 5" xfId="3148"/>
    <cellStyle name="40% - Akzent1 3 3 5" xfId="3149"/>
    <cellStyle name="40% - Akzent1 3 3 5 2" xfId="3150"/>
    <cellStyle name="40% - Akzent1 3 3 5 2 2" xfId="3151"/>
    <cellStyle name="40% - Akzent1 3 3 5 3" xfId="3152"/>
    <cellStyle name="40% - Akzent1 3 3 5 4" xfId="3153"/>
    <cellStyle name="40% - Akzent1 3 3 5 5" xfId="3154"/>
    <cellStyle name="40% - Akzent1 3 3 6" xfId="3155"/>
    <cellStyle name="40% - Akzent1 3 3 6 2" xfId="3156"/>
    <cellStyle name="40% - Akzent1 3 3 6 2 2" xfId="3157"/>
    <cellStyle name="40% - Akzent1 3 3 6 3" xfId="3158"/>
    <cellStyle name="40% - Akzent1 3 3 6 4" xfId="3159"/>
    <cellStyle name="40% - Akzent1 3 3 7" xfId="3160"/>
    <cellStyle name="40% - Akzent1 3 3 7 2" xfId="3161"/>
    <cellStyle name="40% - Akzent1 3 3 8" xfId="3162"/>
    <cellStyle name="40% - Akzent1 3 3 9" xfId="3163"/>
    <cellStyle name="40% - Akzent1 3 4" xfId="3164"/>
    <cellStyle name="40% - Akzent1 3 4 10" xfId="3165"/>
    <cellStyle name="40% - Akzent1 3 4 2" xfId="3166"/>
    <cellStyle name="40% - Akzent1 3 4 2 2" xfId="3167"/>
    <cellStyle name="40% - Akzent1 3 4 2 2 2" xfId="3168"/>
    <cellStyle name="40% - Akzent1 3 4 2 2 2 2" xfId="3169"/>
    <cellStyle name="40% - Akzent1 3 4 2 2 3" xfId="3170"/>
    <cellStyle name="40% - Akzent1 3 4 2 2 4" xfId="3171"/>
    <cellStyle name="40% - Akzent1 3 4 2 2 5" xfId="3172"/>
    <cellStyle name="40% - Akzent1 3 4 2 3" xfId="3173"/>
    <cellStyle name="40% - Akzent1 3 4 2 3 2" xfId="3174"/>
    <cellStyle name="40% - Akzent1 3 4 2 3 2 2" xfId="3175"/>
    <cellStyle name="40% - Akzent1 3 4 2 3 3" xfId="3176"/>
    <cellStyle name="40% - Akzent1 3 4 2 3 4" xfId="3177"/>
    <cellStyle name="40% - Akzent1 3 4 2 3 5" xfId="3178"/>
    <cellStyle name="40% - Akzent1 3 4 2 4" xfId="3179"/>
    <cellStyle name="40% - Akzent1 3 4 2 4 2" xfId="3180"/>
    <cellStyle name="40% - Akzent1 3 4 2 4 2 2" xfId="3181"/>
    <cellStyle name="40% - Akzent1 3 4 2 4 3" xfId="3182"/>
    <cellStyle name="40% - Akzent1 3 4 2 4 4" xfId="3183"/>
    <cellStyle name="40% - Akzent1 3 4 2 5" xfId="3184"/>
    <cellStyle name="40% - Akzent1 3 4 2 5 2" xfId="3185"/>
    <cellStyle name="40% - Akzent1 3 4 2 6" xfId="3186"/>
    <cellStyle name="40% - Akzent1 3 4 2 7" xfId="3187"/>
    <cellStyle name="40% - Akzent1 3 4 2 8" xfId="3188"/>
    <cellStyle name="40% - Akzent1 3 4 2 9" xfId="3189"/>
    <cellStyle name="40% - Akzent1 3 4 3" xfId="3190"/>
    <cellStyle name="40% - Akzent1 3 4 3 2" xfId="3191"/>
    <cellStyle name="40% - Akzent1 3 4 3 2 2" xfId="3192"/>
    <cellStyle name="40% - Akzent1 3 4 3 3" xfId="3193"/>
    <cellStyle name="40% - Akzent1 3 4 3 4" xfId="3194"/>
    <cellStyle name="40% - Akzent1 3 4 3 5" xfId="3195"/>
    <cellStyle name="40% - Akzent1 3 4 4" xfId="3196"/>
    <cellStyle name="40% - Akzent1 3 4 4 2" xfId="3197"/>
    <cellStyle name="40% - Akzent1 3 4 4 2 2" xfId="3198"/>
    <cellStyle name="40% - Akzent1 3 4 4 3" xfId="3199"/>
    <cellStyle name="40% - Akzent1 3 4 4 4" xfId="3200"/>
    <cellStyle name="40% - Akzent1 3 4 4 5" xfId="3201"/>
    <cellStyle name="40% - Akzent1 3 4 5" xfId="3202"/>
    <cellStyle name="40% - Akzent1 3 4 5 2" xfId="3203"/>
    <cellStyle name="40% - Akzent1 3 4 5 2 2" xfId="3204"/>
    <cellStyle name="40% - Akzent1 3 4 5 3" xfId="3205"/>
    <cellStyle name="40% - Akzent1 3 4 5 4" xfId="3206"/>
    <cellStyle name="40% - Akzent1 3 4 6" xfId="3207"/>
    <cellStyle name="40% - Akzent1 3 4 6 2" xfId="3208"/>
    <cellStyle name="40% - Akzent1 3 4 7" xfId="3209"/>
    <cellStyle name="40% - Akzent1 3 4 8" xfId="3210"/>
    <cellStyle name="40% - Akzent1 3 4 9" xfId="3211"/>
    <cellStyle name="40% - Akzent1 3 5" xfId="3212"/>
    <cellStyle name="40% - Akzent1 3 5 10" xfId="3213"/>
    <cellStyle name="40% - Akzent1 3 5 2" xfId="3214"/>
    <cellStyle name="40% - Akzent1 3 5 2 2" xfId="3215"/>
    <cellStyle name="40% - Akzent1 3 5 2 2 2" xfId="3216"/>
    <cellStyle name="40% - Akzent1 3 5 2 2 2 2" xfId="3217"/>
    <cellStyle name="40% - Akzent1 3 5 2 2 3" xfId="3218"/>
    <cellStyle name="40% - Akzent1 3 5 2 2 4" xfId="3219"/>
    <cellStyle name="40% - Akzent1 3 5 2 2 5" xfId="3220"/>
    <cellStyle name="40% - Akzent1 3 5 2 3" xfId="3221"/>
    <cellStyle name="40% - Akzent1 3 5 2 3 2" xfId="3222"/>
    <cellStyle name="40% - Akzent1 3 5 2 3 2 2" xfId="3223"/>
    <cellStyle name="40% - Akzent1 3 5 2 3 3" xfId="3224"/>
    <cellStyle name="40% - Akzent1 3 5 2 3 4" xfId="3225"/>
    <cellStyle name="40% - Akzent1 3 5 2 3 5" xfId="3226"/>
    <cellStyle name="40% - Akzent1 3 5 2 4" xfId="3227"/>
    <cellStyle name="40% - Akzent1 3 5 2 4 2" xfId="3228"/>
    <cellStyle name="40% - Akzent1 3 5 2 4 2 2" xfId="3229"/>
    <cellStyle name="40% - Akzent1 3 5 2 4 3" xfId="3230"/>
    <cellStyle name="40% - Akzent1 3 5 2 4 4" xfId="3231"/>
    <cellStyle name="40% - Akzent1 3 5 2 5" xfId="3232"/>
    <cellStyle name="40% - Akzent1 3 5 2 5 2" xfId="3233"/>
    <cellStyle name="40% - Akzent1 3 5 2 6" xfId="3234"/>
    <cellStyle name="40% - Akzent1 3 5 2 7" xfId="3235"/>
    <cellStyle name="40% - Akzent1 3 5 2 8" xfId="3236"/>
    <cellStyle name="40% - Akzent1 3 5 2 9" xfId="3237"/>
    <cellStyle name="40% - Akzent1 3 5 3" xfId="3238"/>
    <cellStyle name="40% - Akzent1 3 5 3 2" xfId="3239"/>
    <cellStyle name="40% - Akzent1 3 5 3 2 2" xfId="3240"/>
    <cellStyle name="40% - Akzent1 3 5 3 3" xfId="3241"/>
    <cellStyle name="40% - Akzent1 3 5 3 4" xfId="3242"/>
    <cellStyle name="40% - Akzent1 3 5 3 5" xfId="3243"/>
    <cellStyle name="40% - Akzent1 3 5 4" xfId="3244"/>
    <cellStyle name="40% - Akzent1 3 5 4 2" xfId="3245"/>
    <cellStyle name="40% - Akzent1 3 5 4 2 2" xfId="3246"/>
    <cellStyle name="40% - Akzent1 3 5 4 3" xfId="3247"/>
    <cellStyle name="40% - Akzent1 3 5 4 4" xfId="3248"/>
    <cellStyle name="40% - Akzent1 3 5 4 5" xfId="3249"/>
    <cellStyle name="40% - Akzent1 3 5 5" xfId="3250"/>
    <cellStyle name="40% - Akzent1 3 5 5 2" xfId="3251"/>
    <cellStyle name="40% - Akzent1 3 5 5 2 2" xfId="3252"/>
    <cellStyle name="40% - Akzent1 3 5 5 3" xfId="3253"/>
    <cellStyle name="40% - Akzent1 3 5 5 4" xfId="3254"/>
    <cellStyle name="40% - Akzent1 3 5 6" xfId="3255"/>
    <cellStyle name="40% - Akzent1 3 5 6 2" xfId="3256"/>
    <cellStyle name="40% - Akzent1 3 5 7" xfId="3257"/>
    <cellStyle name="40% - Akzent1 3 5 8" xfId="3258"/>
    <cellStyle name="40% - Akzent1 3 5 9" xfId="3259"/>
    <cellStyle name="40% - Akzent1 3 6" xfId="3260"/>
    <cellStyle name="40% - Akzent1 3 6 2" xfId="3261"/>
    <cellStyle name="40% - Akzent1 3 6 2 2" xfId="3262"/>
    <cellStyle name="40% - Akzent1 3 6 2 2 2" xfId="3263"/>
    <cellStyle name="40% - Akzent1 3 6 2 3" xfId="3264"/>
    <cellStyle name="40% - Akzent1 3 6 2 4" xfId="3265"/>
    <cellStyle name="40% - Akzent1 3 6 2 5" xfId="3266"/>
    <cellStyle name="40% - Akzent1 3 6 3" xfId="3267"/>
    <cellStyle name="40% - Akzent1 3 6 3 2" xfId="3268"/>
    <cellStyle name="40% - Akzent1 3 6 3 2 2" xfId="3269"/>
    <cellStyle name="40% - Akzent1 3 6 3 3" xfId="3270"/>
    <cellStyle name="40% - Akzent1 3 6 3 4" xfId="3271"/>
    <cellStyle name="40% - Akzent1 3 6 3 5" xfId="3272"/>
    <cellStyle name="40% - Akzent1 3 6 4" xfId="3273"/>
    <cellStyle name="40% - Akzent1 3 6 4 2" xfId="3274"/>
    <cellStyle name="40% - Akzent1 3 6 4 2 2" xfId="3275"/>
    <cellStyle name="40% - Akzent1 3 6 4 3" xfId="3276"/>
    <cellStyle name="40% - Akzent1 3 6 4 4" xfId="3277"/>
    <cellStyle name="40% - Akzent1 3 6 5" xfId="3278"/>
    <cellStyle name="40% - Akzent1 3 6 5 2" xfId="3279"/>
    <cellStyle name="40% - Akzent1 3 6 6" xfId="3280"/>
    <cellStyle name="40% - Akzent1 3 6 7" xfId="3281"/>
    <cellStyle name="40% - Akzent1 3 6 8" xfId="3282"/>
    <cellStyle name="40% - Akzent1 3 6 9" xfId="3283"/>
    <cellStyle name="40% - Akzent1 3 7" xfId="3284"/>
    <cellStyle name="40% - Akzent1 3 7 2" xfId="3285"/>
    <cellStyle name="40% - Akzent1 3 7 2 2" xfId="3286"/>
    <cellStyle name="40% - Akzent1 3 7 3" xfId="3287"/>
    <cellStyle name="40% - Akzent1 3 7 4" xfId="3288"/>
    <cellStyle name="40% - Akzent1 3 7 5" xfId="3289"/>
    <cellStyle name="40% - Akzent1 3 8" xfId="3290"/>
    <cellStyle name="40% - Akzent1 3 8 2" xfId="3291"/>
    <cellStyle name="40% - Akzent1 3 8 2 2" xfId="3292"/>
    <cellStyle name="40% - Akzent1 3 8 3" xfId="3293"/>
    <cellStyle name="40% - Akzent1 3 8 4" xfId="3294"/>
    <cellStyle name="40% - Akzent1 3 8 5" xfId="3295"/>
    <cellStyle name="40% - Akzent1 3 9" xfId="3296"/>
    <cellStyle name="40% - Akzent1 3 9 2" xfId="3297"/>
    <cellStyle name="40% - Akzent1 3 9 2 2" xfId="3298"/>
    <cellStyle name="40% - Akzent1 3 9 3" xfId="3299"/>
    <cellStyle name="40% - Akzent1 3 9 4" xfId="3300"/>
    <cellStyle name="40% - Akzent1 4" xfId="3301"/>
    <cellStyle name="40% - Akzent1 4 10" xfId="3302"/>
    <cellStyle name="40% - Akzent1 4 2" xfId="3303"/>
    <cellStyle name="40% - Akzent1 4 2 2" xfId="3304"/>
    <cellStyle name="40% - Akzent1 4 2 2 2" xfId="3305"/>
    <cellStyle name="40% - Akzent1 4 2 2 2 2" xfId="3306"/>
    <cellStyle name="40% - Akzent1 4 2 2 3" xfId="3307"/>
    <cellStyle name="40% - Akzent1 4 2 2 4" xfId="3308"/>
    <cellStyle name="40% - Akzent1 4 2 2 5" xfId="3309"/>
    <cellStyle name="40% - Akzent1 4 2 3" xfId="3310"/>
    <cellStyle name="40% - Akzent1 4 2 3 2" xfId="3311"/>
    <cellStyle name="40% - Akzent1 4 2 3 2 2" xfId="3312"/>
    <cellStyle name="40% - Akzent1 4 2 3 3" xfId="3313"/>
    <cellStyle name="40% - Akzent1 4 2 3 4" xfId="3314"/>
    <cellStyle name="40% - Akzent1 4 2 3 5" xfId="3315"/>
    <cellStyle name="40% - Akzent1 4 2 4" xfId="3316"/>
    <cellStyle name="40% - Akzent1 4 2 4 2" xfId="3317"/>
    <cellStyle name="40% - Akzent1 4 2 4 2 2" xfId="3318"/>
    <cellStyle name="40% - Akzent1 4 2 4 3" xfId="3319"/>
    <cellStyle name="40% - Akzent1 4 2 4 4" xfId="3320"/>
    <cellStyle name="40% - Akzent1 4 2 5" xfId="3321"/>
    <cellStyle name="40% - Akzent1 4 2 5 2" xfId="3322"/>
    <cellStyle name="40% - Akzent1 4 2 6" xfId="3323"/>
    <cellStyle name="40% - Akzent1 4 2 7" xfId="3324"/>
    <cellStyle name="40% - Akzent1 4 2 8" xfId="3325"/>
    <cellStyle name="40% - Akzent1 4 2 9" xfId="3326"/>
    <cellStyle name="40% - Akzent1 4 3" xfId="3327"/>
    <cellStyle name="40% - Akzent1 4 3 2" xfId="3328"/>
    <cellStyle name="40% - Akzent1 4 3 2 2" xfId="3329"/>
    <cellStyle name="40% - Akzent1 4 3 3" xfId="3330"/>
    <cellStyle name="40% - Akzent1 4 3 4" xfId="3331"/>
    <cellStyle name="40% - Akzent1 4 3 5" xfId="3332"/>
    <cellStyle name="40% - Akzent1 4 4" xfId="3333"/>
    <cellStyle name="40% - Akzent1 4 4 2" xfId="3334"/>
    <cellStyle name="40% - Akzent1 4 4 2 2" xfId="3335"/>
    <cellStyle name="40% - Akzent1 4 4 3" xfId="3336"/>
    <cellStyle name="40% - Akzent1 4 4 4" xfId="3337"/>
    <cellStyle name="40% - Akzent1 4 4 5" xfId="3338"/>
    <cellStyle name="40% - Akzent1 4 5" xfId="3339"/>
    <cellStyle name="40% - Akzent1 4 5 2" xfId="3340"/>
    <cellStyle name="40% - Akzent1 4 5 2 2" xfId="3341"/>
    <cellStyle name="40% - Akzent1 4 5 3" xfId="3342"/>
    <cellStyle name="40% - Akzent1 4 5 4" xfId="3343"/>
    <cellStyle name="40% - Akzent1 4 6" xfId="3344"/>
    <cellStyle name="40% - Akzent1 4 6 2" xfId="3345"/>
    <cellStyle name="40% - Akzent1 4 7" xfId="3346"/>
    <cellStyle name="40% - Akzent1 4 8" xfId="3347"/>
    <cellStyle name="40% - Akzent1 4 9" xfId="3348"/>
    <cellStyle name="40% - Akzent1 5" xfId="3349"/>
    <cellStyle name="40% - Akzent1 5 10" xfId="3350"/>
    <cellStyle name="40% - Akzent1 5 2" xfId="3351"/>
    <cellStyle name="40% - Akzent1 5 2 2" xfId="3352"/>
    <cellStyle name="40% - Akzent1 5 2 2 2" xfId="3353"/>
    <cellStyle name="40% - Akzent1 5 2 2 2 2" xfId="3354"/>
    <cellStyle name="40% - Akzent1 5 2 2 3" xfId="3355"/>
    <cellStyle name="40% - Akzent1 5 2 2 4" xfId="3356"/>
    <cellStyle name="40% - Akzent1 5 2 2 5" xfId="3357"/>
    <cellStyle name="40% - Akzent1 5 2 3" xfId="3358"/>
    <cellStyle name="40% - Akzent1 5 2 3 2" xfId="3359"/>
    <cellStyle name="40% - Akzent1 5 2 3 2 2" xfId="3360"/>
    <cellStyle name="40% - Akzent1 5 2 3 3" xfId="3361"/>
    <cellStyle name="40% - Akzent1 5 2 3 4" xfId="3362"/>
    <cellStyle name="40% - Akzent1 5 2 3 5" xfId="3363"/>
    <cellStyle name="40% - Akzent1 5 2 4" xfId="3364"/>
    <cellStyle name="40% - Akzent1 5 2 4 2" xfId="3365"/>
    <cellStyle name="40% - Akzent1 5 2 4 2 2" xfId="3366"/>
    <cellStyle name="40% - Akzent1 5 2 4 3" xfId="3367"/>
    <cellStyle name="40% - Akzent1 5 2 4 4" xfId="3368"/>
    <cellStyle name="40% - Akzent1 5 2 5" xfId="3369"/>
    <cellStyle name="40% - Akzent1 5 2 5 2" xfId="3370"/>
    <cellStyle name="40% - Akzent1 5 2 6" xfId="3371"/>
    <cellStyle name="40% - Akzent1 5 2 7" xfId="3372"/>
    <cellStyle name="40% - Akzent1 5 2 8" xfId="3373"/>
    <cellStyle name="40% - Akzent1 5 2 9" xfId="3374"/>
    <cellStyle name="40% - Akzent1 5 3" xfId="3375"/>
    <cellStyle name="40% - Akzent1 5 3 2" xfId="3376"/>
    <cellStyle name="40% - Akzent1 5 3 2 2" xfId="3377"/>
    <cellStyle name="40% - Akzent1 5 3 3" xfId="3378"/>
    <cellStyle name="40% - Akzent1 5 3 4" xfId="3379"/>
    <cellStyle name="40% - Akzent1 5 3 5" xfId="3380"/>
    <cellStyle name="40% - Akzent1 5 4" xfId="3381"/>
    <cellStyle name="40% - Akzent1 5 4 2" xfId="3382"/>
    <cellStyle name="40% - Akzent1 5 4 2 2" xfId="3383"/>
    <cellStyle name="40% - Akzent1 5 4 3" xfId="3384"/>
    <cellStyle name="40% - Akzent1 5 4 4" xfId="3385"/>
    <cellStyle name="40% - Akzent1 5 4 5" xfId="3386"/>
    <cellStyle name="40% - Akzent1 5 5" xfId="3387"/>
    <cellStyle name="40% - Akzent1 5 5 2" xfId="3388"/>
    <cellStyle name="40% - Akzent1 5 5 2 2" xfId="3389"/>
    <cellStyle name="40% - Akzent1 5 5 3" xfId="3390"/>
    <cellStyle name="40% - Akzent1 5 5 4" xfId="3391"/>
    <cellStyle name="40% - Akzent1 5 6" xfId="3392"/>
    <cellStyle name="40% - Akzent1 5 6 2" xfId="3393"/>
    <cellStyle name="40% - Akzent1 5 7" xfId="3394"/>
    <cellStyle name="40% - Akzent1 5 8" xfId="3395"/>
    <cellStyle name="40% - Akzent1 5 9" xfId="3396"/>
    <cellStyle name="40% - Akzent1 6" xfId="3397"/>
    <cellStyle name="40% - Akzent1 6 10" xfId="3398"/>
    <cellStyle name="40% - Akzent1 6 2" xfId="3399"/>
    <cellStyle name="40% - Akzent1 6 2 2" xfId="3400"/>
    <cellStyle name="40% - Akzent1 6 2 2 2" xfId="3401"/>
    <cellStyle name="40% - Akzent1 6 2 2 2 2" xfId="3402"/>
    <cellStyle name="40% - Akzent1 6 2 2 3" xfId="3403"/>
    <cellStyle name="40% - Akzent1 6 2 2 4" xfId="3404"/>
    <cellStyle name="40% - Akzent1 6 2 2 5" xfId="3405"/>
    <cellStyle name="40% - Akzent1 6 2 3" xfId="3406"/>
    <cellStyle name="40% - Akzent1 6 2 3 2" xfId="3407"/>
    <cellStyle name="40% - Akzent1 6 2 3 2 2" xfId="3408"/>
    <cellStyle name="40% - Akzent1 6 2 3 3" xfId="3409"/>
    <cellStyle name="40% - Akzent1 6 2 3 4" xfId="3410"/>
    <cellStyle name="40% - Akzent1 6 2 3 5" xfId="3411"/>
    <cellStyle name="40% - Akzent1 6 2 4" xfId="3412"/>
    <cellStyle name="40% - Akzent1 6 2 4 2" xfId="3413"/>
    <cellStyle name="40% - Akzent1 6 2 4 2 2" xfId="3414"/>
    <cellStyle name="40% - Akzent1 6 2 4 3" xfId="3415"/>
    <cellStyle name="40% - Akzent1 6 2 4 4" xfId="3416"/>
    <cellStyle name="40% - Akzent1 6 2 5" xfId="3417"/>
    <cellStyle name="40% - Akzent1 6 2 5 2" xfId="3418"/>
    <cellStyle name="40% - Akzent1 6 2 6" xfId="3419"/>
    <cellStyle name="40% - Akzent1 6 2 7" xfId="3420"/>
    <cellStyle name="40% - Akzent1 6 2 8" xfId="3421"/>
    <cellStyle name="40% - Akzent1 6 2 9" xfId="3422"/>
    <cellStyle name="40% - Akzent1 6 3" xfId="3423"/>
    <cellStyle name="40% - Akzent1 6 3 2" xfId="3424"/>
    <cellStyle name="40% - Akzent1 6 3 2 2" xfId="3425"/>
    <cellStyle name="40% - Akzent1 6 3 3" xfId="3426"/>
    <cellStyle name="40% - Akzent1 6 3 4" xfId="3427"/>
    <cellStyle name="40% - Akzent1 6 3 5" xfId="3428"/>
    <cellStyle name="40% - Akzent1 6 4" xfId="3429"/>
    <cellStyle name="40% - Akzent1 6 4 2" xfId="3430"/>
    <cellStyle name="40% - Akzent1 6 4 2 2" xfId="3431"/>
    <cellStyle name="40% - Akzent1 6 4 3" xfId="3432"/>
    <cellStyle name="40% - Akzent1 6 4 4" xfId="3433"/>
    <cellStyle name="40% - Akzent1 6 4 5" xfId="3434"/>
    <cellStyle name="40% - Akzent1 6 5" xfId="3435"/>
    <cellStyle name="40% - Akzent1 6 5 2" xfId="3436"/>
    <cellStyle name="40% - Akzent1 6 5 2 2" xfId="3437"/>
    <cellStyle name="40% - Akzent1 6 5 3" xfId="3438"/>
    <cellStyle name="40% - Akzent1 6 5 4" xfId="3439"/>
    <cellStyle name="40% - Akzent1 6 6" xfId="3440"/>
    <cellStyle name="40% - Akzent1 6 6 2" xfId="3441"/>
    <cellStyle name="40% - Akzent1 6 7" xfId="3442"/>
    <cellStyle name="40% - Akzent1 6 8" xfId="3443"/>
    <cellStyle name="40% - Akzent1 6 9" xfId="3444"/>
    <cellStyle name="40% - Akzent1 7" xfId="3445"/>
    <cellStyle name="40% - Akzent1 7 2" xfId="3446"/>
    <cellStyle name="40% - Akzent1 7 2 2" xfId="3447"/>
    <cellStyle name="40% - Akzent1 7 3" xfId="3448"/>
    <cellStyle name="40% - Akzent1 7 4" xfId="3449"/>
    <cellStyle name="40% - Akzent1 7 5" xfId="3450"/>
    <cellStyle name="40% - Akzent1 8" xfId="3451"/>
    <cellStyle name="40% - Akzent1 8 2" xfId="3452"/>
    <cellStyle name="40% - Akzent1 8 2 2" xfId="3453"/>
    <cellStyle name="40% - Akzent1 8 3" xfId="3454"/>
    <cellStyle name="40% - Akzent1 8 4" xfId="3455"/>
    <cellStyle name="40% - Akzent1 8 5" xfId="3456"/>
    <cellStyle name="40% - Akzent1 9" xfId="3457"/>
    <cellStyle name="40% - Akzent1 9 2" xfId="3458"/>
    <cellStyle name="40% - Akzent1 9 2 2" xfId="3459"/>
    <cellStyle name="40% - Akzent1 9 3" xfId="3460"/>
    <cellStyle name="40% - Akzent2 10" xfId="3461"/>
    <cellStyle name="40% - Akzent2 10 2" xfId="3462"/>
    <cellStyle name="40% - Akzent2 10 2 2" xfId="3463"/>
    <cellStyle name="40% - Akzent2 10 3" xfId="3464"/>
    <cellStyle name="40% - Akzent2 10 4" xfId="3465"/>
    <cellStyle name="40% - Akzent2 10 5" xfId="3466"/>
    <cellStyle name="40% - Akzent2 11" xfId="3467"/>
    <cellStyle name="40% - Akzent2 11 2" xfId="3468"/>
    <cellStyle name="40% - Akzent2 11 2 2" xfId="3469"/>
    <cellStyle name="40% - Akzent2 11 3" xfId="3470"/>
    <cellStyle name="40% - Akzent2 12" xfId="3471"/>
    <cellStyle name="40% - Akzent2 12 2" xfId="3472"/>
    <cellStyle name="40% - Akzent2 13" xfId="3473"/>
    <cellStyle name="40% - Akzent2 2" xfId="3474"/>
    <cellStyle name="40% - Akzent2 2 2" xfId="3475"/>
    <cellStyle name="40% - Akzent2 3" xfId="3476"/>
    <cellStyle name="40% - Akzent2 3 10" xfId="3477"/>
    <cellStyle name="40% - Akzent2 3 11" xfId="3478"/>
    <cellStyle name="40% - Akzent2 3 2" xfId="3479"/>
    <cellStyle name="40% - Akzent2 3 2 10" xfId="3480"/>
    <cellStyle name="40% - Akzent2 3 2 2" xfId="3481"/>
    <cellStyle name="40% - Akzent2 3 2 2 2" xfId="3482"/>
    <cellStyle name="40% - Akzent2 3 2 2 2 2" xfId="3483"/>
    <cellStyle name="40% - Akzent2 3 2 2 2 2 2" xfId="3484"/>
    <cellStyle name="40% - Akzent2 3 2 2 2 3" xfId="3485"/>
    <cellStyle name="40% - Akzent2 3 2 2 2 4" xfId="3486"/>
    <cellStyle name="40% - Akzent2 3 2 2 2 5" xfId="3487"/>
    <cellStyle name="40% - Akzent2 3 2 2 3" xfId="3488"/>
    <cellStyle name="40% - Akzent2 3 2 2 3 2" xfId="3489"/>
    <cellStyle name="40% - Akzent2 3 2 2 3 2 2" xfId="3490"/>
    <cellStyle name="40% - Akzent2 3 2 2 3 3" xfId="3491"/>
    <cellStyle name="40% - Akzent2 3 2 2 3 4" xfId="3492"/>
    <cellStyle name="40% - Akzent2 3 2 2 3 5" xfId="3493"/>
    <cellStyle name="40% - Akzent2 3 2 2 4" xfId="3494"/>
    <cellStyle name="40% - Akzent2 3 2 2 4 2" xfId="3495"/>
    <cellStyle name="40% - Akzent2 3 2 2 4 2 2" xfId="3496"/>
    <cellStyle name="40% - Akzent2 3 2 2 4 3" xfId="3497"/>
    <cellStyle name="40% - Akzent2 3 2 2 4 4" xfId="3498"/>
    <cellStyle name="40% - Akzent2 3 2 2 5" xfId="3499"/>
    <cellStyle name="40% - Akzent2 3 2 2 5 2" xfId="3500"/>
    <cellStyle name="40% - Akzent2 3 2 2 6" xfId="3501"/>
    <cellStyle name="40% - Akzent2 3 2 2 7" xfId="3502"/>
    <cellStyle name="40% - Akzent2 3 2 2 8" xfId="3503"/>
    <cellStyle name="40% - Akzent2 3 2 2 9" xfId="3504"/>
    <cellStyle name="40% - Akzent2 3 2 3" xfId="3505"/>
    <cellStyle name="40% - Akzent2 3 2 3 2" xfId="3506"/>
    <cellStyle name="40% - Akzent2 3 2 3 2 2" xfId="3507"/>
    <cellStyle name="40% - Akzent2 3 2 3 3" xfId="3508"/>
    <cellStyle name="40% - Akzent2 3 2 3 4" xfId="3509"/>
    <cellStyle name="40% - Akzent2 3 2 3 5" xfId="3510"/>
    <cellStyle name="40% - Akzent2 3 2 4" xfId="3511"/>
    <cellStyle name="40% - Akzent2 3 2 4 2" xfId="3512"/>
    <cellStyle name="40% - Akzent2 3 2 4 2 2" xfId="3513"/>
    <cellStyle name="40% - Akzent2 3 2 4 3" xfId="3514"/>
    <cellStyle name="40% - Akzent2 3 2 4 4" xfId="3515"/>
    <cellStyle name="40% - Akzent2 3 2 4 5" xfId="3516"/>
    <cellStyle name="40% - Akzent2 3 2 5" xfId="3517"/>
    <cellStyle name="40% - Akzent2 3 2 5 2" xfId="3518"/>
    <cellStyle name="40% - Akzent2 3 2 5 2 2" xfId="3519"/>
    <cellStyle name="40% - Akzent2 3 2 5 3" xfId="3520"/>
    <cellStyle name="40% - Akzent2 3 2 5 4" xfId="3521"/>
    <cellStyle name="40% - Akzent2 3 2 6" xfId="3522"/>
    <cellStyle name="40% - Akzent2 3 2 6 2" xfId="3523"/>
    <cellStyle name="40% - Akzent2 3 2 7" xfId="3524"/>
    <cellStyle name="40% - Akzent2 3 2 8" xfId="3525"/>
    <cellStyle name="40% - Akzent2 3 2 9" xfId="3526"/>
    <cellStyle name="40% - Akzent2 3 3" xfId="3527"/>
    <cellStyle name="40% - Akzent2 3 3 2" xfId="3528"/>
    <cellStyle name="40% - Akzent2 3 3 2 2" xfId="3529"/>
    <cellStyle name="40% - Akzent2 3 3 2 2 2" xfId="3530"/>
    <cellStyle name="40% - Akzent2 3 3 2 3" xfId="3531"/>
    <cellStyle name="40% - Akzent2 3 3 2 4" xfId="3532"/>
    <cellStyle name="40% - Akzent2 3 3 2 5" xfId="3533"/>
    <cellStyle name="40% - Akzent2 3 3 3" xfId="3534"/>
    <cellStyle name="40% - Akzent2 3 3 3 2" xfId="3535"/>
    <cellStyle name="40% - Akzent2 3 3 3 2 2" xfId="3536"/>
    <cellStyle name="40% - Akzent2 3 3 3 3" xfId="3537"/>
    <cellStyle name="40% - Akzent2 3 3 3 4" xfId="3538"/>
    <cellStyle name="40% - Akzent2 3 3 3 5" xfId="3539"/>
    <cellStyle name="40% - Akzent2 3 3 4" xfId="3540"/>
    <cellStyle name="40% - Akzent2 3 3 4 2" xfId="3541"/>
    <cellStyle name="40% - Akzent2 3 3 4 2 2" xfId="3542"/>
    <cellStyle name="40% - Akzent2 3 3 4 3" xfId="3543"/>
    <cellStyle name="40% - Akzent2 3 3 4 4" xfId="3544"/>
    <cellStyle name="40% - Akzent2 3 3 5" xfId="3545"/>
    <cellStyle name="40% - Akzent2 3 3 5 2" xfId="3546"/>
    <cellStyle name="40% - Akzent2 3 3 6" xfId="3547"/>
    <cellStyle name="40% - Akzent2 3 3 7" xfId="3548"/>
    <cellStyle name="40% - Akzent2 3 3 8" xfId="3549"/>
    <cellStyle name="40% - Akzent2 3 3 9" xfId="3550"/>
    <cellStyle name="40% - Akzent2 3 4" xfId="3551"/>
    <cellStyle name="40% - Akzent2 3 4 2" xfId="3552"/>
    <cellStyle name="40% - Akzent2 3 4 2 2" xfId="3553"/>
    <cellStyle name="40% - Akzent2 3 4 3" xfId="3554"/>
    <cellStyle name="40% - Akzent2 3 4 4" xfId="3555"/>
    <cellStyle name="40% - Akzent2 3 4 5" xfId="3556"/>
    <cellStyle name="40% - Akzent2 3 5" xfId="3557"/>
    <cellStyle name="40% - Akzent2 3 5 2" xfId="3558"/>
    <cellStyle name="40% - Akzent2 3 5 2 2" xfId="3559"/>
    <cellStyle name="40% - Akzent2 3 5 3" xfId="3560"/>
    <cellStyle name="40% - Akzent2 3 5 4" xfId="3561"/>
    <cellStyle name="40% - Akzent2 3 5 5" xfId="3562"/>
    <cellStyle name="40% - Akzent2 3 6" xfId="3563"/>
    <cellStyle name="40% - Akzent2 3 6 2" xfId="3564"/>
    <cellStyle name="40% - Akzent2 3 6 2 2" xfId="3565"/>
    <cellStyle name="40% - Akzent2 3 6 3" xfId="3566"/>
    <cellStyle name="40% - Akzent2 3 6 4" xfId="3567"/>
    <cellStyle name="40% - Akzent2 3 7" xfId="3568"/>
    <cellStyle name="40% - Akzent2 3 7 2" xfId="3569"/>
    <cellStyle name="40% - Akzent2 3 8" xfId="3570"/>
    <cellStyle name="40% - Akzent2 3 9" xfId="3571"/>
    <cellStyle name="40% - Akzent2 4" xfId="3572"/>
    <cellStyle name="40% - Akzent2 4 10" xfId="3573"/>
    <cellStyle name="40% - Akzent2 4 11" xfId="3574"/>
    <cellStyle name="40% - Akzent2 4 2" xfId="3575"/>
    <cellStyle name="40% - Akzent2 4 2 10" xfId="3576"/>
    <cellStyle name="40% - Akzent2 4 2 2" xfId="3577"/>
    <cellStyle name="40% - Akzent2 4 2 2 2" xfId="3578"/>
    <cellStyle name="40% - Akzent2 4 2 2 2 2" xfId="3579"/>
    <cellStyle name="40% - Akzent2 4 2 2 2 2 2" xfId="3580"/>
    <cellStyle name="40% - Akzent2 4 2 2 2 3" xfId="3581"/>
    <cellStyle name="40% - Akzent2 4 2 2 2 4" xfId="3582"/>
    <cellStyle name="40% - Akzent2 4 2 2 2 5" xfId="3583"/>
    <cellStyle name="40% - Akzent2 4 2 2 3" xfId="3584"/>
    <cellStyle name="40% - Akzent2 4 2 2 3 2" xfId="3585"/>
    <cellStyle name="40% - Akzent2 4 2 2 3 2 2" xfId="3586"/>
    <cellStyle name="40% - Akzent2 4 2 2 3 3" xfId="3587"/>
    <cellStyle name="40% - Akzent2 4 2 2 3 4" xfId="3588"/>
    <cellStyle name="40% - Akzent2 4 2 2 3 5" xfId="3589"/>
    <cellStyle name="40% - Akzent2 4 2 2 4" xfId="3590"/>
    <cellStyle name="40% - Akzent2 4 2 2 4 2" xfId="3591"/>
    <cellStyle name="40% - Akzent2 4 2 2 4 2 2" xfId="3592"/>
    <cellStyle name="40% - Akzent2 4 2 2 4 3" xfId="3593"/>
    <cellStyle name="40% - Akzent2 4 2 2 4 4" xfId="3594"/>
    <cellStyle name="40% - Akzent2 4 2 2 5" xfId="3595"/>
    <cellStyle name="40% - Akzent2 4 2 2 5 2" xfId="3596"/>
    <cellStyle name="40% - Akzent2 4 2 2 6" xfId="3597"/>
    <cellStyle name="40% - Akzent2 4 2 2 7" xfId="3598"/>
    <cellStyle name="40% - Akzent2 4 2 2 8" xfId="3599"/>
    <cellStyle name="40% - Akzent2 4 2 2 9" xfId="3600"/>
    <cellStyle name="40% - Akzent2 4 2 3" xfId="3601"/>
    <cellStyle name="40% - Akzent2 4 2 3 2" xfId="3602"/>
    <cellStyle name="40% - Akzent2 4 2 3 2 2" xfId="3603"/>
    <cellStyle name="40% - Akzent2 4 2 3 3" xfId="3604"/>
    <cellStyle name="40% - Akzent2 4 2 3 4" xfId="3605"/>
    <cellStyle name="40% - Akzent2 4 2 3 5" xfId="3606"/>
    <cellStyle name="40% - Akzent2 4 2 4" xfId="3607"/>
    <cellStyle name="40% - Akzent2 4 2 4 2" xfId="3608"/>
    <cellStyle name="40% - Akzent2 4 2 4 2 2" xfId="3609"/>
    <cellStyle name="40% - Akzent2 4 2 4 3" xfId="3610"/>
    <cellStyle name="40% - Akzent2 4 2 4 4" xfId="3611"/>
    <cellStyle name="40% - Akzent2 4 2 4 5" xfId="3612"/>
    <cellStyle name="40% - Akzent2 4 2 5" xfId="3613"/>
    <cellStyle name="40% - Akzent2 4 2 5 2" xfId="3614"/>
    <cellStyle name="40% - Akzent2 4 2 5 2 2" xfId="3615"/>
    <cellStyle name="40% - Akzent2 4 2 5 3" xfId="3616"/>
    <cellStyle name="40% - Akzent2 4 2 5 4" xfId="3617"/>
    <cellStyle name="40% - Akzent2 4 2 6" xfId="3618"/>
    <cellStyle name="40% - Akzent2 4 2 6 2" xfId="3619"/>
    <cellStyle name="40% - Akzent2 4 2 7" xfId="3620"/>
    <cellStyle name="40% - Akzent2 4 2 8" xfId="3621"/>
    <cellStyle name="40% - Akzent2 4 2 9" xfId="3622"/>
    <cellStyle name="40% - Akzent2 4 3" xfId="3623"/>
    <cellStyle name="40% - Akzent2 4 3 2" xfId="3624"/>
    <cellStyle name="40% - Akzent2 4 3 2 2" xfId="3625"/>
    <cellStyle name="40% - Akzent2 4 3 2 2 2" xfId="3626"/>
    <cellStyle name="40% - Akzent2 4 3 2 3" xfId="3627"/>
    <cellStyle name="40% - Akzent2 4 3 2 4" xfId="3628"/>
    <cellStyle name="40% - Akzent2 4 3 2 5" xfId="3629"/>
    <cellStyle name="40% - Akzent2 4 3 3" xfId="3630"/>
    <cellStyle name="40% - Akzent2 4 3 3 2" xfId="3631"/>
    <cellStyle name="40% - Akzent2 4 3 3 2 2" xfId="3632"/>
    <cellStyle name="40% - Akzent2 4 3 3 3" xfId="3633"/>
    <cellStyle name="40% - Akzent2 4 3 3 4" xfId="3634"/>
    <cellStyle name="40% - Akzent2 4 3 3 5" xfId="3635"/>
    <cellStyle name="40% - Akzent2 4 3 4" xfId="3636"/>
    <cellStyle name="40% - Akzent2 4 3 4 2" xfId="3637"/>
    <cellStyle name="40% - Akzent2 4 3 4 2 2" xfId="3638"/>
    <cellStyle name="40% - Akzent2 4 3 4 3" xfId="3639"/>
    <cellStyle name="40% - Akzent2 4 3 4 4" xfId="3640"/>
    <cellStyle name="40% - Akzent2 4 3 5" xfId="3641"/>
    <cellStyle name="40% - Akzent2 4 3 5 2" xfId="3642"/>
    <cellStyle name="40% - Akzent2 4 3 6" xfId="3643"/>
    <cellStyle name="40% - Akzent2 4 3 7" xfId="3644"/>
    <cellStyle name="40% - Akzent2 4 3 8" xfId="3645"/>
    <cellStyle name="40% - Akzent2 4 3 9" xfId="3646"/>
    <cellStyle name="40% - Akzent2 4 4" xfId="3647"/>
    <cellStyle name="40% - Akzent2 4 4 2" xfId="3648"/>
    <cellStyle name="40% - Akzent2 4 4 2 2" xfId="3649"/>
    <cellStyle name="40% - Akzent2 4 4 3" xfId="3650"/>
    <cellStyle name="40% - Akzent2 4 4 4" xfId="3651"/>
    <cellStyle name="40% - Akzent2 4 4 5" xfId="3652"/>
    <cellStyle name="40% - Akzent2 4 5" xfId="3653"/>
    <cellStyle name="40% - Akzent2 4 5 2" xfId="3654"/>
    <cellStyle name="40% - Akzent2 4 5 2 2" xfId="3655"/>
    <cellStyle name="40% - Akzent2 4 5 3" xfId="3656"/>
    <cellStyle name="40% - Akzent2 4 5 4" xfId="3657"/>
    <cellStyle name="40% - Akzent2 4 5 5" xfId="3658"/>
    <cellStyle name="40% - Akzent2 4 6" xfId="3659"/>
    <cellStyle name="40% - Akzent2 4 6 2" xfId="3660"/>
    <cellStyle name="40% - Akzent2 4 6 2 2" xfId="3661"/>
    <cellStyle name="40% - Akzent2 4 6 3" xfId="3662"/>
    <cellStyle name="40% - Akzent2 4 6 4" xfId="3663"/>
    <cellStyle name="40% - Akzent2 4 7" xfId="3664"/>
    <cellStyle name="40% - Akzent2 4 7 2" xfId="3665"/>
    <cellStyle name="40% - Akzent2 4 8" xfId="3666"/>
    <cellStyle name="40% - Akzent2 4 9" xfId="3667"/>
    <cellStyle name="40% - Akzent2 5" xfId="3668"/>
    <cellStyle name="40% - Akzent2 5 10" xfId="3669"/>
    <cellStyle name="40% - Akzent2 5 11" xfId="3670"/>
    <cellStyle name="40% - Akzent2 5 2" xfId="3671"/>
    <cellStyle name="40% - Akzent2 5 2 10" xfId="3672"/>
    <cellStyle name="40% - Akzent2 5 2 2" xfId="3673"/>
    <cellStyle name="40% - Akzent2 5 2 2 2" xfId="3674"/>
    <cellStyle name="40% - Akzent2 5 2 2 2 2" xfId="3675"/>
    <cellStyle name="40% - Akzent2 5 2 2 2 2 2" xfId="3676"/>
    <cellStyle name="40% - Akzent2 5 2 2 2 3" xfId="3677"/>
    <cellStyle name="40% - Akzent2 5 2 2 2 4" xfId="3678"/>
    <cellStyle name="40% - Akzent2 5 2 2 2 5" xfId="3679"/>
    <cellStyle name="40% - Akzent2 5 2 2 3" xfId="3680"/>
    <cellStyle name="40% - Akzent2 5 2 2 3 2" xfId="3681"/>
    <cellStyle name="40% - Akzent2 5 2 2 3 2 2" xfId="3682"/>
    <cellStyle name="40% - Akzent2 5 2 2 3 3" xfId="3683"/>
    <cellStyle name="40% - Akzent2 5 2 2 3 4" xfId="3684"/>
    <cellStyle name="40% - Akzent2 5 2 2 3 5" xfId="3685"/>
    <cellStyle name="40% - Akzent2 5 2 2 4" xfId="3686"/>
    <cellStyle name="40% - Akzent2 5 2 2 4 2" xfId="3687"/>
    <cellStyle name="40% - Akzent2 5 2 2 4 2 2" xfId="3688"/>
    <cellStyle name="40% - Akzent2 5 2 2 4 3" xfId="3689"/>
    <cellStyle name="40% - Akzent2 5 2 2 4 4" xfId="3690"/>
    <cellStyle name="40% - Akzent2 5 2 2 5" xfId="3691"/>
    <cellStyle name="40% - Akzent2 5 2 2 5 2" xfId="3692"/>
    <cellStyle name="40% - Akzent2 5 2 2 6" xfId="3693"/>
    <cellStyle name="40% - Akzent2 5 2 2 7" xfId="3694"/>
    <cellStyle name="40% - Akzent2 5 2 2 8" xfId="3695"/>
    <cellStyle name="40% - Akzent2 5 2 2 9" xfId="3696"/>
    <cellStyle name="40% - Akzent2 5 2 3" xfId="3697"/>
    <cellStyle name="40% - Akzent2 5 2 3 2" xfId="3698"/>
    <cellStyle name="40% - Akzent2 5 2 3 2 2" xfId="3699"/>
    <cellStyle name="40% - Akzent2 5 2 3 3" xfId="3700"/>
    <cellStyle name="40% - Akzent2 5 2 3 4" xfId="3701"/>
    <cellStyle name="40% - Akzent2 5 2 3 5" xfId="3702"/>
    <cellStyle name="40% - Akzent2 5 2 4" xfId="3703"/>
    <cellStyle name="40% - Akzent2 5 2 4 2" xfId="3704"/>
    <cellStyle name="40% - Akzent2 5 2 4 2 2" xfId="3705"/>
    <cellStyle name="40% - Akzent2 5 2 4 3" xfId="3706"/>
    <cellStyle name="40% - Akzent2 5 2 4 4" xfId="3707"/>
    <cellStyle name="40% - Akzent2 5 2 4 5" xfId="3708"/>
    <cellStyle name="40% - Akzent2 5 2 5" xfId="3709"/>
    <cellStyle name="40% - Akzent2 5 2 5 2" xfId="3710"/>
    <cellStyle name="40% - Akzent2 5 2 5 2 2" xfId="3711"/>
    <cellStyle name="40% - Akzent2 5 2 5 3" xfId="3712"/>
    <cellStyle name="40% - Akzent2 5 2 5 4" xfId="3713"/>
    <cellStyle name="40% - Akzent2 5 2 6" xfId="3714"/>
    <cellStyle name="40% - Akzent2 5 2 6 2" xfId="3715"/>
    <cellStyle name="40% - Akzent2 5 2 7" xfId="3716"/>
    <cellStyle name="40% - Akzent2 5 2 8" xfId="3717"/>
    <cellStyle name="40% - Akzent2 5 2 9" xfId="3718"/>
    <cellStyle name="40% - Akzent2 5 3" xfId="3719"/>
    <cellStyle name="40% - Akzent2 5 3 2" xfId="3720"/>
    <cellStyle name="40% - Akzent2 5 3 2 2" xfId="3721"/>
    <cellStyle name="40% - Akzent2 5 3 2 2 2" xfId="3722"/>
    <cellStyle name="40% - Akzent2 5 3 2 3" xfId="3723"/>
    <cellStyle name="40% - Akzent2 5 3 2 4" xfId="3724"/>
    <cellStyle name="40% - Akzent2 5 3 2 5" xfId="3725"/>
    <cellStyle name="40% - Akzent2 5 3 3" xfId="3726"/>
    <cellStyle name="40% - Akzent2 5 3 3 2" xfId="3727"/>
    <cellStyle name="40% - Akzent2 5 3 3 2 2" xfId="3728"/>
    <cellStyle name="40% - Akzent2 5 3 3 3" xfId="3729"/>
    <cellStyle name="40% - Akzent2 5 3 3 4" xfId="3730"/>
    <cellStyle name="40% - Akzent2 5 3 3 5" xfId="3731"/>
    <cellStyle name="40% - Akzent2 5 3 4" xfId="3732"/>
    <cellStyle name="40% - Akzent2 5 3 4 2" xfId="3733"/>
    <cellStyle name="40% - Akzent2 5 3 4 2 2" xfId="3734"/>
    <cellStyle name="40% - Akzent2 5 3 4 3" xfId="3735"/>
    <cellStyle name="40% - Akzent2 5 3 4 4" xfId="3736"/>
    <cellStyle name="40% - Akzent2 5 3 5" xfId="3737"/>
    <cellStyle name="40% - Akzent2 5 3 5 2" xfId="3738"/>
    <cellStyle name="40% - Akzent2 5 3 6" xfId="3739"/>
    <cellStyle name="40% - Akzent2 5 3 7" xfId="3740"/>
    <cellStyle name="40% - Akzent2 5 3 8" xfId="3741"/>
    <cellStyle name="40% - Akzent2 5 3 9" xfId="3742"/>
    <cellStyle name="40% - Akzent2 5 4" xfId="3743"/>
    <cellStyle name="40% - Akzent2 5 4 2" xfId="3744"/>
    <cellStyle name="40% - Akzent2 5 4 2 2" xfId="3745"/>
    <cellStyle name="40% - Akzent2 5 4 3" xfId="3746"/>
    <cellStyle name="40% - Akzent2 5 4 4" xfId="3747"/>
    <cellStyle name="40% - Akzent2 5 4 5" xfId="3748"/>
    <cellStyle name="40% - Akzent2 5 5" xfId="3749"/>
    <cellStyle name="40% - Akzent2 5 5 2" xfId="3750"/>
    <cellStyle name="40% - Akzent2 5 5 2 2" xfId="3751"/>
    <cellStyle name="40% - Akzent2 5 5 3" xfId="3752"/>
    <cellStyle name="40% - Akzent2 5 5 4" xfId="3753"/>
    <cellStyle name="40% - Akzent2 5 5 5" xfId="3754"/>
    <cellStyle name="40% - Akzent2 5 6" xfId="3755"/>
    <cellStyle name="40% - Akzent2 5 6 2" xfId="3756"/>
    <cellStyle name="40% - Akzent2 5 6 2 2" xfId="3757"/>
    <cellStyle name="40% - Akzent2 5 6 3" xfId="3758"/>
    <cellStyle name="40% - Akzent2 5 6 4" xfId="3759"/>
    <cellStyle name="40% - Akzent2 5 7" xfId="3760"/>
    <cellStyle name="40% - Akzent2 5 7 2" xfId="3761"/>
    <cellStyle name="40% - Akzent2 5 8" xfId="3762"/>
    <cellStyle name="40% - Akzent2 5 9" xfId="3763"/>
    <cellStyle name="40% - Akzent2 6" xfId="3764"/>
    <cellStyle name="40% - Akzent2 6 10" xfId="3765"/>
    <cellStyle name="40% - Akzent2 6 2" xfId="3766"/>
    <cellStyle name="40% - Akzent2 6 2 2" xfId="3767"/>
    <cellStyle name="40% - Akzent2 6 2 2 2" xfId="3768"/>
    <cellStyle name="40% - Akzent2 6 2 2 2 2" xfId="3769"/>
    <cellStyle name="40% - Akzent2 6 2 2 3" xfId="3770"/>
    <cellStyle name="40% - Akzent2 6 2 2 4" xfId="3771"/>
    <cellStyle name="40% - Akzent2 6 2 2 5" xfId="3772"/>
    <cellStyle name="40% - Akzent2 6 2 3" xfId="3773"/>
    <cellStyle name="40% - Akzent2 6 2 3 2" xfId="3774"/>
    <cellStyle name="40% - Akzent2 6 2 3 2 2" xfId="3775"/>
    <cellStyle name="40% - Akzent2 6 2 3 3" xfId="3776"/>
    <cellStyle name="40% - Akzent2 6 2 3 4" xfId="3777"/>
    <cellStyle name="40% - Akzent2 6 2 3 5" xfId="3778"/>
    <cellStyle name="40% - Akzent2 6 2 4" xfId="3779"/>
    <cellStyle name="40% - Akzent2 6 2 4 2" xfId="3780"/>
    <cellStyle name="40% - Akzent2 6 2 4 2 2" xfId="3781"/>
    <cellStyle name="40% - Akzent2 6 2 4 3" xfId="3782"/>
    <cellStyle name="40% - Akzent2 6 2 4 4" xfId="3783"/>
    <cellStyle name="40% - Akzent2 6 2 5" xfId="3784"/>
    <cellStyle name="40% - Akzent2 6 2 5 2" xfId="3785"/>
    <cellStyle name="40% - Akzent2 6 2 6" xfId="3786"/>
    <cellStyle name="40% - Akzent2 6 2 7" xfId="3787"/>
    <cellStyle name="40% - Akzent2 6 2 8" xfId="3788"/>
    <cellStyle name="40% - Akzent2 6 2 9" xfId="3789"/>
    <cellStyle name="40% - Akzent2 6 3" xfId="3790"/>
    <cellStyle name="40% - Akzent2 6 3 2" xfId="3791"/>
    <cellStyle name="40% - Akzent2 6 3 2 2" xfId="3792"/>
    <cellStyle name="40% - Akzent2 6 3 3" xfId="3793"/>
    <cellStyle name="40% - Akzent2 6 3 4" xfId="3794"/>
    <cellStyle name="40% - Akzent2 6 3 5" xfId="3795"/>
    <cellStyle name="40% - Akzent2 6 4" xfId="3796"/>
    <cellStyle name="40% - Akzent2 6 4 2" xfId="3797"/>
    <cellStyle name="40% - Akzent2 6 4 2 2" xfId="3798"/>
    <cellStyle name="40% - Akzent2 6 4 3" xfId="3799"/>
    <cellStyle name="40% - Akzent2 6 4 4" xfId="3800"/>
    <cellStyle name="40% - Akzent2 6 4 5" xfId="3801"/>
    <cellStyle name="40% - Akzent2 6 5" xfId="3802"/>
    <cellStyle name="40% - Akzent2 6 5 2" xfId="3803"/>
    <cellStyle name="40% - Akzent2 6 5 2 2" xfId="3804"/>
    <cellStyle name="40% - Akzent2 6 5 3" xfId="3805"/>
    <cellStyle name="40% - Akzent2 6 5 4" xfId="3806"/>
    <cellStyle name="40% - Akzent2 6 6" xfId="3807"/>
    <cellStyle name="40% - Akzent2 6 6 2" xfId="3808"/>
    <cellStyle name="40% - Akzent2 6 7" xfId="3809"/>
    <cellStyle name="40% - Akzent2 6 8" xfId="3810"/>
    <cellStyle name="40% - Akzent2 6 9" xfId="3811"/>
    <cellStyle name="40% - Akzent2 7" xfId="3812"/>
    <cellStyle name="40% - Akzent2 7 10" xfId="3813"/>
    <cellStyle name="40% - Akzent2 7 2" xfId="3814"/>
    <cellStyle name="40% - Akzent2 7 2 2" xfId="3815"/>
    <cellStyle name="40% - Akzent2 7 2 2 2" xfId="3816"/>
    <cellStyle name="40% - Akzent2 7 2 2 2 2" xfId="3817"/>
    <cellStyle name="40% - Akzent2 7 2 2 3" xfId="3818"/>
    <cellStyle name="40% - Akzent2 7 2 2 4" xfId="3819"/>
    <cellStyle name="40% - Akzent2 7 2 2 5" xfId="3820"/>
    <cellStyle name="40% - Akzent2 7 2 3" xfId="3821"/>
    <cellStyle name="40% - Akzent2 7 2 3 2" xfId="3822"/>
    <cellStyle name="40% - Akzent2 7 2 3 2 2" xfId="3823"/>
    <cellStyle name="40% - Akzent2 7 2 3 3" xfId="3824"/>
    <cellStyle name="40% - Akzent2 7 2 3 4" xfId="3825"/>
    <cellStyle name="40% - Akzent2 7 2 3 5" xfId="3826"/>
    <cellStyle name="40% - Akzent2 7 2 4" xfId="3827"/>
    <cellStyle name="40% - Akzent2 7 2 4 2" xfId="3828"/>
    <cellStyle name="40% - Akzent2 7 2 4 2 2" xfId="3829"/>
    <cellStyle name="40% - Akzent2 7 2 4 3" xfId="3830"/>
    <cellStyle name="40% - Akzent2 7 2 4 4" xfId="3831"/>
    <cellStyle name="40% - Akzent2 7 2 5" xfId="3832"/>
    <cellStyle name="40% - Akzent2 7 2 5 2" xfId="3833"/>
    <cellStyle name="40% - Akzent2 7 2 6" xfId="3834"/>
    <cellStyle name="40% - Akzent2 7 2 7" xfId="3835"/>
    <cellStyle name="40% - Akzent2 7 2 8" xfId="3836"/>
    <cellStyle name="40% - Akzent2 7 2 9" xfId="3837"/>
    <cellStyle name="40% - Akzent2 7 3" xfId="3838"/>
    <cellStyle name="40% - Akzent2 7 3 2" xfId="3839"/>
    <cellStyle name="40% - Akzent2 7 3 2 2" xfId="3840"/>
    <cellStyle name="40% - Akzent2 7 3 3" xfId="3841"/>
    <cellStyle name="40% - Akzent2 7 3 4" xfId="3842"/>
    <cellStyle name="40% - Akzent2 7 3 5" xfId="3843"/>
    <cellStyle name="40% - Akzent2 7 4" xfId="3844"/>
    <cellStyle name="40% - Akzent2 7 4 2" xfId="3845"/>
    <cellStyle name="40% - Akzent2 7 4 2 2" xfId="3846"/>
    <cellStyle name="40% - Akzent2 7 4 3" xfId="3847"/>
    <cellStyle name="40% - Akzent2 7 4 4" xfId="3848"/>
    <cellStyle name="40% - Akzent2 7 4 5" xfId="3849"/>
    <cellStyle name="40% - Akzent2 7 5" xfId="3850"/>
    <cellStyle name="40% - Akzent2 7 5 2" xfId="3851"/>
    <cellStyle name="40% - Akzent2 7 5 2 2" xfId="3852"/>
    <cellStyle name="40% - Akzent2 7 5 3" xfId="3853"/>
    <cellStyle name="40% - Akzent2 7 5 4" xfId="3854"/>
    <cellStyle name="40% - Akzent2 7 6" xfId="3855"/>
    <cellStyle name="40% - Akzent2 7 6 2" xfId="3856"/>
    <cellStyle name="40% - Akzent2 7 7" xfId="3857"/>
    <cellStyle name="40% - Akzent2 7 8" xfId="3858"/>
    <cellStyle name="40% - Akzent2 7 9" xfId="3859"/>
    <cellStyle name="40% - Akzent2 8" xfId="3860"/>
    <cellStyle name="40% - Akzent2 8 2" xfId="3861"/>
    <cellStyle name="40% - Akzent2 8 2 2" xfId="3862"/>
    <cellStyle name="40% - Akzent2 8 2 2 2" xfId="3863"/>
    <cellStyle name="40% - Akzent2 8 2 3" xfId="3864"/>
    <cellStyle name="40% - Akzent2 8 2 4" xfId="3865"/>
    <cellStyle name="40% - Akzent2 8 2 5" xfId="3866"/>
    <cellStyle name="40% - Akzent2 8 3" xfId="3867"/>
    <cellStyle name="40% - Akzent2 8 3 2" xfId="3868"/>
    <cellStyle name="40% - Akzent2 8 3 2 2" xfId="3869"/>
    <cellStyle name="40% - Akzent2 8 3 3" xfId="3870"/>
    <cellStyle name="40% - Akzent2 8 3 4" xfId="3871"/>
    <cellStyle name="40% - Akzent2 8 3 5" xfId="3872"/>
    <cellStyle name="40% - Akzent2 8 4" xfId="3873"/>
    <cellStyle name="40% - Akzent2 8 4 2" xfId="3874"/>
    <cellStyle name="40% - Akzent2 8 4 2 2" xfId="3875"/>
    <cellStyle name="40% - Akzent2 8 4 3" xfId="3876"/>
    <cellStyle name="40% - Akzent2 8 4 4" xfId="3877"/>
    <cellStyle name="40% - Akzent2 8 5" xfId="3878"/>
    <cellStyle name="40% - Akzent2 8 5 2" xfId="3879"/>
    <cellStyle name="40% - Akzent2 8 6" xfId="3880"/>
    <cellStyle name="40% - Akzent2 8 7" xfId="3881"/>
    <cellStyle name="40% - Akzent2 8 8" xfId="3882"/>
    <cellStyle name="40% - Akzent2 8 9" xfId="3883"/>
    <cellStyle name="40% - Akzent2 9" xfId="3884"/>
    <cellStyle name="40% - Akzent2 9 2" xfId="3885"/>
    <cellStyle name="40% - Akzent2 9 2 2" xfId="3886"/>
    <cellStyle name="40% - Akzent2 9 3" xfId="3887"/>
    <cellStyle name="40% - Akzent2 9 4" xfId="3888"/>
    <cellStyle name="40% - Akzent2 9 5" xfId="3889"/>
    <cellStyle name="40% - Akzent3 10" xfId="3890"/>
    <cellStyle name="40% - Akzent3 10 2" xfId="3891"/>
    <cellStyle name="40% - Akzent3 11" xfId="3892"/>
    <cellStyle name="40% - Akzent3 2" xfId="3893"/>
    <cellStyle name="40% - Akzent3 2 2" xfId="3894"/>
    <cellStyle name="40% - Akzent3 3" xfId="3895"/>
    <cellStyle name="40% - Akzent3 3 10" xfId="3896"/>
    <cellStyle name="40% - Akzent3 3 10 2" xfId="3897"/>
    <cellStyle name="40% - Akzent3 3 11" xfId="3898"/>
    <cellStyle name="40% - Akzent3 3 12" xfId="3899"/>
    <cellStyle name="40% - Akzent3 3 13" xfId="3900"/>
    <cellStyle name="40% - Akzent3 3 14" xfId="3901"/>
    <cellStyle name="40% - Akzent3 3 2" xfId="3902"/>
    <cellStyle name="40% - Akzent3 3 2 10" xfId="3903"/>
    <cellStyle name="40% - Akzent3 3 2 11" xfId="3904"/>
    <cellStyle name="40% - Akzent3 3 2 2" xfId="3905"/>
    <cellStyle name="40% - Akzent3 3 2 2 10" xfId="3906"/>
    <cellStyle name="40% - Akzent3 3 2 2 2" xfId="3907"/>
    <cellStyle name="40% - Akzent3 3 2 2 2 2" xfId="3908"/>
    <cellStyle name="40% - Akzent3 3 2 2 2 2 2" xfId="3909"/>
    <cellStyle name="40% - Akzent3 3 2 2 2 2 2 2" xfId="3910"/>
    <cellStyle name="40% - Akzent3 3 2 2 2 2 3" xfId="3911"/>
    <cellStyle name="40% - Akzent3 3 2 2 2 2 4" xfId="3912"/>
    <cellStyle name="40% - Akzent3 3 2 2 2 2 5" xfId="3913"/>
    <cellStyle name="40% - Akzent3 3 2 2 2 3" xfId="3914"/>
    <cellStyle name="40% - Akzent3 3 2 2 2 3 2" xfId="3915"/>
    <cellStyle name="40% - Akzent3 3 2 2 2 3 2 2" xfId="3916"/>
    <cellStyle name="40% - Akzent3 3 2 2 2 3 3" xfId="3917"/>
    <cellStyle name="40% - Akzent3 3 2 2 2 3 4" xfId="3918"/>
    <cellStyle name="40% - Akzent3 3 2 2 2 3 5" xfId="3919"/>
    <cellStyle name="40% - Akzent3 3 2 2 2 4" xfId="3920"/>
    <cellStyle name="40% - Akzent3 3 2 2 2 4 2" xfId="3921"/>
    <cellStyle name="40% - Akzent3 3 2 2 2 4 2 2" xfId="3922"/>
    <cellStyle name="40% - Akzent3 3 2 2 2 4 3" xfId="3923"/>
    <cellStyle name="40% - Akzent3 3 2 2 2 4 4" xfId="3924"/>
    <cellStyle name="40% - Akzent3 3 2 2 2 5" xfId="3925"/>
    <cellStyle name="40% - Akzent3 3 2 2 2 5 2" xfId="3926"/>
    <cellStyle name="40% - Akzent3 3 2 2 2 6" xfId="3927"/>
    <cellStyle name="40% - Akzent3 3 2 2 2 7" xfId="3928"/>
    <cellStyle name="40% - Akzent3 3 2 2 2 8" xfId="3929"/>
    <cellStyle name="40% - Akzent3 3 2 2 2 9" xfId="3930"/>
    <cellStyle name="40% - Akzent3 3 2 2 3" xfId="3931"/>
    <cellStyle name="40% - Akzent3 3 2 2 3 2" xfId="3932"/>
    <cellStyle name="40% - Akzent3 3 2 2 3 2 2" xfId="3933"/>
    <cellStyle name="40% - Akzent3 3 2 2 3 3" xfId="3934"/>
    <cellStyle name="40% - Akzent3 3 2 2 3 4" xfId="3935"/>
    <cellStyle name="40% - Akzent3 3 2 2 3 5" xfId="3936"/>
    <cellStyle name="40% - Akzent3 3 2 2 4" xfId="3937"/>
    <cellStyle name="40% - Akzent3 3 2 2 4 2" xfId="3938"/>
    <cellStyle name="40% - Akzent3 3 2 2 4 2 2" xfId="3939"/>
    <cellStyle name="40% - Akzent3 3 2 2 4 3" xfId="3940"/>
    <cellStyle name="40% - Akzent3 3 2 2 4 4" xfId="3941"/>
    <cellStyle name="40% - Akzent3 3 2 2 4 5" xfId="3942"/>
    <cellStyle name="40% - Akzent3 3 2 2 5" xfId="3943"/>
    <cellStyle name="40% - Akzent3 3 2 2 5 2" xfId="3944"/>
    <cellStyle name="40% - Akzent3 3 2 2 5 2 2" xfId="3945"/>
    <cellStyle name="40% - Akzent3 3 2 2 5 3" xfId="3946"/>
    <cellStyle name="40% - Akzent3 3 2 2 5 4" xfId="3947"/>
    <cellStyle name="40% - Akzent3 3 2 2 6" xfId="3948"/>
    <cellStyle name="40% - Akzent3 3 2 2 6 2" xfId="3949"/>
    <cellStyle name="40% - Akzent3 3 2 2 7" xfId="3950"/>
    <cellStyle name="40% - Akzent3 3 2 2 8" xfId="3951"/>
    <cellStyle name="40% - Akzent3 3 2 2 9" xfId="3952"/>
    <cellStyle name="40% - Akzent3 3 2 3" xfId="3953"/>
    <cellStyle name="40% - Akzent3 3 2 3 2" xfId="3954"/>
    <cellStyle name="40% - Akzent3 3 2 3 2 2" xfId="3955"/>
    <cellStyle name="40% - Akzent3 3 2 3 2 2 2" xfId="3956"/>
    <cellStyle name="40% - Akzent3 3 2 3 2 3" xfId="3957"/>
    <cellStyle name="40% - Akzent3 3 2 3 2 4" xfId="3958"/>
    <cellStyle name="40% - Akzent3 3 2 3 2 5" xfId="3959"/>
    <cellStyle name="40% - Akzent3 3 2 3 3" xfId="3960"/>
    <cellStyle name="40% - Akzent3 3 2 3 3 2" xfId="3961"/>
    <cellStyle name="40% - Akzent3 3 2 3 3 2 2" xfId="3962"/>
    <cellStyle name="40% - Akzent3 3 2 3 3 3" xfId="3963"/>
    <cellStyle name="40% - Akzent3 3 2 3 3 4" xfId="3964"/>
    <cellStyle name="40% - Akzent3 3 2 3 3 5" xfId="3965"/>
    <cellStyle name="40% - Akzent3 3 2 3 4" xfId="3966"/>
    <cellStyle name="40% - Akzent3 3 2 3 4 2" xfId="3967"/>
    <cellStyle name="40% - Akzent3 3 2 3 4 2 2" xfId="3968"/>
    <cellStyle name="40% - Akzent3 3 2 3 4 3" xfId="3969"/>
    <cellStyle name="40% - Akzent3 3 2 3 4 4" xfId="3970"/>
    <cellStyle name="40% - Akzent3 3 2 3 5" xfId="3971"/>
    <cellStyle name="40% - Akzent3 3 2 3 5 2" xfId="3972"/>
    <cellStyle name="40% - Akzent3 3 2 3 6" xfId="3973"/>
    <cellStyle name="40% - Akzent3 3 2 3 7" xfId="3974"/>
    <cellStyle name="40% - Akzent3 3 2 3 8" xfId="3975"/>
    <cellStyle name="40% - Akzent3 3 2 3 9" xfId="3976"/>
    <cellStyle name="40% - Akzent3 3 2 4" xfId="3977"/>
    <cellStyle name="40% - Akzent3 3 2 4 2" xfId="3978"/>
    <cellStyle name="40% - Akzent3 3 2 4 2 2" xfId="3979"/>
    <cellStyle name="40% - Akzent3 3 2 4 3" xfId="3980"/>
    <cellStyle name="40% - Akzent3 3 2 4 4" xfId="3981"/>
    <cellStyle name="40% - Akzent3 3 2 4 5" xfId="3982"/>
    <cellStyle name="40% - Akzent3 3 2 5" xfId="3983"/>
    <cellStyle name="40% - Akzent3 3 2 5 2" xfId="3984"/>
    <cellStyle name="40% - Akzent3 3 2 5 2 2" xfId="3985"/>
    <cellStyle name="40% - Akzent3 3 2 5 3" xfId="3986"/>
    <cellStyle name="40% - Akzent3 3 2 5 4" xfId="3987"/>
    <cellStyle name="40% - Akzent3 3 2 5 5" xfId="3988"/>
    <cellStyle name="40% - Akzent3 3 2 6" xfId="3989"/>
    <cellStyle name="40% - Akzent3 3 2 6 2" xfId="3990"/>
    <cellStyle name="40% - Akzent3 3 2 6 2 2" xfId="3991"/>
    <cellStyle name="40% - Akzent3 3 2 6 3" xfId="3992"/>
    <cellStyle name="40% - Akzent3 3 2 6 4" xfId="3993"/>
    <cellStyle name="40% - Akzent3 3 2 7" xfId="3994"/>
    <cellStyle name="40% - Akzent3 3 2 7 2" xfId="3995"/>
    <cellStyle name="40% - Akzent3 3 2 8" xfId="3996"/>
    <cellStyle name="40% - Akzent3 3 2 9" xfId="3997"/>
    <cellStyle name="40% - Akzent3 3 3" xfId="3998"/>
    <cellStyle name="40% - Akzent3 3 3 10" xfId="3999"/>
    <cellStyle name="40% - Akzent3 3 3 11" xfId="4000"/>
    <cellStyle name="40% - Akzent3 3 3 2" xfId="4001"/>
    <cellStyle name="40% - Akzent3 3 3 2 10" xfId="4002"/>
    <cellStyle name="40% - Akzent3 3 3 2 2" xfId="4003"/>
    <cellStyle name="40% - Akzent3 3 3 2 2 2" xfId="4004"/>
    <cellStyle name="40% - Akzent3 3 3 2 2 2 2" xfId="4005"/>
    <cellStyle name="40% - Akzent3 3 3 2 2 2 2 2" xfId="4006"/>
    <cellStyle name="40% - Akzent3 3 3 2 2 2 3" xfId="4007"/>
    <cellStyle name="40% - Akzent3 3 3 2 2 2 4" xfId="4008"/>
    <cellStyle name="40% - Akzent3 3 3 2 2 2 5" xfId="4009"/>
    <cellStyle name="40% - Akzent3 3 3 2 2 3" xfId="4010"/>
    <cellStyle name="40% - Akzent3 3 3 2 2 3 2" xfId="4011"/>
    <cellStyle name="40% - Akzent3 3 3 2 2 3 2 2" xfId="4012"/>
    <cellStyle name="40% - Akzent3 3 3 2 2 3 3" xfId="4013"/>
    <cellStyle name="40% - Akzent3 3 3 2 2 3 4" xfId="4014"/>
    <cellStyle name="40% - Akzent3 3 3 2 2 3 5" xfId="4015"/>
    <cellStyle name="40% - Akzent3 3 3 2 2 4" xfId="4016"/>
    <cellStyle name="40% - Akzent3 3 3 2 2 4 2" xfId="4017"/>
    <cellStyle name="40% - Akzent3 3 3 2 2 4 2 2" xfId="4018"/>
    <cellStyle name="40% - Akzent3 3 3 2 2 4 3" xfId="4019"/>
    <cellStyle name="40% - Akzent3 3 3 2 2 4 4" xfId="4020"/>
    <cellStyle name="40% - Akzent3 3 3 2 2 5" xfId="4021"/>
    <cellStyle name="40% - Akzent3 3 3 2 2 5 2" xfId="4022"/>
    <cellStyle name="40% - Akzent3 3 3 2 2 6" xfId="4023"/>
    <cellStyle name="40% - Akzent3 3 3 2 2 7" xfId="4024"/>
    <cellStyle name="40% - Akzent3 3 3 2 2 8" xfId="4025"/>
    <cellStyle name="40% - Akzent3 3 3 2 2 9" xfId="4026"/>
    <cellStyle name="40% - Akzent3 3 3 2 3" xfId="4027"/>
    <cellStyle name="40% - Akzent3 3 3 2 3 2" xfId="4028"/>
    <cellStyle name="40% - Akzent3 3 3 2 3 2 2" xfId="4029"/>
    <cellStyle name="40% - Akzent3 3 3 2 3 3" xfId="4030"/>
    <cellStyle name="40% - Akzent3 3 3 2 3 4" xfId="4031"/>
    <cellStyle name="40% - Akzent3 3 3 2 3 5" xfId="4032"/>
    <cellStyle name="40% - Akzent3 3 3 2 4" xfId="4033"/>
    <cellStyle name="40% - Akzent3 3 3 2 4 2" xfId="4034"/>
    <cellStyle name="40% - Akzent3 3 3 2 4 2 2" xfId="4035"/>
    <cellStyle name="40% - Akzent3 3 3 2 4 3" xfId="4036"/>
    <cellStyle name="40% - Akzent3 3 3 2 4 4" xfId="4037"/>
    <cellStyle name="40% - Akzent3 3 3 2 4 5" xfId="4038"/>
    <cellStyle name="40% - Akzent3 3 3 2 5" xfId="4039"/>
    <cellStyle name="40% - Akzent3 3 3 2 5 2" xfId="4040"/>
    <cellStyle name="40% - Akzent3 3 3 2 5 2 2" xfId="4041"/>
    <cellStyle name="40% - Akzent3 3 3 2 5 3" xfId="4042"/>
    <cellStyle name="40% - Akzent3 3 3 2 5 4" xfId="4043"/>
    <cellStyle name="40% - Akzent3 3 3 2 6" xfId="4044"/>
    <cellStyle name="40% - Akzent3 3 3 2 6 2" xfId="4045"/>
    <cellStyle name="40% - Akzent3 3 3 2 7" xfId="4046"/>
    <cellStyle name="40% - Akzent3 3 3 2 8" xfId="4047"/>
    <cellStyle name="40% - Akzent3 3 3 2 9" xfId="4048"/>
    <cellStyle name="40% - Akzent3 3 3 3" xfId="4049"/>
    <cellStyle name="40% - Akzent3 3 3 3 2" xfId="4050"/>
    <cellStyle name="40% - Akzent3 3 3 3 2 2" xfId="4051"/>
    <cellStyle name="40% - Akzent3 3 3 3 2 2 2" xfId="4052"/>
    <cellStyle name="40% - Akzent3 3 3 3 2 3" xfId="4053"/>
    <cellStyle name="40% - Akzent3 3 3 3 2 4" xfId="4054"/>
    <cellStyle name="40% - Akzent3 3 3 3 2 5" xfId="4055"/>
    <cellStyle name="40% - Akzent3 3 3 3 3" xfId="4056"/>
    <cellStyle name="40% - Akzent3 3 3 3 3 2" xfId="4057"/>
    <cellStyle name="40% - Akzent3 3 3 3 3 2 2" xfId="4058"/>
    <cellStyle name="40% - Akzent3 3 3 3 3 3" xfId="4059"/>
    <cellStyle name="40% - Akzent3 3 3 3 3 4" xfId="4060"/>
    <cellStyle name="40% - Akzent3 3 3 3 3 5" xfId="4061"/>
    <cellStyle name="40% - Akzent3 3 3 3 4" xfId="4062"/>
    <cellStyle name="40% - Akzent3 3 3 3 4 2" xfId="4063"/>
    <cellStyle name="40% - Akzent3 3 3 3 4 2 2" xfId="4064"/>
    <cellStyle name="40% - Akzent3 3 3 3 4 3" xfId="4065"/>
    <cellStyle name="40% - Akzent3 3 3 3 4 4" xfId="4066"/>
    <cellStyle name="40% - Akzent3 3 3 3 5" xfId="4067"/>
    <cellStyle name="40% - Akzent3 3 3 3 5 2" xfId="4068"/>
    <cellStyle name="40% - Akzent3 3 3 3 6" xfId="4069"/>
    <cellStyle name="40% - Akzent3 3 3 3 7" xfId="4070"/>
    <cellStyle name="40% - Akzent3 3 3 3 8" xfId="4071"/>
    <cellStyle name="40% - Akzent3 3 3 3 9" xfId="4072"/>
    <cellStyle name="40% - Akzent3 3 3 4" xfId="4073"/>
    <cellStyle name="40% - Akzent3 3 3 4 2" xfId="4074"/>
    <cellStyle name="40% - Akzent3 3 3 4 2 2" xfId="4075"/>
    <cellStyle name="40% - Akzent3 3 3 4 3" xfId="4076"/>
    <cellStyle name="40% - Akzent3 3 3 4 4" xfId="4077"/>
    <cellStyle name="40% - Akzent3 3 3 4 5" xfId="4078"/>
    <cellStyle name="40% - Akzent3 3 3 5" xfId="4079"/>
    <cellStyle name="40% - Akzent3 3 3 5 2" xfId="4080"/>
    <cellStyle name="40% - Akzent3 3 3 5 2 2" xfId="4081"/>
    <cellStyle name="40% - Akzent3 3 3 5 3" xfId="4082"/>
    <cellStyle name="40% - Akzent3 3 3 5 4" xfId="4083"/>
    <cellStyle name="40% - Akzent3 3 3 5 5" xfId="4084"/>
    <cellStyle name="40% - Akzent3 3 3 6" xfId="4085"/>
    <cellStyle name="40% - Akzent3 3 3 6 2" xfId="4086"/>
    <cellStyle name="40% - Akzent3 3 3 6 2 2" xfId="4087"/>
    <cellStyle name="40% - Akzent3 3 3 6 3" xfId="4088"/>
    <cellStyle name="40% - Akzent3 3 3 6 4" xfId="4089"/>
    <cellStyle name="40% - Akzent3 3 3 7" xfId="4090"/>
    <cellStyle name="40% - Akzent3 3 3 7 2" xfId="4091"/>
    <cellStyle name="40% - Akzent3 3 3 8" xfId="4092"/>
    <cellStyle name="40% - Akzent3 3 3 9" xfId="4093"/>
    <cellStyle name="40% - Akzent3 3 4" xfId="4094"/>
    <cellStyle name="40% - Akzent3 3 4 10" xfId="4095"/>
    <cellStyle name="40% - Akzent3 3 4 2" xfId="4096"/>
    <cellStyle name="40% - Akzent3 3 4 2 2" xfId="4097"/>
    <cellStyle name="40% - Akzent3 3 4 2 2 2" xfId="4098"/>
    <cellStyle name="40% - Akzent3 3 4 2 2 2 2" xfId="4099"/>
    <cellStyle name="40% - Akzent3 3 4 2 2 3" xfId="4100"/>
    <cellStyle name="40% - Akzent3 3 4 2 2 4" xfId="4101"/>
    <cellStyle name="40% - Akzent3 3 4 2 2 5" xfId="4102"/>
    <cellStyle name="40% - Akzent3 3 4 2 3" xfId="4103"/>
    <cellStyle name="40% - Akzent3 3 4 2 3 2" xfId="4104"/>
    <cellStyle name="40% - Akzent3 3 4 2 3 2 2" xfId="4105"/>
    <cellStyle name="40% - Akzent3 3 4 2 3 3" xfId="4106"/>
    <cellStyle name="40% - Akzent3 3 4 2 3 4" xfId="4107"/>
    <cellStyle name="40% - Akzent3 3 4 2 3 5" xfId="4108"/>
    <cellStyle name="40% - Akzent3 3 4 2 4" xfId="4109"/>
    <cellStyle name="40% - Akzent3 3 4 2 4 2" xfId="4110"/>
    <cellStyle name="40% - Akzent3 3 4 2 4 2 2" xfId="4111"/>
    <cellStyle name="40% - Akzent3 3 4 2 4 3" xfId="4112"/>
    <cellStyle name="40% - Akzent3 3 4 2 4 4" xfId="4113"/>
    <cellStyle name="40% - Akzent3 3 4 2 5" xfId="4114"/>
    <cellStyle name="40% - Akzent3 3 4 2 5 2" xfId="4115"/>
    <cellStyle name="40% - Akzent3 3 4 2 6" xfId="4116"/>
    <cellStyle name="40% - Akzent3 3 4 2 7" xfId="4117"/>
    <cellStyle name="40% - Akzent3 3 4 2 8" xfId="4118"/>
    <cellStyle name="40% - Akzent3 3 4 2 9" xfId="4119"/>
    <cellStyle name="40% - Akzent3 3 4 3" xfId="4120"/>
    <cellStyle name="40% - Akzent3 3 4 3 2" xfId="4121"/>
    <cellStyle name="40% - Akzent3 3 4 3 2 2" xfId="4122"/>
    <cellStyle name="40% - Akzent3 3 4 3 3" xfId="4123"/>
    <cellStyle name="40% - Akzent3 3 4 3 4" xfId="4124"/>
    <cellStyle name="40% - Akzent3 3 4 3 5" xfId="4125"/>
    <cellStyle name="40% - Akzent3 3 4 4" xfId="4126"/>
    <cellStyle name="40% - Akzent3 3 4 4 2" xfId="4127"/>
    <cellStyle name="40% - Akzent3 3 4 4 2 2" xfId="4128"/>
    <cellStyle name="40% - Akzent3 3 4 4 3" xfId="4129"/>
    <cellStyle name="40% - Akzent3 3 4 4 4" xfId="4130"/>
    <cellStyle name="40% - Akzent3 3 4 4 5" xfId="4131"/>
    <cellStyle name="40% - Akzent3 3 4 5" xfId="4132"/>
    <cellStyle name="40% - Akzent3 3 4 5 2" xfId="4133"/>
    <cellStyle name="40% - Akzent3 3 4 5 2 2" xfId="4134"/>
    <cellStyle name="40% - Akzent3 3 4 5 3" xfId="4135"/>
    <cellStyle name="40% - Akzent3 3 4 5 4" xfId="4136"/>
    <cellStyle name="40% - Akzent3 3 4 6" xfId="4137"/>
    <cellStyle name="40% - Akzent3 3 4 6 2" xfId="4138"/>
    <cellStyle name="40% - Akzent3 3 4 7" xfId="4139"/>
    <cellStyle name="40% - Akzent3 3 4 8" xfId="4140"/>
    <cellStyle name="40% - Akzent3 3 4 9" xfId="4141"/>
    <cellStyle name="40% - Akzent3 3 5" xfId="4142"/>
    <cellStyle name="40% - Akzent3 3 5 10" xfId="4143"/>
    <cellStyle name="40% - Akzent3 3 5 2" xfId="4144"/>
    <cellStyle name="40% - Akzent3 3 5 2 2" xfId="4145"/>
    <cellStyle name="40% - Akzent3 3 5 2 2 2" xfId="4146"/>
    <cellStyle name="40% - Akzent3 3 5 2 2 2 2" xfId="4147"/>
    <cellStyle name="40% - Akzent3 3 5 2 2 3" xfId="4148"/>
    <cellStyle name="40% - Akzent3 3 5 2 2 4" xfId="4149"/>
    <cellStyle name="40% - Akzent3 3 5 2 2 5" xfId="4150"/>
    <cellStyle name="40% - Akzent3 3 5 2 3" xfId="4151"/>
    <cellStyle name="40% - Akzent3 3 5 2 3 2" xfId="4152"/>
    <cellStyle name="40% - Akzent3 3 5 2 3 2 2" xfId="4153"/>
    <cellStyle name="40% - Akzent3 3 5 2 3 3" xfId="4154"/>
    <cellStyle name="40% - Akzent3 3 5 2 3 4" xfId="4155"/>
    <cellStyle name="40% - Akzent3 3 5 2 3 5" xfId="4156"/>
    <cellStyle name="40% - Akzent3 3 5 2 4" xfId="4157"/>
    <cellStyle name="40% - Akzent3 3 5 2 4 2" xfId="4158"/>
    <cellStyle name="40% - Akzent3 3 5 2 4 2 2" xfId="4159"/>
    <cellStyle name="40% - Akzent3 3 5 2 4 3" xfId="4160"/>
    <cellStyle name="40% - Akzent3 3 5 2 4 4" xfId="4161"/>
    <cellStyle name="40% - Akzent3 3 5 2 5" xfId="4162"/>
    <cellStyle name="40% - Akzent3 3 5 2 5 2" xfId="4163"/>
    <cellStyle name="40% - Akzent3 3 5 2 6" xfId="4164"/>
    <cellStyle name="40% - Akzent3 3 5 2 7" xfId="4165"/>
    <cellStyle name="40% - Akzent3 3 5 2 8" xfId="4166"/>
    <cellStyle name="40% - Akzent3 3 5 2 9" xfId="4167"/>
    <cellStyle name="40% - Akzent3 3 5 3" xfId="4168"/>
    <cellStyle name="40% - Akzent3 3 5 3 2" xfId="4169"/>
    <cellStyle name="40% - Akzent3 3 5 3 2 2" xfId="4170"/>
    <cellStyle name="40% - Akzent3 3 5 3 3" xfId="4171"/>
    <cellStyle name="40% - Akzent3 3 5 3 4" xfId="4172"/>
    <cellStyle name="40% - Akzent3 3 5 3 5" xfId="4173"/>
    <cellStyle name="40% - Akzent3 3 5 4" xfId="4174"/>
    <cellStyle name="40% - Akzent3 3 5 4 2" xfId="4175"/>
    <cellStyle name="40% - Akzent3 3 5 4 2 2" xfId="4176"/>
    <cellStyle name="40% - Akzent3 3 5 4 3" xfId="4177"/>
    <cellStyle name="40% - Akzent3 3 5 4 4" xfId="4178"/>
    <cellStyle name="40% - Akzent3 3 5 4 5" xfId="4179"/>
    <cellStyle name="40% - Akzent3 3 5 5" xfId="4180"/>
    <cellStyle name="40% - Akzent3 3 5 5 2" xfId="4181"/>
    <cellStyle name="40% - Akzent3 3 5 5 2 2" xfId="4182"/>
    <cellStyle name="40% - Akzent3 3 5 5 3" xfId="4183"/>
    <cellStyle name="40% - Akzent3 3 5 5 4" xfId="4184"/>
    <cellStyle name="40% - Akzent3 3 5 6" xfId="4185"/>
    <cellStyle name="40% - Akzent3 3 5 6 2" xfId="4186"/>
    <cellStyle name="40% - Akzent3 3 5 7" xfId="4187"/>
    <cellStyle name="40% - Akzent3 3 5 8" xfId="4188"/>
    <cellStyle name="40% - Akzent3 3 5 9" xfId="4189"/>
    <cellStyle name="40% - Akzent3 3 6" xfId="4190"/>
    <cellStyle name="40% - Akzent3 3 6 2" xfId="4191"/>
    <cellStyle name="40% - Akzent3 3 6 2 2" xfId="4192"/>
    <cellStyle name="40% - Akzent3 3 6 2 2 2" xfId="4193"/>
    <cellStyle name="40% - Akzent3 3 6 2 3" xfId="4194"/>
    <cellStyle name="40% - Akzent3 3 6 2 4" xfId="4195"/>
    <cellStyle name="40% - Akzent3 3 6 2 5" xfId="4196"/>
    <cellStyle name="40% - Akzent3 3 6 3" xfId="4197"/>
    <cellStyle name="40% - Akzent3 3 6 3 2" xfId="4198"/>
    <cellStyle name="40% - Akzent3 3 6 3 2 2" xfId="4199"/>
    <cellStyle name="40% - Akzent3 3 6 3 3" xfId="4200"/>
    <cellStyle name="40% - Akzent3 3 6 3 4" xfId="4201"/>
    <cellStyle name="40% - Akzent3 3 6 3 5" xfId="4202"/>
    <cellStyle name="40% - Akzent3 3 6 4" xfId="4203"/>
    <cellStyle name="40% - Akzent3 3 6 4 2" xfId="4204"/>
    <cellStyle name="40% - Akzent3 3 6 4 2 2" xfId="4205"/>
    <cellStyle name="40% - Akzent3 3 6 4 3" xfId="4206"/>
    <cellStyle name="40% - Akzent3 3 6 4 4" xfId="4207"/>
    <cellStyle name="40% - Akzent3 3 6 5" xfId="4208"/>
    <cellStyle name="40% - Akzent3 3 6 5 2" xfId="4209"/>
    <cellStyle name="40% - Akzent3 3 6 6" xfId="4210"/>
    <cellStyle name="40% - Akzent3 3 6 7" xfId="4211"/>
    <cellStyle name="40% - Akzent3 3 6 8" xfId="4212"/>
    <cellStyle name="40% - Akzent3 3 6 9" xfId="4213"/>
    <cellStyle name="40% - Akzent3 3 7" xfId="4214"/>
    <cellStyle name="40% - Akzent3 3 7 2" xfId="4215"/>
    <cellStyle name="40% - Akzent3 3 7 2 2" xfId="4216"/>
    <cellStyle name="40% - Akzent3 3 7 3" xfId="4217"/>
    <cellStyle name="40% - Akzent3 3 7 4" xfId="4218"/>
    <cellStyle name="40% - Akzent3 3 7 5" xfId="4219"/>
    <cellStyle name="40% - Akzent3 3 8" xfId="4220"/>
    <cellStyle name="40% - Akzent3 3 8 2" xfId="4221"/>
    <cellStyle name="40% - Akzent3 3 8 2 2" xfId="4222"/>
    <cellStyle name="40% - Akzent3 3 8 3" xfId="4223"/>
    <cellStyle name="40% - Akzent3 3 8 4" xfId="4224"/>
    <cellStyle name="40% - Akzent3 3 8 5" xfId="4225"/>
    <cellStyle name="40% - Akzent3 3 9" xfId="4226"/>
    <cellStyle name="40% - Akzent3 3 9 2" xfId="4227"/>
    <cellStyle name="40% - Akzent3 3 9 2 2" xfId="4228"/>
    <cellStyle name="40% - Akzent3 3 9 3" xfId="4229"/>
    <cellStyle name="40% - Akzent3 3 9 4" xfId="4230"/>
    <cellStyle name="40% - Akzent3 4" xfId="4231"/>
    <cellStyle name="40% - Akzent3 4 10" xfId="4232"/>
    <cellStyle name="40% - Akzent3 4 2" xfId="4233"/>
    <cellStyle name="40% - Akzent3 4 2 2" xfId="4234"/>
    <cellStyle name="40% - Akzent3 4 2 2 2" xfId="4235"/>
    <cellStyle name="40% - Akzent3 4 2 2 2 2" xfId="4236"/>
    <cellStyle name="40% - Akzent3 4 2 2 3" xfId="4237"/>
    <cellStyle name="40% - Akzent3 4 2 2 4" xfId="4238"/>
    <cellStyle name="40% - Akzent3 4 2 2 5" xfId="4239"/>
    <cellStyle name="40% - Akzent3 4 2 3" xfId="4240"/>
    <cellStyle name="40% - Akzent3 4 2 3 2" xfId="4241"/>
    <cellStyle name="40% - Akzent3 4 2 3 2 2" xfId="4242"/>
    <cellStyle name="40% - Akzent3 4 2 3 3" xfId="4243"/>
    <cellStyle name="40% - Akzent3 4 2 3 4" xfId="4244"/>
    <cellStyle name="40% - Akzent3 4 2 3 5" xfId="4245"/>
    <cellStyle name="40% - Akzent3 4 2 4" xfId="4246"/>
    <cellStyle name="40% - Akzent3 4 2 4 2" xfId="4247"/>
    <cellStyle name="40% - Akzent3 4 2 4 2 2" xfId="4248"/>
    <cellStyle name="40% - Akzent3 4 2 4 3" xfId="4249"/>
    <cellStyle name="40% - Akzent3 4 2 4 4" xfId="4250"/>
    <cellStyle name="40% - Akzent3 4 2 5" xfId="4251"/>
    <cellStyle name="40% - Akzent3 4 2 5 2" xfId="4252"/>
    <cellStyle name="40% - Akzent3 4 2 6" xfId="4253"/>
    <cellStyle name="40% - Akzent3 4 2 7" xfId="4254"/>
    <cellStyle name="40% - Akzent3 4 2 8" xfId="4255"/>
    <cellStyle name="40% - Akzent3 4 2 9" xfId="4256"/>
    <cellStyle name="40% - Akzent3 4 3" xfId="4257"/>
    <cellStyle name="40% - Akzent3 4 3 2" xfId="4258"/>
    <cellStyle name="40% - Akzent3 4 3 2 2" xfId="4259"/>
    <cellStyle name="40% - Akzent3 4 3 3" xfId="4260"/>
    <cellStyle name="40% - Akzent3 4 3 4" xfId="4261"/>
    <cellStyle name="40% - Akzent3 4 3 5" xfId="4262"/>
    <cellStyle name="40% - Akzent3 4 4" xfId="4263"/>
    <cellStyle name="40% - Akzent3 4 4 2" xfId="4264"/>
    <cellStyle name="40% - Akzent3 4 4 2 2" xfId="4265"/>
    <cellStyle name="40% - Akzent3 4 4 3" xfId="4266"/>
    <cellStyle name="40% - Akzent3 4 4 4" xfId="4267"/>
    <cellStyle name="40% - Akzent3 4 4 5" xfId="4268"/>
    <cellStyle name="40% - Akzent3 4 5" xfId="4269"/>
    <cellStyle name="40% - Akzent3 4 5 2" xfId="4270"/>
    <cellStyle name="40% - Akzent3 4 5 2 2" xfId="4271"/>
    <cellStyle name="40% - Akzent3 4 5 3" xfId="4272"/>
    <cellStyle name="40% - Akzent3 4 5 4" xfId="4273"/>
    <cellStyle name="40% - Akzent3 4 6" xfId="4274"/>
    <cellStyle name="40% - Akzent3 4 6 2" xfId="4275"/>
    <cellStyle name="40% - Akzent3 4 7" xfId="4276"/>
    <cellStyle name="40% - Akzent3 4 8" xfId="4277"/>
    <cellStyle name="40% - Akzent3 4 9" xfId="4278"/>
    <cellStyle name="40% - Akzent3 5" xfId="4279"/>
    <cellStyle name="40% - Akzent3 5 10" xfId="4280"/>
    <cellStyle name="40% - Akzent3 5 2" xfId="4281"/>
    <cellStyle name="40% - Akzent3 5 2 2" xfId="4282"/>
    <cellStyle name="40% - Akzent3 5 2 2 2" xfId="4283"/>
    <cellStyle name="40% - Akzent3 5 2 2 2 2" xfId="4284"/>
    <cellStyle name="40% - Akzent3 5 2 2 3" xfId="4285"/>
    <cellStyle name="40% - Akzent3 5 2 2 4" xfId="4286"/>
    <cellStyle name="40% - Akzent3 5 2 2 5" xfId="4287"/>
    <cellStyle name="40% - Akzent3 5 2 3" xfId="4288"/>
    <cellStyle name="40% - Akzent3 5 2 3 2" xfId="4289"/>
    <cellStyle name="40% - Akzent3 5 2 3 2 2" xfId="4290"/>
    <cellStyle name="40% - Akzent3 5 2 3 3" xfId="4291"/>
    <cellStyle name="40% - Akzent3 5 2 3 4" xfId="4292"/>
    <cellStyle name="40% - Akzent3 5 2 3 5" xfId="4293"/>
    <cellStyle name="40% - Akzent3 5 2 4" xfId="4294"/>
    <cellStyle name="40% - Akzent3 5 2 4 2" xfId="4295"/>
    <cellStyle name="40% - Akzent3 5 2 4 2 2" xfId="4296"/>
    <cellStyle name="40% - Akzent3 5 2 4 3" xfId="4297"/>
    <cellStyle name="40% - Akzent3 5 2 4 4" xfId="4298"/>
    <cellStyle name="40% - Akzent3 5 2 5" xfId="4299"/>
    <cellStyle name="40% - Akzent3 5 2 5 2" xfId="4300"/>
    <cellStyle name="40% - Akzent3 5 2 6" xfId="4301"/>
    <cellStyle name="40% - Akzent3 5 2 7" xfId="4302"/>
    <cellStyle name="40% - Akzent3 5 2 8" xfId="4303"/>
    <cellStyle name="40% - Akzent3 5 2 9" xfId="4304"/>
    <cellStyle name="40% - Akzent3 5 3" xfId="4305"/>
    <cellStyle name="40% - Akzent3 5 3 2" xfId="4306"/>
    <cellStyle name="40% - Akzent3 5 3 2 2" xfId="4307"/>
    <cellStyle name="40% - Akzent3 5 3 3" xfId="4308"/>
    <cellStyle name="40% - Akzent3 5 3 4" xfId="4309"/>
    <cellStyle name="40% - Akzent3 5 3 5" xfId="4310"/>
    <cellStyle name="40% - Akzent3 5 4" xfId="4311"/>
    <cellStyle name="40% - Akzent3 5 4 2" xfId="4312"/>
    <cellStyle name="40% - Akzent3 5 4 2 2" xfId="4313"/>
    <cellStyle name="40% - Akzent3 5 4 3" xfId="4314"/>
    <cellStyle name="40% - Akzent3 5 4 4" xfId="4315"/>
    <cellStyle name="40% - Akzent3 5 4 5" xfId="4316"/>
    <cellStyle name="40% - Akzent3 5 5" xfId="4317"/>
    <cellStyle name="40% - Akzent3 5 5 2" xfId="4318"/>
    <cellStyle name="40% - Akzent3 5 5 2 2" xfId="4319"/>
    <cellStyle name="40% - Akzent3 5 5 3" xfId="4320"/>
    <cellStyle name="40% - Akzent3 5 5 4" xfId="4321"/>
    <cellStyle name="40% - Akzent3 5 6" xfId="4322"/>
    <cellStyle name="40% - Akzent3 5 6 2" xfId="4323"/>
    <cellStyle name="40% - Akzent3 5 7" xfId="4324"/>
    <cellStyle name="40% - Akzent3 5 8" xfId="4325"/>
    <cellStyle name="40% - Akzent3 5 9" xfId="4326"/>
    <cellStyle name="40% - Akzent3 6" xfId="4327"/>
    <cellStyle name="40% - Akzent3 6 10" xfId="4328"/>
    <cellStyle name="40% - Akzent3 6 2" xfId="4329"/>
    <cellStyle name="40% - Akzent3 6 2 2" xfId="4330"/>
    <cellStyle name="40% - Akzent3 6 2 2 2" xfId="4331"/>
    <cellStyle name="40% - Akzent3 6 2 2 2 2" xfId="4332"/>
    <cellStyle name="40% - Akzent3 6 2 2 3" xfId="4333"/>
    <cellStyle name="40% - Akzent3 6 2 2 4" xfId="4334"/>
    <cellStyle name="40% - Akzent3 6 2 2 5" xfId="4335"/>
    <cellStyle name="40% - Akzent3 6 2 3" xfId="4336"/>
    <cellStyle name="40% - Akzent3 6 2 3 2" xfId="4337"/>
    <cellStyle name="40% - Akzent3 6 2 3 2 2" xfId="4338"/>
    <cellStyle name="40% - Akzent3 6 2 3 3" xfId="4339"/>
    <cellStyle name="40% - Akzent3 6 2 3 4" xfId="4340"/>
    <cellStyle name="40% - Akzent3 6 2 3 5" xfId="4341"/>
    <cellStyle name="40% - Akzent3 6 2 4" xfId="4342"/>
    <cellStyle name="40% - Akzent3 6 2 4 2" xfId="4343"/>
    <cellStyle name="40% - Akzent3 6 2 4 2 2" xfId="4344"/>
    <cellStyle name="40% - Akzent3 6 2 4 3" xfId="4345"/>
    <cellStyle name="40% - Akzent3 6 2 4 4" xfId="4346"/>
    <cellStyle name="40% - Akzent3 6 2 5" xfId="4347"/>
    <cellStyle name="40% - Akzent3 6 2 5 2" xfId="4348"/>
    <cellStyle name="40% - Akzent3 6 2 6" xfId="4349"/>
    <cellStyle name="40% - Akzent3 6 2 7" xfId="4350"/>
    <cellStyle name="40% - Akzent3 6 2 8" xfId="4351"/>
    <cellStyle name="40% - Akzent3 6 2 9" xfId="4352"/>
    <cellStyle name="40% - Akzent3 6 3" xfId="4353"/>
    <cellStyle name="40% - Akzent3 6 3 2" xfId="4354"/>
    <cellStyle name="40% - Akzent3 6 3 2 2" xfId="4355"/>
    <cellStyle name="40% - Akzent3 6 3 3" xfId="4356"/>
    <cellStyle name="40% - Akzent3 6 3 4" xfId="4357"/>
    <cellStyle name="40% - Akzent3 6 3 5" xfId="4358"/>
    <cellStyle name="40% - Akzent3 6 4" xfId="4359"/>
    <cellStyle name="40% - Akzent3 6 4 2" xfId="4360"/>
    <cellStyle name="40% - Akzent3 6 4 2 2" xfId="4361"/>
    <cellStyle name="40% - Akzent3 6 4 3" xfId="4362"/>
    <cellStyle name="40% - Akzent3 6 4 4" xfId="4363"/>
    <cellStyle name="40% - Akzent3 6 4 5" xfId="4364"/>
    <cellStyle name="40% - Akzent3 6 5" xfId="4365"/>
    <cellStyle name="40% - Akzent3 6 5 2" xfId="4366"/>
    <cellStyle name="40% - Akzent3 6 5 2 2" xfId="4367"/>
    <cellStyle name="40% - Akzent3 6 5 3" xfId="4368"/>
    <cellStyle name="40% - Akzent3 6 5 4" xfId="4369"/>
    <cellStyle name="40% - Akzent3 6 6" xfId="4370"/>
    <cellStyle name="40% - Akzent3 6 6 2" xfId="4371"/>
    <cellStyle name="40% - Akzent3 6 7" xfId="4372"/>
    <cellStyle name="40% - Akzent3 6 8" xfId="4373"/>
    <cellStyle name="40% - Akzent3 6 9" xfId="4374"/>
    <cellStyle name="40% - Akzent3 7" xfId="4375"/>
    <cellStyle name="40% - Akzent3 7 2" xfId="4376"/>
    <cellStyle name="40% - Akzent3 7 2 2" xfId="4377"/>
    <cellStyle name="40% - Akzent3 7 3" xfId="4378"/>
    <cellStyle name="40% - Akzent3 7 4" xfId="4379"/>
    <cellStyle name="40% - Akzent3 7 5" xfId="4380"/>
    <cellStyle name="40% - Akzent3 8" xfId="4381"/>
    <cellStyle name="40% - Akzent3 8 2" xfId="4382"/>
    <cellStyle name="40% - Akzent3 8 2 2" xfId="4383"/>
    <cellStyle name="40% - Akzent3 8 3" xfId="4384"/>
    <cellStyle name="40% - Akzent3 8 4" xfId="4385"/>
    <cellStyle name="40% - Akzent3 8 5" xfId="4386"/>
    <cellStyle name="40% - Akzent3 9" xfId="4387"/>
    <cellStyle name="40% - Akzent3 9 2" xfId="4388"/>
    <cellStyle name="40% - Akzent3 9 2 2" xfId="4389"/>
    <cellStyle name="40% - Akzent3 9 3" xfId="4390"/>
    <cellStyle name="40% - Akzent4 10" xfId="4391"/>
    <cellStyle name="40% - Akzent4 10 2" xfId="4392"/>
    <cellStyle name="40% - Akzent4 11" xfId="4393"/>
    <cellStyle name="40% - Akzent4 2" xfId="4394"/>
    <cellStyle name="40% - Akzent4 2 2" xfId="4395"/>
    <cellStyle name="40% - Akzent4 3" xfId="4396"/>
    <cellStyle name="40% - Akzent4 3 10" xfId="4397"/>
    <cellStyle name="40% - Akzent4 3 10 2" xfId="4398"/>
    <cellStyle name="40% - Akzent4 3 11" xfId="4399"/>
    <cellStyle name="40% - Akzent4 3 12" xfId="4400"/>
    <cellStyle name="40% - Akzent4 3 13" xfId="4401"/>
    <cellStyle name="40% - Akzent4 3 14" xfId="4402"/>
    <cellStyle name="40% - Akzent4 3 2" xfId="4403"/>
    <cellStyle name="40% - Akzent4 3 2 10" xfId="4404"/>
    <cellStyle name="40% - Akzent4 3 2 11" xfId="4405"/>
    <cellStyle name="40% - Akzent4 3 2 2" xfId="4406"/>
    <cellStyle name="40% - Akzent4 3 2 2 10" xfId="4407"/>
    <cellStyle name="40% - Akzent4 3 2 2 2" xfId="4408"/>
    <cellStyle name="40% - Akzent4 3 2 2 2 2" xfId="4409"/>
    <cellStyle name="40% - Akzent4 3 2 2 2 2 2" xfId="4410"/>
    <cellStyle name="40% - Akzent4 3 2 2 2 2 2 2" xfId="4411"/>
    <cellStyle name="40% - Akzent4 3 2 2 2 2 3" xfId="4412"/>
    <cellStyle name="40% - Akzent4 3 2 2 2 2 4" xfId="4413"/>
    <cellStyle name="40% - Akzent4 3 2 2 2 2 5" xfId="4414"/>
    <cellStyle name="40% - Akzent4 3 2 2 2 3" xfId="4415"/>
    <cellStyle name="40% - Akzent4 3 2 2 2 3 2" xfId="4416"/>
    <cellStyle name="40% - Akzent4 3 2 2 2 3 2 2" xfId="4417"/>
    <cellStyle name="40% - Akzent4 3 2 2 2 3 3" xfId="4418"/>
    <cellStyle name="40% - Akzent4 3 2 2 2 3 4" xfId="4419"/>
    <cellStyle name="40% - Akzent4 3 2 2 2 3 5" xfId="4420"/>
    <cellStyle name="40% - Akzent4 3 2 2 2 4" xfId="4421"/>
    <cellStyle name="40% - Akzent4 3 2 2 2 4 2" xfId="4422"/>
    <cellStyle name="40% - Akzent4 3 2 2 2 4 2 2" xfId="4423"/>
    <cellStyle name="40% - Akzent4 3 2 2 2 4 3" xfId="4424"/>
    <cellStyle name="40% - Akzent4 3 2 2 2 4 4" xfId="4425"/>
    <cellStyle name="40% - Akzent4 3 2 2 2 5" xfId="4426"/>
    <cellStyle name="40% - Akzent4 3 2 2 2 5 2" xfId="4427"/>
    <cellStyle name="40% - Akzent4 3 2 2 2 6" xfId="4428"/>
    <cellStyle name="40% - Akzent4 3 2 2 2 7" xfId="4429"/>
    <cellStyle name="40% - Akzent4 3 2 2 2 8" xfId="4430"/>
    <cellStyle name="40% - Akzent4 3 2 2 2 9" xfId="4431"/>
    <cellStyle name="40% - Akzent4 3 2 2 3" xfId="4432"/>
    <cellStyle name="40% - Akzent4 3 2 2 3 2" xfId="4433"/>
    <cellStyle name="40% - Akzent4 3 2 2 3 2 2" xfId="4434"/>
    <cellStyle name="40% - Akzent4 3 2 2 3 3" xfId="4435"/>
    <cellStyle name="40% - Akzent4 3 2 2 3 4" xfId="4436"/>
    <cellStyle name="40% - Akzent4 3 2 2 3 5" xfId="4437"/>
    <cellStyle name="40% - Akzent4 3 2 2 4" xfId="4438"/>
    <cellStyle name="40% - Akzent4 3 2 2 4 2" xfId="4439"/>
    <cellStyle name="40% - Akzent4 3 2 2 4 2 2" xfId="4440"/>
    <cellStyle name="40% - Akzent4 3 2 2 4 3" xfId="4441"/>
    <cellStyle name="40% - Akzent4 3 2 2 4 4" xfId="4442"/>
    <cellStyle name="40% - Akzent4 3 2 2 4 5" xfId="4443"/>
    <cellStyle name="40% - Akzent4 3 2 2 5" xfId="4444"/>
    <cellStyle name="40% - Akzent4 3 2 2 5 2" xfId="4445"/>
    <cellStyle name="40% - Akzent4 3 2 2 5 2 2" xfId="4446"/>
    <cellStyle name="40% - Akzent4 3 2 2 5 3" xfId="4447"/>
    <cellStyle name="40% - Akzent4 3 2 2 5 4" xfId="4448"/>
    <cellStyle name="40% - Akzent4 3 2 2 6" xfId="4449"/>
    <cellStyle name="40% - Akzent4 3 2 2 6 2" xfId="4450"/>
    <cellStyle name="40% - Akzent4 3 2 2 7" xfId="4451"/>
    <cellStyle name="40% - Akzent4 3 2 2 8" xfId="4452"/>
    <cellStyle name="40% - Akzent4 3 2 2 9" xfId="4453"/>
    <cellStyle name="40% - Akzent4 3 2 3" xfId="4454"/>
    <cellStyle name="40% - Akzent4 3 2 3 2" xfId="4455"/>
    <cellStyle name="40% - Akzent4 3 2 3 2 2" xfId="4456"/>
    <cellStyle name="40% - Akzent4 3 2 3 2 2 2" xfId="4457"/>
    <cellStyle name="40% - Akzent4 3 2 3 2 3" xfId="4458"/>
    <cellStyle name="40% - Akzent4 3 2 3 2 4" xfId="4459"/>
    <cellStyle name="40% - Akzent4 3 2 3 2 5" xfId="4460"/>
    <cellStyle name="40% - Akzent4 3 2 3 3" xfId="4461"/>
    <cellStyle name="40% - Akzent4 3 2 3 3 2" xfId="4462"/>
    <cellStyle name="40% - Akzent4 3 2 3 3 2 2" xfId="4463"/>
    <cellStyle name="40% - Akzent4 3 2 3 3 3" xfId="4464"/>
    <cellStyle name="40% - Akzent4 3 2 3 3 4" xfId="4465"/>
    <cellStyle name="40% - Akzent4 3 2 3 3 5" xfId="4466"/>
    <cellStyle name="40% - Akzent4 3 2 3 4" xfId="4467"/>
    <cellStyle name="40% - Akzent4 3 2 3 4 2" xfId="4468"/>
    <cellStyle name="40% - Akzent4 3 2 3 4 2 2" xfId="4469"/>
    <cellStyle name="40% - Akzent4 3 2 3 4 3" xfId="4470"/>
    <cellStyle name="40% - Akzent4 3 2 3 4 4" xfId="4471"/>
    <cellStyle name="40% - Akzent4 3 2 3 5" xfId="4472"/>
    <cellStyle name="40% - Akzent4 3 2 3 5 2" xfId="4473"/>
    <cellStyle name="40% - Akzent4 3 2 3 6" xfId="4474"/>
    <cellStyle name="40% - Akzent4 3 2 3 7" xfId="4475"/>
    <cellStyle name="40% - Akzent4 3 2 3 8" xfId="4476"/>
    <cellStyle name="40% - Akzent4 3 2 3 9" xfId="4477"/>
    <cellStyle name="40% - Akzent4 3 2 4" xfId="4478"/>
    <cellStyle name="40% - Akzent4 3 2 4 2" xfId="4479"/>
    <cellStyle name="40% - Akzent4 3 2 4 2 2" xfId="4480"/>
    <cellStyle name="40% - Akzent4 3 2 4 3" xfId="4481"/>
    <cellStyle name="40% - Akzent4 3 2 4 4" xfId="4482"/>
    <cellStyle name="40% - Akzent4 3 2 4 5" xfId="4483"/>
    <cellStyle name="40% - Akzent4 3 2 5" xfId="4484"/>
    <cellStyle name="40% - Akzent4 3 2 5 2" xfId="4485"/>
    <cellStyle name="40% - Akzent4 3 2 5 2 2" xfId="4486"/>
    <cellStyle name="40% - Akzent4 3 2 5 3" xfId="4487"/>
    <cellStyle name="40% - Akzent4 3 2 5 4" xfId="4488"/>
    <cellStyle name="40% - Akzent4 3 2 5 5" xfId="4489"/>
    <cellStyle name="40% - Akzent4 3 2 6" xfId="4490"/>
    <cellStyle name="40% - Akzent4 3 2 6 2" xfId="4491"/>
    <cellStyle name="40% - Akzent4 3 2 6 2 2" xfId="4492"/>
    <cellStyle name="40% - Akzent4 3 2 6 3" xfId="4493"/>
    <cellStyle name="40% - Akzent4 3 2 6 4" xfId="4494"/>
    <cellStyle name="40% - Akzent4 3 2 7" xfId="4495"/>
    <cellStyle name="40% - Akzent4 3 2 7 2" xfId="4496"/>
    <cellStyle name="40% - Akzent4 3 2 8" xfId="4497"/>
    <cellStyle name="40% - Akzent4 3 2 9" xfId="4498"/>
    <cellStyle name="40% - Akzent4 3 3" xfId="4499"/>
    <cellStyle name="40% - Akzent4 3 3 10" xfId="4500"/>
    <cellStyle name="40% - Akzent4 3 3 11" xfId="4501"/>
    <cellStyle name="40% - Akzent4 3 3 2" xfId="4502"/>
    <cellStyle name="40% - Akzent4 3 3 2 10" xfId="4503"/>
    <cellStyle name="40% - Akzent4 3 3 2 2" xfId="4504"/>
    <cellStyle name="40% - Akzent4 3 3 2 2 2" xfId="4505"/>
    <cellStyle name="40% - Akzent4 3 3 2 2 2 2" xfId="4506"/>
    <cellStyle name="40% - Akzent4 3 3 2 2 2 2 2" xfId="4507"/>
    <cellStyle name="40% - Akzent4 3 3 2 2 2 3" xfId="4508"/>
    <cellStyle name="40% - Akzent4 3 3 2 2 2 4" xfId="4509"/>
    <cellStyle name="40% - Akzent4 3 3 2 2 2 5" xfId="4510"/>
    <cellStyle name="40% - Akzent4 3 3 2 2 3" xfId="4511"/>
    <cellStyle name="40% - Akzent4 3 3 2 2 3 2" xfId="4512"/>
    <cellStyle name="40% - Akzent4 3 3 2 2 3 2 2" xfId="4513"/>
    <cellStyle name="40% - Akzent4 3 3 2 2 3 3" xfId="4514"/>
    <cellStyle name="40% - Akzent4 3 3 2 2 3 4" xfId="4515"/>
    <cellStyle name="40% - Akzent4 3 3 2 2 3 5" xfId="4516"/>
    <cellStyle name="40% - Akzent4 3 3 2 2 4" xfId="4517"/>
    <cellStyle name="40% - Akzent4 3 3 2 2 4 2" xfId="4518"/>
    <cellStyle name="40% - Akzent4 3 3 2 2 4 2 2" xfId="4519"/>
    <cellStyle name="40% - Akzent4 3 3 2 2 4 3" xfId="4520"/>
    <cellStyle name="40% - Akzent4 3 3 2 2 4 4" xfId="4521"/>
    <cellStyle name="40% - Akzent4 3 3 2 2 5" xfId="4522"/>
    <cellStyle name="40% - Akzent4 3 3 2 2 5 2" xfId="4523"/>
    <cellStyle name="40% - Akzent4 3 3 2 2 6" xfId="4524"/>
    <cellStyle name="40% - Akzent4 3 3 2 2 7" xfId="4525"/>
    <cellStyle name="40% - Akzent4 3 3 2 2 8" xfId="4526"/>
    <cellStyle name="40% - Akzent4 3 3 2 2 9" xfId="4527"/>
    <cellStyle name="40% - Akzent4 3 3 2 3" xfId="4528"/>
    <cellStyle name="40% - Akzent4 3 3 2 3 2" xfId="4529"/>
    <cellStyle name="40% - Akzent4 3 3 2 3 2 2" xfId="4530"/>
    <cellStyle name="40% - Akzent4 3 3 2 3 3" xfId="4531"/>
    <cellStyle name="40% - Akzent4 3 3 2 3 4" xfId="4532"/>
    <cellStyle name="40% - Akzent4 3 3 2 3 5" xfId="4533"/>
    <cellStyle name="40% - Akzent4 3 3 2 4" xfId="4534"/>
    <cellStyle name="40% - Akzent4 3 3 2 4 2" xfId="4535"/>
    <cellStyle name="40% - Akzent4 3 3 2 4 2 2" xfId="4536"/>
    <cellStyle name="40% - Akzent4 3 3 2 4 3" xfId="4537"/>
    <cellStyle name="40% - Akzent4 3 3 2 4 4" xfId="4538"/>
    <cellStyle name="40% - Akzent4 3 3 2 4 5" xfId="4539"/>
    <cellStyle name="40% - Akzent4 3 3 2 5" xfId="4540"/>
    <cellStyle name="40% - Akzent4 3 3 2 5 2" xfId="4541"/>
    <cellStyle name="40% - Akzent4 3 3 2 5 2 2" xfId="4542"/>
    <cellStyle name="40% - Akzent4 3 3 2 5 3" xfId="4543"/>
    <cellStyle name="40% - Akzent4 3 3 2 5 4" xfId="4544"/>
    <cellStyle name="40% - Akzent4 3 3 2 6" xfId="4545"/>
    <cellStyle name="40% - Akzent4 3 3 2 6 2" xfId="4546"/>
    <cellStyle name="40% - Akzent4 3 3 2 7" xfId="4547"/>
    <cellStyle name="40% - Akzent4 3 3 2 8" xfId="4548"/>
    <cellStyle name="40% - Akzent4 3 3 2 9" xfId="4549"/>
    <cellStyle name="40% - Akzent4 3 3 3" xfId="4550"/>
    <cellStyle name="40% - Akzent4 3 3 3 2" xfId="4551"/>
    <cellStyle name="40% - Akzent4 3 3 3 2 2" xfId="4552"/>
    <cellStyle name="40% - Akzent4 3 3 3 2 2 2" xfId="4553"/>
    <cellStyle name="40% - Akzent4 3 3 3 2 3" xfId="4554"/>
    <cellStyle name="40% - Akzent4 3 3 3 2 4" xfId="4555"/>
    <cellStyle name="40% - Akzent4 3 3 3 2 5" xfId="4556"/>
    <cellStyle name="40% - Akzent4 3 3 3 3" xfId="4557"/>
    <cellStyle name="40% - Akzent4 3 3 3 3 2" xfId="4558"/>
    <cellStyle name="40% - Akzent4 3 3 3 3 2 2" xfId="4559"/>
    <cellStyle name="40% - Akzent4 3 3 3 3 3" xfId="4560"/>
    <cellStyle name="40% - Akzent4 3 3 3 3 4" xfId="4561"/>
    <cellStyle name="40% - Akzent4 3 3 3 3 5" xfId="4562"/>
    <cellStyle name="40% - Akzent4 3 3 3 4" xfId="4563"/>
    <cellStyle name="40% - Akzent4 3 3 3 4 2" xfId="4564"/>
    <cellStyle name="40% - Akzent4 3 3 3 4 2 2" xfId="4565"/>
    <cellStyle name="40% - Akzent4 3 3 3 4 3" xfId="4566"/>
    <cellStyle name="40% - Akzent4 3 3 3 4 4" xfId="4567"/>
    <cellStyle name="40% - Akzent4 3 3 3 5" xfId="4568"/>
    <cellStyle name="40% - Akzent4 3 3 3 5 2" xfId="4569"/>
    <cellStyle name="40% - Akzent4 3 3 3 6" xfId="4570"/>
    <cellStyle name="40% - Akzent4 3 3 3 7" xfId="4571"/>
    <cellStyle name="40% - Akzent4 3 3 3 8" xfId="4572"/>
    <cellStyle name="40% - Akzent4 3 3 3 9" xfId="4573"/>
    <cellStyle name="40% - Akzent4 3 3 4" xfId="4574"/>
    <cellStyle name="40% - Akzent4 3 3 4 2" xfId="4575"/>
    <cellStyle name="40% - Akzent4 3 3 4 2 2" xfId="4576"/>
    <cellStyle name="40% - Akzent4 3 3 4 3" xfId="4577"/>
    <cellStyle name="40% - Akzent4 3 3 4 4" xfId="4578"/>
    <cellStyle name="40% - Akzent4 3 3 4 5" xfId="4579"/>
    <cellStyle name="40% - Akzent4 3 3 5" xfId="4580"/>
    <cellStyle name="40% - Akzent4 3 3 5 2" xfId="4581"/>
    <cellStyle name="40% - Akzent4 3 3 5 2 2" xfId="4582"/>
    <cellStyle name="40% - Akzent4 3 3 5 3" xfId="4583"/>
    <cellStyle name="40% - Akzent4 3 3 5 4" xfId="4584"/>
    <cellStyle name="40% - Akzent4 3 3 5 5" xfId="4585"/>
    <cellStyle name="40% - Akzent4 3 3 6" xfId="4586"/>
    <cellStyle name="40% - Akzent4 3 3 6 2" xfId="4587"/>
    <cellStyle name="40% - Akzent4 3 3 6 2 2" xfId="4588"/>
    <cellStyle name="40% - Akzent4 3 3 6 3" xfId="4589"/>
    <cellStyle name="40% - Akzent4 3 3 6 4" xfId="4590"/>
    <cellStyle name="40% - Akzent4 3 3 7" xfId="4591"/>
    <cellStyle name="40% - Akzent4 3 3 7 2" xfId="4592"/>
    <cellStyle name="40% - Akzent4 3 3 8" xfId="4593"/>
    <cellStyle name="40% - Akzent4 3 3 9" xfId="4594"/>
    <cellStyle name="40% - Akzent4 3 4" xfId="4595"/>
    <cellStyle name="40% - Akzent4 3 4 10" xfId="4596"/>
    <cellStyle name="40% - Akzent4 3 4 2" xfId="4597"/>
    <cellStyle name="40% - Akzent4 3 4 2 2" xfId="4598"/>
    <cellStyle name="40% - Akzent4 3 4 2 2 2" xfId="4599"/>
    <cellStyle name="40% - Akzent4 3 4 2 2 2 2" xfId="4600"/>
    <cellStyle name="40% - Akzent4 3 4 2 2 3" xfId="4601"/>
    <cellStyle name="40% - Akzent4 3 4 2 2 4" xfId="4602"/>
    <cellStyle name="40% - Akzent4 3 4 2 2 5" xfId="4603"/>
    <cellStyle name="40% - Akzent4 3 4 2 3" xfId="4604"/>
    <cellStyle name="40% - Akzent4 3 4 2 3 2" xfId="4605"/>
    <cellStyle name="40% - Akzent4 3 4 2 3 2 2" xfId="4606"/>
    <cellStyle name="40% - Akzent4 3 4 2 3 3" xfId="4607"/>
    <cellStyle name="40% - Akzent4 3 4 2 3 4" xfId="4608"/>
    <cellStyle name="40% - Akzent4 3 4 2 3 5" xfId="4609"/>
    <cellStyle name="40% - Akzent4 3 4 2 4" xfId="4610"/>
    <cellStyle name="40% - Akzent4 3 4 2 4 2" xfId="4611"/>
    <cellStyle name="40% - Akzent4 3 4 2 4 2 2" xfId="4612"/>
    <cellStyle name="40% - Akzent4 3 4 2 4 3" xfId="4613"/>
    <cellStyle name="40% - Akzent4 3 4 2 4 4" xfId="4614"/>
    <cellStyle name="40% - Akzent4 3 4 2 5" xfId="4615"/>
    <cellStyle name="40% - Akzent4 3 4 2 5 2" xfId="4616"/>
    <cellStyle name="40% - Akzent4 3 4 2 6" xfId="4617"/>
    <cellStyle name="40% - Akzent4 3 4 2 7" xfId="4618"/>
    <cellStyle name="40% - Akzent4 3 4 2 8" xfId="4619"/>
    <cellStyle name="40% - Akzent4 3 4 2 9" xfId="4620"/>
    <cellStyle name="40% - Akzent4 3 4 3" xfId="4621"/>
    <cellStyle name="40% - Akzent4 3 4 3 2" xfId="4622"/>
    <cellStyle name="40% - Akzent4 3 4 3 2 2" xfId="4623"/>
    <cellStyle name="40% - Akzent4 3 4 3 3" xfId="4624"/>
    <cellStyle name="40% - Akzent4 3 4 3 4" xfId="4625"/>
    <cellStyle name="40% - Akzent4 3 4 3 5" xfId="4626"/>
    <cellStyle name="40% - Akzent4 3 4 4" xfId="4627"/>
    <cellStyle name="40% - Akzent4 3 4 4 2" xfId="4628"/>
    <cellStyle name="40% - Akzent4 3 4 4 2 2" xfId="4629"/>
    <cellStyle name="40% - Akzent4 3 4 4 3" xfId="4630"/>
    <cellStyle name="40% - Akzent4 3 4 4 4" xfId="4631"/>
    <cellStyle name="40% - Akzent4 3 4 4 5" xfId="4632"/>
    <cellStyle name="40% - Akzent4 3 4 5" xfId="4633"/>
    <cellStyle name="40% - Akzent4 3 4 5 2" xfId="4634"/>
    <cellStyle name="40% - Akzent4 3 4 5 2 2" xfId="4635"/>
    <cellStyle name="40% - Akzent4 3 4 5 3" xfId="4636"/>
    <cellStyle name="40% - Akzent4 3 4 5 4" xfId="4637"/>
    <cellStyle name="40% - Akzent4 3 4 6" xfId="4638"/>
    <cellStyle name="40% - Akzent4 3 4 6 2" xfId="4639"/>
    <cellStyle name="40% - Akzent4 3 4 7" xfId="4640"/>
    <cellStyle name="40% - Akzent4 3 4 8" xfId="4641"/>
    <cellStyle name="40% - Akzent4 3 4 9" xfId="4642"/>
    <cellStyle name="40% - Akzent4 3 5" xfId="4643"/>
    <cellStyle name="40% - Akzent4 3 5 10" xfId="4644"/>
    <cellStyle name="40% - Akzent4 3 5 2" xfId="4645"/>
    <cellStyle name="40% - Akzent4 3 5 2 2" xfId="4646"/>
    <cellStyle name="40% - Akzent4 3 5 2 2 2" xfId="4647"/>
    <cellStyle name="40% - Akzent4 3 5 2 2 2 2" xfId="4648"/>
    <cellStyle name="40% - Akzent4 3 5 2 2 3" xfId="4649"/>
    <cellStyle name="40% - Akzent4 3 5 2 2 4" xfId="4650"/>
    <cellStyle name="40% - Akzent4 3 5 2 2 5" xfId="4651"/>
    <cellStyle name="40% - Akzent4 3 5 2 3" xfId="4652"/>
    <cellStyle name="40% - Akzent4 3 5 2 3 2" xfId="4653"/>
    <cellStyle name="40% - Akzent4 3 5 2 3 2 2" xfId="4654"/>
    <cellStyle name="40% - Akzent4 3 5 2 3 3" xfId="4655"/>
    <cellStyle name="40% - Akzent4 3 5 2 3 4" xfId="4656"/>
    <cellStyle name="40% - Akzent4 3 5 2 3 5" xfId="4657"/>
    <cellStyle name="40% - Akzent4 3 5 2 4" xfId="4658"/>
    <cellStyle name="40% - Akzent4 3 5 2 4 2" xfId="4659"/>
    <cellStyle name="40% - Akzent4 3 5 2 4 2 2" xfId="4660"/>
    <cellStyle name="40% - Akzent4 3 5 2 4 3" xfId="4661"/>
    <cellStyle name="40% - Akzent4 3 5 2 4 4" xfId="4662"/>
    <cellStyle name="40% - Akzent4 3 5 2 5" xfId="4663"/>
    <cellStyle name="40% - Akzent4 3 5 2 5 2" xfId="4664"/>
    <cellStyle name="40% - Akzent4 3 5 2 6" xfId="4665"/>
    <cellStyle name="40% - Akzent4 3 5 2 7" xfId="4666"/>
    <cellStyle name="40% - Akzent4 3 5 2 8" xfId="4667"/>
    <cellStyle name="40% - Akzent4 3 5 2 9" xfId="4668"/>
    <cellStyle name="40% - Akzent4 3 5 3" xfId="4669"/>
    <cellStyle name="40% - Akzent4 3 5 3 2" xfId="4670"/>
    <cellStyle name="40% - Akzent4 3 5 3 2 2" xfId="4671"/>
    <cellStyle name="40% - Akzent4 3 5 3 3" xfId="4672"/>
    <cellStyle name="40% - Akzent4 3 5 3 4" xfId="4673"/>
    <cellStyle name="40% - Akzent4 3 5 3 5" xfId="4674"/>
    <cellStyle name="40% - Akzent4 3 5 4" xfId="4675"/>
    <cellStyle name="40% - Akzent4 3 5 4 2" xfId="4676"/>
    <cellStyle name="40% - Akzent4 3 5 4 2 2" xfId="4677"/>
    <cellStyle name="40% - Akzent4 3 5 4 3" xfId="4678"/>
    <cellStyle name="40% - Akzent4 3 5 4 4" xfId="4679"/>
    <cellStyle name="40% - Akzent4 3 5 4 5" xfId="4680"/>
    <cellStyle name="40% - Akzent4 3 5 5" xfId="4681"/>
    <cellStyle name="40% - Akzent4 3 5 5 2" xfId="4682"/>
    <cellStyle name="40% - Akzent4 3 5 5 2 2" xfId="4683"/>
    <cellStyle name="40% - Akzent4 3 5 5 3" xfId="4684"/>
    <cellStyle name="40% - Akzent4 3 5 5 4" xfId="4685"/>
    <cellStyle name="40% - Akzent4 3 5 6" xfId="4686"/>
    <cellStyle name="40% - Akzent4 3 5 6 2" xfId="4687"/>
    <cellStyle name="40% - Akzent4 3 5 7" xfId="4688"/>
    <cellStyle name="40% - Akzent4 3 5 8" xfId="4689"/>
    <cellStyle name="40% - Akzent4 3 5 9" xfId="4690"/>
    <cellStyle name="40% - Akzent4 3 6" xfId="4691"/>
    <cellStyle name="40% - Akzent4 3 6 2" xfId="4692"/>
    <cellStyle name="40% - Akzent4 3 6 2 2" xfId="4693"/>
    <cellStyle name="40% - Akzent4 3 6 2 2 2" xfId="4694"/>
    <cellStyle name="40% - Akzent4 3 6 2 3" xfId="4695"/>
    <cellStyle name="40% - Akzent4 3 6 2 4" xfId="4696"/>
    <cellStyle name="40% - Akzent4 3 6 2 5" xfId="4697"/>
    <cellStyle name="40% - Akzent4 3 6 3" xfId="4698"/>
    <cellStyle name="40% - Akzent4 3 6 3 2" xfId="4699"/>
    <cellStyle name="40% - Akzent4 3 6 3 2 2" xfId="4700"/>
    <cellStyle name="40% - Akzent4 3 6 3 3" xfId="4701"/>
    <cellStyle name="40% - Akzent4 3 6 3 4" xfId="4702"/>
    <cellStyle name="40% - Akzent4 3 6 3 5" xfId="4703"/>
    <cellStyle name="40% - Akzent4 3 6 4" xfId="4704"/>
    <cellStyle name="40% - Akzent4 3 6 4 2" xfId="4705"/>
    <cellStyle name="40% - Akzent4 3 6 4 2 2" xfId="4706"/>
    <cellStyle name="40% - Akzent4 3 6 4 3" xfId="4707"/>
    <cellStyle name="40% - Akzent4 3 6 4 4" xfId="4708"/>
    <cellStyle name="40% - Akzent4 3 6 5" xfId="4709"/>
    <cellStyle name="40% - Akzent4 3 6 5 2" xfId="4710"/>
    <cellStyle name="40% - Akzent4 3 6 6" xfId="4711"/>
    <cellStyle name="40% - Akzent4 3 6 7" xfId="4712"/>
    <cellStyle name="40% - Akzent4 3 6 8" xfId="4713"/>
    <cellStyle name="40% - Akzent4 3 6 9" xfId="4714"/>
    <cellStyle name="40% - Akzent4 3 7" xfId="4715"/>
    <cellStyle name="40% - Akzent4 3 7 2" xfId="4716"/>
    <cellStyle name="40% - Akzent4 3 7 2 2" xfId="4717"/>
    <cellStyle name="40% - Akzent4 3 7 3" xfId="4718"/>
    <cellStyle name="40% - Akzent4 3 7 4" xfId="4719"/>
    <cellStyle name="40% - Akzent4 3 7 5" xfId="4720"/>
    <cellStyle name="40% - Akzent4 3 8" xfId="4721"/>
    <cellStyle name="40% - Akzent4 3 8 2" xfId="4722"/>
    <cellStyle name="40% - Akzent4 3 8 2 2" xfId="4723"/>
    <cellStyle name="40% - Akzent4 3 8 3" xfId="4724"/>
    <cellStyle name="40% - Akzent4 3 8 4" xfId="4725"/>
    <cellStyle name="40% - Akzent4 3 8 5" xfId="4726"/>
    <cellStyle name="40% - Akzent4 3 9" xfId="4727"/>
    <cellStyle name="40% - Akzent4 3 9 2" xfId="4728"/>
    <cellStyle name="40% - Akzent4 3 9 2 2" xfId="4729"/>
    <cellStyle name="40% - Akzent4 3 9 3" xfId="4730"/>
    <cellStyle name="40% - Akzent4 3 9 4" xfId="4731"/>
    <cellStyle name="40% - Akzent4 4" xfId="4732"/>
    <cellStyle name="40% - Akzent4 4 10" xfId="4733"/>
    <cellStyle name="40% - Akzent4 4 2" xfId="4734"/>
    <cellStyle name="40% - Akzent4 4 2 2" xfId="4735"/>
    <cellStyle name="40% - Akzent4 4 2 2 2" xfId="4736"/>
    <cellStyle name="40% - Akzent4 4 2 2 2 2" xfId="4737"/>
    <cellStyle name="40% - Akzent4 4 2 2 3" xfId="4738"/>
    <cellStyle name="40% - Akzent4 4 2 2 4" xfId="4739"/>
    <cellStyle name="40% - Akzent4 4 2 2 5" xfId="4740"/>
    <cellStyle name="40% - Akzent4 4 2 3" xfId="4741"/>
    <cellStyle name="40% - Akzent4 4 2 3 2" xfId="4742"/>
    <cellStyle name="40% - Akzent4 4 2 3 2 2" xfId="4743"/>
    <cellStyle name="40% - Akzent4 4 2 3 3" xfId="4744"/>
    <cellStyle name="40% - Akzent4 4 2 3 4" xfId="4745"/>
    <cellStyle name="40% - Akzent4 4 2 3 5" xfId="4746"/>
    <cellStyle name="40% - Akzent4 4 2 4" xfId="4747"/>
    <cellStyle name="40% - Akzent4 4 2 4 2" xfId="4748"/>
    <cellStyle name="40% - Akzent4 4 2 4 2 2" xfId="4749"/>
    <cellStyle name="40% - Akzent4 4 2 4 3" xfId="4750"/>
    <cellStyle name="40% - Akzent4 4 2 4 4" xfId="4751"/>
    <cellStyle name="40% - Akzent4 4 2 5" xfId="4752"/>
    <cellStyle name="40% - Akzent4 4 2 5 2" xfId="4753"/>
    <cellStyle name="40% - Akzent4 4 2 6" xfId="4754"/>
    <cellStyle name="40% - Akzent4 4 2 7" xfId="4755"/>
    <cellStyle name="40% - Akzent4 4 2 8" xfId="4756"/>
    <cellStyle name="40% - Akzent4 4 2 9" xfId="4757"/>
    <cellStyle name="40% - Akzent4 4 3" xfId="4758"/>
    <cellStyle name="40% - Akzent4 4 3 2" xfId="4759"/>
    <cellStyle name="40% - Akzent4 4 3 2 2" xfId="4760"/>
    <cellStyle name="40% - Akzent4 4 3 3" xfId="4761"/>
    <cellStyle name="40% - Akzent4 4 3 4" xfId="4762"/>
    <cellStyle name="40% - Akzent4 4 3 5" xfId="4763"/>
    <cellStyle name="40% - Akzent4 4 4" xfId="4764"/>
    <cellStyle name="40% - Akzent4 4 4 2" xfId="4765"/>
    <cellStyle name="40% - Akzent4 4 4 2 2" xfId="4766"/>
    <cellStyle name="40% - Akzent4 4 4 3" xfId="4767"/>
    <cellStyle name="40% - Akzent4 4 4 4" xfId="4768"/>
    <cellStyle name="40% - Akzent4 4 4 5" xfId="4769"/>
    <cellStyle name="40% - Akzent4 4 5" xfId="4770"/>
    <cellStyle name="40% - Akzent4 4 5 2" xfId="4771"/>
    <cellStyle name="40% - Akzent4 4 5 2 2" xfId="4772"/>
    <cellStyle name="40% - Akzent4 4 5 3" xfId="4773"/>
    <cellStyle name="40% - Akzent4 4 5 4" xfId="4774"/>
    <cellStyle name="40% - Akzent4 4 6" xfId="4775"/>
    <cellStyle name="40% - Akzent4 4 6 2" xfId="4776"/>
    <cellStyle name="40% - Akzent4 4 7" xfId="4777"/>
    <cellStyle name="40% - Akzent4 4 8" xfId="4778"/>
    <cellStyle name="40% - Akzent4 4 9" xfId="4779"/>
    <cellStyle name="40% - Akzent4 5" xfId="4780"/>
    <cellStyle name="40% - Akzent4 5 10" xfId="4781"/>
    <cellStyle name="40% - Akzent4 5 2" xfId="4782"/>
    <cellStyle name="40% - Akzent4 5 2 2" xfId="4783"/>
    <cellStyle name="40% - Akzent4 5 2 2 2" xfId="4784"/>
    <cellStyle name="40% - Akzent4 5 2 2 2 2" xfId="4785"/>
    <cellStyle name="40% - Akzent4 5 2 2 3" xfId="4786"/>
    <cellStyle name="40% - Akzent4 5 2 2 4" xfId="4787"/>
    <cellStyle name="40% - Akzent4 5 2 2 5" xfId="4788"/>
    <cellStyle name="40% - Akzent4 5 2 3" xfId="4789"/>
    <cellStyle name="40% - Akzent4 5 2 3 2" xfId="4790"/>
    <cellStyle name="40% - Akzent4 5 2 3 2 2" xfId="4791"/>
    <cellStyle name="40% - Akzent4 5 2 3 3" xfId="4792"/>
    <cellStyle name="40% - Akzent4 5 2 3 4" xfId="4793"/>
    <cellStyle name="40% - Akzent4 5 2 3 5" xfId="4794"/>
    <cellStyle name="40% - Akzent4 5 2 4" xfId="4795"/>
    <cellStyle name="40% - Akzent4 5 2 4 2" xfId="4796"/>
    <cellStyle name="40% - Akzent4 5 2 4 2 2" xfId="4797"/>
    <cellStyle name="40% - Akzent4 5 2 4 3" xfId="4798"/>
    <cellStyle name="40% - Akzent4 5 2 4 4" xfId="4799"/>
    <cellStyle name="40% - Akzent4 5 2 5" xfId="4800"/>
    <cellStyle name="40% - Akzent4 5 2 5 2" xfId="4801"/>
    <cellStyle name="40% - Akzent4 5 2 6" xfId="4802"/>
    <cellStyle name="40% - Akzent4 5 2 7" xfId="4803"/>
    <cellStyle name="40% - Akzent4 5 2 8" xfId="4804"/>
    <cellStyle name="40% - Akzent4 5 2 9" xfId="4805"/>
    <cellStyle name="40% - Akzent4 5 3" xfId="4806"/>
    <cellStyle name="40% - Akzent4 5 3 2" xfId="4807"/>
    <cellStyle name="40% - Akzent4 5 3 2 2" xfId="4808"/>
    <cellStyle name="40% - Akzent4 5 3 3" xfId="4809"/>
    <cellStyle name="40% - Akzent4 5 3 4" xfId="4810"/>
    <cellStyle name="40% - Akzent4 5 3 5" xfId="4811"/>
    <cellStyle name="40% - Akzent4 5 4" xfId="4812"/>
    <cellStyle name="40% - Akzent4 5 4 2" xfId="4813"/>
    <cellStyle name="40% - Akzent4 5 4 2 2" xfId="4814"/>
    <cellStyle name="40% - Akzent4 5 4 3" xfId="4815"/>
    <cellStyle name="40% - Akzent4 5 4 4" xfId="4816"/>
    <cellStyle name="40% - Akzent4 5 4 5" xfId="4817"/>
    <cellStyle name="40% - Akzent4 5 5" xfId="4818"/>
    <cellStyle name="40% - Akzent4 5 5 2" xfId="4819"/>
    <cellStyle name="40% - Akzent4 5 5 2 2" xfId="4820"/>
    <cellStyle name="40% - Akzent4 5 5 3" xfId="4821"/>
    <cellStyle name="40% - Akzent4 5 5 4" xfId="4822"/>
    <cellStyle name="40% - Akzent4 5 6" xfId="4823"/>
    <cellStyle name="40% - Akzent4 5 6 2" xfId="4824"/>
    <cellStyle name="40% - Akzent4 5 7" xfId="4825"/>
    <cellStyle name="40% - Akzent4 5 8" xfId="4826"/>
    <cellStyle name="40% - Akzent4 5 9" xfId="4827"/>
    <cellStyle name="40% - Akzent4 6" xfId="4828"/>
    <cellStyle name="40% - Akzent4 6 10" xfId="4829"/>
    <cellStyle name="40% - Akzent4 6 2" xfId="4830"/>
    <cellStyle name="40% - Akzent4 6 2 2" xfId="4831"/>
    <cellStyle name="40% - Akzent4 6 2 2 2" xfId="4832"/>
    <cellStyle name="40% - Akzent4 6 2 2 2 2" xfId="4833"/>
    <cellStyle name="40% - Akzent4 6 2 2 3" xfId="4834"/>
    <cellStyle name="40% - Akzent4 6 2 2 4" xfId="4835"/>
    <cellStyle name="40% - Akzent4 6 2 2 5" xfId="4836"/>
    <cellStyle name="40% - Akzent4 6 2 3" xfId="4837"/>
    <cellStyle name="40% - Akzent4 6 2 3 2" xfId="4838"/>
    <cellStyle name="40% - Akzent4 6 2 3 2 2" xfId="4839"/>
    <cellStyle name="40% - Akzent4 6 2 3 3" xfId="4840"/>
    <cellStyle name="40% - Akzent4 6 2 3 4" xfId="4841"/>
    <cellStyle name="40% - Akzent4 6 2 3 5" xfId="4842"/>
    <cellStyle name="40% - Akzent4 6 2 4" xfId="4843"/>
    <cellStyle name="40% - Akzent4 6 2 4 2" xfId="4844"/>
    <cellStyle name="40% - Akzent4 6 2 4 2 2" xfId="4845"/>
    <cellStyle name="40% - Akzent4 6 2 4 3" xfId="4846"/>
    <cellStyle name="40% - Akzent4 6 2 4 4" xfId="4847"/>
    <cellStyle name="40% - Akzent4 6 2 5" xfId="4848"/>
    <cellStyle name="40% - Akzent4 6 2 5 2" xfId="4849"/>
    <cellStyle name="40% - Akzent4 6 2 6" xfId="4850"/>
    <cellStyle name="40% - Akzent4 6 2 7" xfId="4851"/>
    <cellStyle name="40% - Akzent4 6 2 8" xfId="4852"/>
    <cellStyle name="40% - Akzent4 6 2 9" xfId="4853"/>
    <cellStyle name="40% - Akzent4 6 3" xfId="4854"/>
    <cellStyle name="40% - Akzent4 6 3 2" xfId="4855"/>
    <cellStyle name="40% - Akzent4 6 3 2 2" xfId="4856"/>
    <cellStyle name="40% - Akzent4 6 3 3" xfId="4857"/>
    <cellStyle name="40% - Akzent4 6 3 4" xfId="4858"/>
    <cellStyle name="40% - Akzent4 6 3 5" xfId="4859"/>
    <cellStyle name="40% - Akzent4 6 4" xfId="4860"/>
    <cellStyle name="40% - Akzent4 6 4 2" xfId="4861"/>
    <cellStyle name="40% - Akzent4 6 4 2 2" xfId="4862"/>
    <cellStyle name="40% - Akzent4 6 4 3" xfId="4863"/>
    <cellStyle name="40% - Akzent4 6 4 4" xfId="4864"/>
    <cellStyle name="40% - Akzent4 6 4 5" xfId="4865"/>
    <cellStyle name="40% - Akzent4 6 5" xfId="4866"/>
    <cellStyle name="40% - Akzent4 6 5 2" xfId="4867"/>
    <cellStyle name="40% - Akzent4 6 5 2 2" xfId="4868"/>
    <cellStyle name="40% - Akzent4 6 5 3" xfId="4869"/>
    <cellStyle name="40% - Akzent4 6 5 4" xfId="4870"/>
    <cellStyle name="40% - Akzent4 6 6" xfId="4871"/>
    <cellStyle name="40% - Akzent4 6 6 2" xfId="4872"/>
    <cellStyle name="40% - Akzent4 6 7" xfId="4873"/>
    <cellStyle name="40% - Akzent4 6 8" xfId="4874"/>
    <cellStyle name="40% - Akzent4 6 9" xfId="4875"/>
    <cellStyle name="40% - Akzent4 7" xfId="4876"/>
    <cellStyle name="40% - Akzent4 7 2" xfId="4877"/>
    <cellStyle name="40% - Akzent4 7 2 2" xfId="4878"/>
    <cellStyle name="40% - Akzent4 7 3" xfId="4879"/>
    <cellStyle name="40% - Akzent4 7 4" xfId="4880"/>
    <cellStyle name="40% - Akzent4 7 5" xfId="4881"/>
    <cellStyle name="40% - Akzent4 8" xfId="4882"/>
    <cellStyle name="40% - Akzent4 8 2" xfId="4883"/>
    <cellStyle name="40% - Akzent4 8 2 2" xfId="4884"/>
    <cellStyle name="40% - Akzent4 8 3" xfId="4885"/>
    <cellStyle name="40% - Akzent4 8 4" xfId="4886"/>
    <cellStyle name="40% - Akzent4 8 5" xfId="4887"/>
    <cellStyle name="40% - Akzent4 9" xfId="4888"/>
    <cellStyle name="40% - Akzent4 9 2" xfId="4889"/>
    <cellStyle name="40% - Akzent4 9 2 2" xfId="4890"/>
    <cellStyle name="40% - Akzent4 9 3" xfId="4891"/>
    <cellStyle name="40% - Akzent5 10" xfId="4892"/>
    <cellStyle name="40% - Akzent5 10 2" xfId="4893"/>
    <cellStyle name="40% - Akzent5 11" xfId="4894"/>
    <cellStyle name="40% - Akzent5 2" xfId="4895"/>
    <cellStyle name="40% - Akzent5 2 2" xfId="4896"/>
    <cellStyle name="40% - Akzent5 3" xfId="4897"/>
    <cellStyle name="40% - Akzent5 3 10" xfId="4898"/>
    <cellStyle name="40% - Akzent5 3 10 2" xfId="4899"/>
    <cellStyle name="40% - Akzent5 3 11" xfId="4900"/>
    <cellStyle name="40% - Akzent5 3 12" xfId="4901"/>
    <cellStyle name="40% - Akzent5 3 13" xfId="4902"/>
    <cellStyle name="40% - Akzent5 3 14" xfId="4903"/>
    <cellStyle name="40% - Akzent5 3 2" xfId="4904"/>
    <cellStyle name="40% - Akzent5 3 2 10" xfId="4905"/>
    <cellStyle name="40% - Akzent5 3 2 11" xfId="4906"/>
    <cellStyle name="40% - Akzent5 3 2 2" xfId="4907"/>
    <cellStyle name="40% - Akzent5 3 2 2 10" xfId="4908"/>
    <cellStyle name="40% - Akzent5 3 2 2 2" xfId="4909"/>
    <cellStyle name="40% - Akzent5 3 2 2 2 2" xfId="4910"/>
    <cellStyle name="40% - Akzent5 3 2 2 2 2 2" xfId="4911"/>
    <cellStyle name="40% - Akzent5 3 2 2 2 2 2 2" xfId="4912"/>
    <cellStyle name="40% - Akzent5 3 2 2 2 2 3" xfId="4913"/>
    <cellStyle name="40% - Akzent5 3 2 2 2 2 4" xfId="4914"/>
    <cellStyle name="40% - Akzent5 3 2 2 2 2 5" xfId="4915"/>
    <cellStyle name="40% - Akzent5 3 2 2 2 3" xfId="4916"/>
    <cellStyle name="40% - Akzent5 3 2 2 2 3 2" xfId="4917"/>
    <cellStyle name="40% - Akzent5 3 2 2 2 3 2 2" xfId="4918"/>
    <cellStyle name="40% - Akzent5 3 2 2 2 3 3" xfId="4919"/>
    <cellStyle name="40% - Akzent5 3 2 2 2 3 4" xfId="4920"/>
    <cellStyle name="40% - Akzent5 3 2 2 2 3 5" xfId="4921"/>
    <cellStyle name="40% - Akzent5 3 2 2 2 4" xfId="4922"/>
    <cellStyle name="40% - Akzent5 3 2 2 2 4 2" xfId="4923"/>
    <cellStyle name="40% - Akzent5 3 2 2 2 4 2 2" xfId="4924"/>
    <cellStyle name="40% - Akzent5 3 2 2 2 4 3" xfId="4925"/>
    <cellStyle name="40% - Akzent5 3 2 2 2 4 4" xfId="4926"/>
    <cellStyle name="40% - Akzent5 3 2 2 2 5" xfId="4927"/>
    <cellStyle name="40% - Akzent5 3 2 2 2 5 2" xfId="4928"/>
    <cellStyle name="40% - Akzent5 3 2 2 2 6" xfId="4929"/>
    <cellStyle name="40% - Akzent5 3 2 2 2 7" xfId="4930"/>
    <cellStyle name="40% - Akzent5 3 2 2 2 8" xfId="4931"/>
    <cellStyle name="40% - Akzent5 3 2 2 2 9" xfId="4932"/>
    <cellStyle name="40% - Akzent5 3 2 2 3" xfId="4933"/>
    <cellStyle name="40% - Akzent5 3 2 2 3 2" xfId="4934"/>
    <cellStyle name="40% - Akzent5 3 2 2 3 2 2" xfId="4935"/>
    <cellStyle name="40% - Akzent5 3 2 2 3 3" xfId="4936"/>
    <cellStyle name="40% - Akzent5 3 2 2 3 4" xfId="4937"/>
    <cellStyle name="40% - Akzent5 3 2 2 3 5" xfId="4938"/>
    <cellStyle name="40% - Akzent5 3 2 2 4" xfId="4939"/>
    <cellStyle name="40% - Akzent5 3 2 2 4 2" xfId="4940"/>
    <cellStyle name="40% - Akzent5 3 2 2 4 2 2" xfId="4941"/>
    <cellStyle name="40% - Akzent5 3 2 2 4 3" xfId="4942"/>
    <cellStyle name="40% - Akzent5 3 2 2 4 4" xfId="4943"/>
    <cellStyle name="40% - Akzent5 3 2 2 4 5" xfId="4944"/>
    <cellStyle name="40% - Akzent5 3 2 2 5" xfId="4945"/>
    <cellStyle name="40% - Akzent5 3 2 2 5 2" xfId="4946"/>
    <cellStyle name="40% - Akzent5 3 2 2 5 2 2" xfId="4947"/>
    <cellStyle name="40% - Akzent5 3 2 2 5 3" xfId="4948"/>
    <cellStyle name="40% - Akzent5 3 2 2 5 4" xfId="4949"/>
    <cellStyle name="40% - Akzent5 3 2 2 6" xfId="4950"/>
    <cellStyle name="40% - Akzent5 3 2 2 6 2" xfId="4951"/>
    <cellStyle name="40% - Akzent5 3 2 2 7" xfId="4952"/>
    <cellStyle name="40% - Akzent5 3 2 2 8" xfId="4953"/>
    <cellStyle name="40% - Akzent5 3 2 2 9" xfId="4954"/>
    <cellStyle name="40% - Akzent5 3 2 3" xfId="4955"/>
    <cellStyle name="40% - Akzent5 3 2 3 2" xfId="4956"/>
    <cellStyle name="40% - Akzent5 3 2 3 2 2" xfId="4957"/>
    <cellStyle name="40% - Akzent5 3 2 3 2 2 2" xfId="4958"/>
    <cellStyle name="40% - Akzent5 3 2 3 2 3" xfId="4959"/>
    <cellStyle name="40% - Akzent5 3 2 3 2 4" xfId="4960"/>
    <cellStyle name="40% - Akzent5 3 2 3 2 5" xfId="4961"/>
    <cellStyle name="40% - Akzent5 3 2 3 3" xfId="4962"/>
    <cellStyle name="40% - Akzent5 3 2 3 3 2" xfId="4963"/>
    <cellStyle name="40% - Akzent5 3 2 3 3 2 2" xfId="4964"/>
    <cellStyle name="40% - Akzent5 3 2 3 3 3" xfId="4965"/>
    <cellStyle name="40% - Akzent5 3 2 3 3 4" xfId="4966"/>
    <cellStyle name="40% - Akzent5 3 2 3 3 5" xfId="4967"/>
    <cellStyle name="40% - Akzent5 3 2 3 4" xfId="4968"/>
    <cellStyle name="40% - Akzent5 3 2 3 4 2" xfId="4969"/>
    <cellStyle name="40% - Akzent5 3 2 3 4 2 2" xfId="4970"/>
    <cellStyle name="40% - Akzent5 3 2 3 4 3" xfId="4971"/>
    <cellStyle name="40% - Akzent5 3 2 3 4 4" xfId="4972"/>
    <cellStyle name="40% - Akzent5 3 2 3 5" xfId="4973"/>
    <cellStyle name="40% - Akzent5 3 2 3 5 2" xfId="4974"/>
    <cellStyle name="40% - Akzent5 3 2 3 6" xfId="4975"/>
    <cellStyle name="40% - Akzent5 3 2 3 7" xfId="4976"/>
    <cellStyle name="40% - Akzent5 3 2 3 8" xfId="4977"/>
    <cellStyle name="40% - Akzent5 3 2 3 9" xfId="4978"/>
    <cellStyle name="40% - Akzent5 3 2 4" xfId="4979"/>
    <cellStyle name="40% - Akzent5 3 2 4 2" xfId="4980"/>
    <cellStyle name="40% - Akzent5 3 2 4 2 2" xfId="4981"/>
    <cellStyle name="40% - Akzent5 3 2 4 3" xfId="4982"/>
    <cellStyle name="40% - Akzent5 3 2 4 4" xfId="4983"/>
    <cellStyle name="40% - Akzent5 3 2 4 5" xfId="4984"/>
    <cellStyle name="40% - Akzent5 3 2 5" xfId="4985"/>
    <cellStyle name="40% - Akzent5 3 2 5 2" xfId="4986"/>
    <cellStyle name="40% - Akzent5 3 2 5 2 2" xfId="4987"/>
    <cellStyle name="40% - Akzent5 3 2 5 3" xfId="4988"/>
    <cellStyle name="40% - Akzent5 3 2 5 4" xfId="4989"/>
    <cellStyle name="40% - Akzent5 3 2 5 5" xfId="4990"/>
    <cellStyle name="40% - Akzent5 3 2 6" xfId="4991"/>
    <cellStyle name="40% - Akzent5 3 2 6 2" xfId="4992"/>
    <cellStyle name="40% - Akzent5 3 2 6 2 2" xfId="4993"/>
    <cellStyle name="40% - Akzent5 3 2 6 3" xfId="4994"/>
    <cellStyle name="40% - Akzent5 3 2 6 4" xfId="4995"/>
    <cellStyle name="40% - Akzent5 3 2 7" xfId="4996"/>
    <cellStyle name="40% - Akzent5 3 2 7 2" xfId="4997"/>
    <cellStyle name="40% - Akzent5 3 2 8" xfId="4998"/>
    <cellStyle name="40% - Akzent5 3 2 9" xfId="4999"/>
    <cellStyle name="40% - Akzent5 3 3" xfId="5000"/>
    <cellStyle name="40% - Akzent5 3 3 10" xfId="5001"/>
    <cellStyle name="40% - Akzent5 3 3 11" xfId="5002"/>
    <cellStyle name="40% - Akzent5 3 3 2" xfId="5003"/>
    <cellStyle name="40% - Akzent5 3 3 2 10" xfId="5004"/>
    <cellStyle name="40% - Akzent5 3 3 2 2" xfId="5005"/>
    <cellStyle name="40% - Akzent5 3 3 2 2 2" xfId="5006"/>
    <cellStyle name="40% - Akzent5 3 3 2 2 2 2" xfId="5007"/>
    <cellStyle name="40% - Akzent5 3 3 2 2 2 2 2" xfId="5008"/>
    <cellStyle name="40% - Akzent5 3 3 2 2 2 3" xfId="5009"/>
    <cellStyle name="40% - Akzent5 3 3 2 2 2 4" xfId="5010"/>
    <cellStyle name="40% - Akzent5 3 3 2 2 2 5" xfId="5011"/>
    <cellStyle name="40% - Akzent5 3 3 2 2 3" xfId="5012"/>
    <cellStyle name="40% - Akzent5 3 3 2 2 3 2" xfId="5013"/>
    <cellStyle name="40% - Akzent5 3 3 2 2 3 2 2" xfId="5014"/>
    <cellStyle name="40% - Akzent5 3 3 2 2 3 3" xfId="5015"/>
    <cellStyle name="40% - Akzent5 3 3 2 2 3 4" xfId="5016"/>
    <cellStyle name="40% - Akzent5 3 3 2 2 3 5" xfId="5017"/>
    <cellStyle name="40% - Akzent5 3 3 2 2 4" xfId="5018"/>
    <cellStyle name="40% - Akzent5 3 3 2 2 4 2" xfId="5019"/>
    <cellStyle name="40% - Akzent5 3 3 2 2 4 2 2" xfId="5020"/>
    <cellStyle name="40% - Akzent5 3 3 2 2 4 3" xfId="5021"/>
    <cellStyle name="40% - Akzent5 3 3 2 2 4 4" xfId="5022"/>
    <cellStyle name="40% - Akzent5 3 3 2 2 5" xfId="5023"/>
    <cellStyle name="40% - Akzent5 3 3 2 2 5 2" xfId="5024"/>
    <cellStyle name="40% - Akzent5 3 3 2 2 6" xfId="5025"/>
    <cellStyle name="40% - Akzent5 3 3 2 2 7" xfId="5026"/>
    <cellStyle name="40% - Akzent5 3 3 2 2 8" xfId="5027"/>
    <cellStyle name="40% - Akzent5 3 3 2 2 9" xfId="5028"/>
    <cellStyle name="40% - Akzent5 3 3 2 3" xfId="5029"/>
    <cellStyle name="40% - Akzent5 3 3 2 3 2" xfId="5030"/>
    <cellStyle name="40% - Akzent5 3 3 2 3 2 2" xfId="5031"/>
    <cellStyle name="40% - Akzent5 3 3 2 3 3" xfId="5032"/>
    <cellStyle name="40% - Akzent5 3 3 2 3 4" xfId="5033"/>
    <cellStyle name="40% - Akzent5 3 3 2 3 5" xfId="5034"/>
    <cellStyle name="40% - Akzent5 3 3 2 4" xfId="5035"/>
    <cellStyle name="40% - Akzent5 3 3 2 4 2" xfId="5036"/>
    <cellStyle name="40% - Akzent5 3 3 2 4 2 2" xfId="5037"/>
    <cellStyle name="40% - Akzent5 3 3 2 4 3" xfId="5038"/>
    <cellStyle name="40% - Akzent5 3 3 2 4 4" xfId="5039"/>
    <cellStyle name="40% - Akzent5 3 3 2 4 5" xfId="5040"/>
    <cellStyle name="40% - Akzent5 3 3 2 5" xfId="5041"/>
    <cellStyle name="40% - Akzent5 3 3 2 5 2" xfId="5042"/>
    <cellStyle name="40% - Akzent5 3 3 2 5 2 2" xfId="5043"/>
    <cellStyle name="40% - Akzent5 3 3 2 5 3" xfId="5044"/>
    <cellStyle name="40% - Akzent5 3 3 2 5 4" xfId="5045"/>
    <cellStyle name="40% - Akzent5 3 3 2 6" xfId="5046"/>
    <cellStyle name="40% - Akzent5 3 3 2 6 2" xfId="5047"/>
    <cellStyle name="40% - Akzent5 3 3 2 7" xfId="5048"/>
    <cellStyle name="40% - Akzent5 3 3 2 8" xfId="5049"/>
    <cellStyle name="40% - Akzent5 3 3 2 9" xfId="5050"/>
    <cellStyle name="40% - Akzent5 3 3 3" xfId="5051"/>
    <cellStyle name="40% - Akzent5 3 3 3 2" xfId="5052"/>
    <cellStyle name="40% - Akzent5 3 3 3 2 2" xfId="5053"/>
    <cellStyle name="40% - Akzent5 3 3 3 2 2 2" xfId="5054"/>
    <cellStyle name="40% - Akzent5 3 3 3 2 3" xfId="5055"/>
    <cellStyle name="40% - Akzent5 3 3 3 2 4" xfId="5056"/>
    <cellStyle name="40% - Akzent5 3 3 3 2 5" xfId="5057"/>
    <cellStyle name="40% - Akzent5 3 3 3 3" xfId="5058"/>
    <cellStyle name="40% - Akzent5 3 3 3 3 2" xfId="5059"/>
    <cellStyle name="40% - Akzent5 3 3 3 3 2 2" xfId="5060"/>
    <cellStyle name="40% - Akzent5 3 3 3 3 3" xfId="5061"/>
    <cellStyle name="40% - Akzent5 3 3 3 3 4" xfId="5062"/>
    <cellStyle name="40% - Akzent5 3 3 3 3 5" xfId="5063"/>
    <cellStyle name="40% - Akzent5 3 3 3 4" xfId="5064"/>
    <cellStyle name="40% - Akzent5 3 3 3 4 2" xfId="5065"/>
    <cellStyle name="40% - Akzent5 3 3 3 4 2 2" xfId="5066"/>
    <cellStyle name="40% - Akzent5 3 3 3 4 3" xfId="5067"/>
    <cellStyle name="40% - Akzent5 3 3 3 4 4" xfId="5068"/>
    <cellStyle name="40% - Akzent5 3 3 3 5" xfId="5069"/>
    <cellStyle name="40% - Akzent5 3 3 3 5 2" xfId="5070"/>
    <cellStyle name="40% - Akzent5 3 3 3 6" xfId="5071"/>
    <cellStyle name="40% - Akzent5 3 3 3 7" xfId="5072"/>
    <cellStyle name="40% - Akzent5 3 3 3 8" xfId="5073"/>
    <cellStyle name="40% - Akzent5 3 3 3 9" xfId="5074"/>
    <cellStyle name="40% - Akzent5 3 3 4" xfId="5075"/>
    <cellStyle name="40% - Akzent5 3 3 4 2" xfId="5076"/>
    <cellStyle name="40% - Akzent5 3 3 4 2 2" xfId="5077"/>
    <cellStyle name="40% - Akzent5 3 3 4 3" xfId="5078"/>
    <cellStyle name="40% - Akzent5 3 3 4 4" xfId="5079"/>
    <cellStyle name="40% - Akzent5 3 3 4 5" xfId="5080"/>
    <cellStyle name="40% - Akzent5 3 3 5" xfId="5081"/>
    <cellStyle name="40% - Akzent5 3 3 5 2" xfId="5082"/>
    <cellStyle name="40% - Akzent5 3 3 5 2 2" xfId="5083"/>
    <cellStyle name="40% - Akzent5 3 3 5 3" xfId="5084"/>
    <cellStyle name="40% - Akzent5 3 3 5 4" xfId="5085"/>
    <cellStyle name="40% - Akzent5 3 3 5 5" xfId="5086"/>
    <cellStyle name="40% - Akzent5 3 3 6" xfId="5087"/>
    <cellStyle name="40% - Akzent5 3 3 6 2" xfId="5088"/>
    <cellStyle name="40% - Akzent5 3 3 6 2 2" xfId="5089"/>
    <cellStyle name="40% - Akzent5 3 3 6 3" xfId="5090"/>
    <cellStyle name="40% - Akzent5 3 3 6 4" xfId="5091"/>
    <cellStyle name="40% - Akzent5 3 3 7" xfId="5092"/>
    <cellStyle name="40% - Akzent5 3 3 7 2" xfId="5093"/>
    <cellStyle name="40% - Akzent5 3 3 8" xfId="5094"/>
    <cellStyle name="40% - Akzent5 3 3 9" xfId="5095"/>
    <cellStyle name="40% - Akzent5 3 4" xfId="5096"/>
    <cellStyle name="40% - Akzent5 3 4 10" xfId="5097"/>
    <cellStyle name="40% - Akzent5 3 4 2" xfId="5098"/>
    <cellStyle name="40% - Akzent5 3 4 2 2" xfId="5099"/>
    <cellStyle name="40% - Akzent5 3 4 2 2 2" xfId="5100"/>
    <cellStyle name="40% - Akzent5 3 4 2 2 2 2" xfId="5101"/>
    <cellStyle name="40% - Akzent5 3 4 2 2 3" xfId="5102"/>
    <cellStyle name="40% - Akzent5 3 4 2 2 4" xfId="5103"/>
    <cellStyle name="40% - Akzent5 3 4 2 2 5" xfId="5104"/>
    <cellStyle name="40% - Akzent5 3 4 2 3" xfId="5105"/>
    <cellStyle name="40% - Akzent5 3 4 2 3 2" xfId="5106"/>
    <cellStyle name="40% - Akzent5 3 4 2 3 2 2" xfId="5107"/>
    <cellStyle name="40% - Akzent5 3 4 2 3 3" xfId="5108"/>
    <cellStyle name="40% - Akzent5 3 4 2 3 4" xfId="5109"/>
    <cellStyle name="40% - Akzent5 3 4 2 3 5" xfId="5110"/>
    <cellStyle name="40% - Akzent5 3 4 2 4" xfId="5111"/>
    <cellStyle name="40% - Akzent5 3 4 2 4 2" xfId="5112"/>
    <cellStyle name="40% - Akzent5 3 4 2 4 2 2" xfId="5113"/>
    <cellStyle name="40% - Akzent5 3 4 2 4 3" xfId="5114"/>
    <cellStyle name="40% - Akzent5 3 4 2 4 4" xfId="5115"/>
    <cellStyle name="40% - Akzent5 3 4 2 5" xfId="5116"/>
    <cellStyle name="40% - Akzent5 3 4 2 5 2" xfId="5117"/>
    <cellStyle name="40% - Akzent5 3 4 2 6" xfId="5118"/>
    <cellStyle name="40% - Akzent5 3 4 2 7" xfId="5119"/>
    <cellStyle name="40% - Akzent5 3 4 2 8" xfId="5120"/>
    <cellStyle name="40% - Akzent5 3 4 2 9" xfId="5121"/>
    <cellStyle name="40% - Akzent5 3 4 3" xfId="5122"/>
    <cellStyle name="40% - Akzent5 3 4 3 2" xfId="5123"/>
    <cellStyle name="40% - Akzent5 3 4 3 2 2" xfId="5124"/>
    <cellStyle name="40% - Akzent5 3 4 3 3" xfId="5125"/>
    <cellStyle name="40% - Akzent5 3 4 3 4" xfId="5126"/>
    <cellStyle name="40% - Akzent5 3 4 3 5" xfId="5127"/>
    <cellStyle name="40% - Akzent5 3 4 4" xfId="5128"/>
    <cellStyle name="40% - Akzent5 3 4 4 2" xfId="5129"/>
    <cellStyle name="40% - Akzent5 3 4 4 2 2" xfId="5130"/>
    <cellStyle name="40% - Akzent5 3 4 4 3" xfId="5131"/>
    <cellStyle name="40% - Akzent5 3 4 4 4" xfId="5132"/>
    <cellStyle name="40% - Akzent5 3 4 4 5" xfId="5133"/>
    <cellStyle name="40% - Akzent5 3 4 5" xfId="5134"/>
    <cellStyle name="40% - Akzent5 3 4 5 2" xfId="5135"/>
    <cellStyle name="40% - Akzent5 3 4 5 2 2" xfId="5136"/>
    <cellStyle name="40% - Akzent5 3 4 5 3" xfId="5137"/>
    <cellStyle name="40% - Akzent5 3 4 5 4" xfId="5138"/>
    <cellStyle name="40% - Akzent5 3 4 6" xfId="5139"/>
    <cellStyle name="40% - Akzent5 3 4 6 2" xfId="5140"/>
    <cellStyle name="40% - Akzent5 3 4 7" xfId="5141"/>
    <cellStyle name="40% - Akzent5 3 4 8" xfId="5142"/>
    <cellStyle name="40% - Akzent5 3 4 9" xfId="5143"/>
    <cellStyle name="40% - Akzent5 3 5" xfId="5144"/>
    <cellStyle name="40% - Akzent5 3 5 10" xfId="5145"/>
    <cellStyle name="40% - Akzent5 3 5 2" xfId="5146"/>
    <cellStyle name="40% - Akzent5 3 5 2 2" xfId="5147"/>
    <cellStyle name="40% - Akzent5 3 5 2 2 2" xfId="5148"/>
    <cellStyle name="40% - Akzent5 3 5 2 2 2 2" xfId="5149"/>
    <cellStyle name="40% - Akzent5 3 5 2 2 3" xfId="5150"/>
    <cellStyle name="40% - Akzent5 3 5 2 2 4" xfId="5151"/>
    <cellStyle name="40% - Akzent5 3 5 2 2 5" xfId="5152"/>
    <cellStyle name="40% - Akzent5 3 5 2 3" xfId="5153"/>
    <cellStyle name="40% - Akzent5 3 5 2 3 2" xfId="5154"/>
    <cellStyle name="40% - Akzent5 3 5 2 3 2 2" xfId="5155"/>
    <cellStyle name="40% - Akzent5 3 5 2 3 3" xfId="5156"/>
    <cellStyle name="40% - Akzent5 3 5 2 3 4" xfId="5157"/>
    <cellStyle name="40% - Akzent5 3 5 2 3 5" xfId="5158"/>
    <cellStyle name="40% - Akzent5 3 5 2 4" xfId="5159"/>
    <cellStyle name="40% - Akzent5 3 5 2 4 2" xfId="5160"/>
    <cellStyle name="40% - Akzent5 3 5 2 4 2 2" xfId="5161"/>
    <cellStyle name="40% - Akzent5 3 5 2 4 3" xfId="5162"/>
    <cellStyle name="40% - Akzent5 3 5 2 4 4" xfId="5163"/>
    <cellStyle name="40% - Akzent5 3 5 2 5" xfId="5164"/>
    <cellStyle name="40% - Akzent5 3 5 2 5 2" xfId="5165"/>
    <cellStyle name="40% - Akzent5 3 5 2 6" xfId="5166"/>
    <cellStyle name="40% - Akzent5 3 5 2 7" xfId="5167"/>
    <cellStyle name="40% - Akzent5 3 5 2 8" xfId="5168"/>
    <cellStyle name="40% - Akzent5 3 5 2 9" xfId="5169"/>
    <cellStyle name="40% - Akzent5 3 5 3" xfId="5170"/>
    <cellStyle name="40% - Akzent5 3 5 3 2" xfId="5171"/>
    <cellStyle name="40% - Akzent5 3 5 3 2 2" xfId="5172"/>
    <cellStyle name="40% - Akzent5 3 5 3 3" xfId="5173"/>
    <cellStyle name="40% - Akzent5 3 5 3 4" xfId="5174"/>
    <cellStyle name="40% - Akzent5 3 5 3 5" xfId="5175"/>
    <cellStyle name="40% - Akzent5 3 5 4" xfId="5176"/>
    <cellStyle name="40% - Akzent5 3 5 4 2" xfId="5177"/>
    <cellStyle name="40% - Akzent5 3 5 4 2 2" xfId="5178"/>
    <cellStyle name="40% - Akzent5 3 5 4 3" xfId="5179"/>
    <cellStyle name="40% - Akzent5 3 5 4 4" xfId="5180"/>
    <cellStyle name="40% - Akzent5 3 5 4 5" xfId="5181"/>
    <cellStyle name="40% - Akzent5 3 5 5" xfId="5182"/>
    <cellStyle name="40% - Akzent5 3 5 5 2" xfId="5183"/>
    <cellStyle name="40% - Akzent5 3 5 5 2 2" xfId="5184"/>
    <cellStyle name="40% - Akzent5 3 5 5 3" xfId="5185"/>
    <cellStyle name="40% - Akzent5 3 5 5 4" xfId="5186"/>
    <cellStyle name="40% - Akzent5 3 5 6" xfId="5187"/>
    <cellStyle name="40% - Akzent5 3 5 6 2" xfId="5188"/>
    <cellStyle name="40% - Akzent5 3 5 7" xfId="5189"/>
    <cellStyle name="40% - Akzent5 3 5 8" xfId="5190"/>
    <cellStyle name="40% - Akzent5 3 5 9" xfId="5191"/>
    <cellStyle name="40% - Akzent5 3 6" xfId="5192"/>
    <cellStyle name="40% - Akzent5 3 6 2" xfId="5193"/>
    <cellStyle name="40% - Akzent5 3 6 2 2" xfId="5194"/>
    <cellStyle name="40% - Akzent5 3 6 2 2 2" xfId="5195"/>
    <cellStyle name="40% - Akzent5 3 6 2 3" xfId="5196"/>
    <cellStyle name="40% - Akzent5 3 6 2 4" xfId="5197"/>
    <cellStyle name="40% - Akzent5 3 6 2 5" xfId="5198"/>
    <cellStyle name="40% - Akzent5 3 6 3" xfId="5199"/>
    <cellStyle name="40% - Akzent5 3 6 3 2" xfId="5200"/>
    <cellStyle name="40% - Akzent5 3 6 3 2 2" xfId="5201"/>
    <cellStyle name="40% - Akzent5 3 6 3 3" xfId="5202"/>
    <cellStyle name="40% - Akzent5 3 6 3 4" xfId="5203"/>
    <cellStyle name="40% - Akzent5 3 6 3 5" xfId="5204"/>
    <cellStyle name="40% - Akzent5 3 6 4" xfId="5205"/>
    <cellStyle name="40% - Akzent5 3 6 4 2" xfId="5206"/>
    <cellStyle name="40% - Akzent5 3 6 4 2 2" xfId="5207"/>
    <cellStyle name="40% - Akzent5 3 6 4 3" xfId="5208"/>
    <cellStyle name="40% - Akzent5 3 6 4 4" xfId="5209"/>
    <cellStyle name="40% - Akzent5 3 6 5" xfId="5210"/>
    <cellStyle name="40% - Akzent5 3 6 5 2" xfId="5211"/>
    <cellStyle name="40% - Akzent5 3 6 6" xfId="5212"/>
    <cellStyle name="40% - Akzent5 3 6 7" xfId="5213"/>
    <cellStyle name="40% - Akzent5 3 6 8" xfId="5214"/>
    <cellStyle name="40% - Akzent5 3 6 9" xfId="5215"/>
    <cellStyle name="40% - Akzent5 3 7" xfId="5216"/>
    <cellStyle name="40% - Akzent5 3 7 2" xfId="5217"/>
    <cellStyle name="40% - Akzent5 3 7 2 2" xfId="5218"/>
    <cellStyle name="40% - Akzent5 3 7 3" xfId="5219"/>
    <cellStyle name="40% - Akzent5 3 7 4" xfId="5220"/>
    <cellStyle name="40% - Akzent5 3 7 5" xfId="5221"/>
    <cellStyle name="40% - Akzent5 3 8" xfId="5222"/>
    <cellStyle name="40% - Akzent5 3 8 2" xfId="5223"/>
    <cellStyle name="40% - Akzent5 3 8 2 2" xfId="5224"/>
    <cellStyle name="40% - Akzent5 3 8 3" xfId="5225"/>
    <cellStyle name="40% - Akzent5 3 8 4" xfId="5226"/>
    <cellStyle name="40% - Akzent5 3 8 5" xfId="5227"/>
    <cellStyle name="40% - Akzent5 3 9" xfId="5228"/>
    <cellStyle name="40% - Akzent5 3 9 2" xfId="5229"/>
    <cellStyle name="40% - Akzent5 3 9 2 2" xfId="5230"/>
    <cellStyle name="40% - Akzent5 3 9 3" xfId="5231"/>
    <cellStyle name="40% - Akzent5 3 9 4" xfId="5232"/>
    <cellStyle name="40% - Akzent5 4" xfId="5233"/>
    <cellStyle name="40% - Akzent5 4 10" xfId="5234"/>
    <cellStyle name="40% - Akzent5 4 2" xfId="5235"/>
    <cellStyle name="40% - Akzent5 4 2 2" xfId="5236"/>
    <cellStyle name="40% - Akzent5 4 2 2 2" xfId="5237"/>
    <cellStyle name="40% - Akzent5 4 2 2 2 2" xfId="5238"/>
    <cellStyle name="40% - Akzent5 4 2 2 3" xfId="5239"/>
    <cellStyle name="40% - Akzent5 4 2 2 4" xfId="5240"/>
    <cellStyle name="40% - Akzent5 4 2 2 5" xfId="5241"/>
    <cellStyle name="40% - Akzent5 4 2 3" xfId="5242"/>
    <cellStyle name="40% - Akzent5 4 2 3 2" xfId="5243"/>
    <cellStyle name="40% - Akzent5 4 2 3 2 2" xfId="5244"/>
    <cellStyle name="40% - Akzent5 4 2 3 3" xfId="5245"/>
    <cellStyle name="40% - Akzent5 4 2 3 4" xfId="5246"/>
    <cellStyle name="40% - Akzent5 4 2 3 5" xfId="5247"/>
    <cellStyle name="40% - Akzent5 4 2 4" xfId="5248"/>
    <cellStyle name="40% - Akzent5 4 2 4 2" xfId="5249"/>
    <cellStyle name="40% - Akzent5 4 2 4 2 2" xfId="5250"/>
    <cellStyle name="40% - Akzent5 4 2 4 3" xfId="5251"/>
    <cellStyle name="40% - Akzent5 4 2 4 4" xfId="5252"/>
    <cellStyle name="40% - Akzent5 4 2 5" xfId="5253"/>
    <cellStyle name="40% - Akzent5 4 2 5 2" xfId="5254"/>
    <cellStyle name="40% - Akzent5 4 2 6" xfId="5255"/>
    <cellStyle name="40% - Akzent5 4 2 7" xfId="5256"/>
    <cellStyle name="40% - Akzent5 4 2 8" xfId="5257"/>
    <cellStyle name="40% - Akzent5 4 2 9" xfId="5258"/>
    <cellStyle name="40% - Akzent5 4 3" xfId="5259"/>
    <cellStyle name="40% - Akzent5 4 3 2" xfId="5260"/>
    <cellStyle name="40% - Akzent5 4 3 2 2" xfId="5261"/>
    <cellStyle name="40% - Akzent5 4 3 3" xfId="5262"/>
    <cellStyle name="40% - Akzent5 4 3 4" xfId="5263"/>
    <cellStyle name="40% - Akzent5 4 3 5" xfId="5264"/>
    <cellStyle name="40% - Akzent5 4 4" xfId="5265"/>
    <cellStyle name="40% - Akzent5 4 4 2" xfId="5266"/>
    <cellStyle name="40% - Akzent5 4 4 2 2" xfId="5267"/>
    <cellStyle name="40% - Akzent5 4 4 3" xfId="5268"/>
    <cellStyle name="40% - Akzent5 4 4 4" xfId="5269"/>
    <cellStyle name="40% - Akzent5 4 4 5" xfId="5270"/>
    <cellStyle name="40% - Akzent5 4 5" xfId="5271"/>
    <cellStyle name="40% - Akzent5 4 5 2" xfId="5272"/>
    <cellStyle name="40% - Akzent5 4 5 2 2" xfId="5273"/>
    <cellStyle name="40% - Akzent5 4 5 3" xfId="5274"/>
    <cellStyle name="40% - Akzent5 4 5 4" xfId="5275"/>
    <cellStyle name="40% - Akzent5 4 6" xfId="5276"/>
    <cellStyle name="40% - Akzent5 4 6 2" xfId="5277"/>
    <cellStyle name="40% - Akzent5 4 7" xfId="5278"/>
    <cellStyle name="40% - Akzent5 4 8" xfId="5279"/>
    <cellStyle name="40% - Akzent5 4 9" xfId="5280"/>
    <cellStyle name="40% - Akzent5 5" xfId="5281"/>
    <cellStyle name="40% - Akzent5 5 10" xfId="5282"/>
    <cellStyle name="40% - Akzent5 5 2" xfId="5283"/>
    <cellStyle name="40% - Akzent5 5 2 2" xfId="5284"/>
    <cellStyle name="40% - Akzent5 5 2 2 2" xfId="5285"/>
    <cellStyle name="40% - Akzent5 5 2 2 2 2" xfId="5286"/>
    <cellStyle name="40% - Akzent5 5 2 2 3" xfId="5287"/>
    <cellStyle name="40% - Akzent5 5 2 2 4" xfId="5288"/>
    <cellStyle name="40% - Akzent5 5 2 2 5" xfId="5289"/>
    <cellStyle name="40% - Akzent5 5 2 3" xfId="5290"/>
    <cellStyle name="40% - Akzent5 5 2 3 2" xfId="5291"/>
    <cellStyle name="40% - Akzent5 5 2 3 2 2" xfId="5292"/>
    <cellStyle name="40% - Akzent5 5 2 3 3" xfId="5293"/>
    <cellStyle name="40% - Akzent5 5 2 3 4" xfId="5294"/>
    <cellStyle name="40% - Akzent5 5 2 3 5" xfId="5295"/>
    <cellStyle name="40% - Akzent5 5 2 4" xfId="5296"/>
    <cellStyle name="40% - Akzent5 5 2 4 2" xfId="5297"/>
    <cellStyle name="40% - Akzent5 5 2 4 2 2" xfId="5298"/>
    <cellStyle name="40% - Akzent5 5 2 4 3" xfId="5299"/>
    <cellStyle name="40% - Akzent5 5 2 4 4" xfId="5300"/>
    <cellStyle name="40% - Akzent5 5 2 5" xfId="5301"/>
    <cellStyle name="40% - Akzent5 5 2 5 2" xfId="5302"/>
    <cellStyle name="40% - Akzent5 5 2 6" xfId="5303"/>
    <cellStyle name="40% - Akzent5 5 2 7" xfId="5304"/>
    <cellStyle name="40% - Akzent5 5 2 8" xfId="5305"/>
    <cellStyle name="40% - Akzent5 5 2 9" xfId="5306"/>
    <cellStyle name="40% - Akzent5 5 3" xfId="5307"/>
    <cellStyle name="40% - Akzent5 5 3 2" xfId="5308"/>
    <cellStyle name="40% - Akzent5 5 3 2 2" xfId="5309"/>
    <cellStyle name="40% - Akzent5 5 3 3" xfId="5310"/>
    <cellStyle name="40% - Akzent5 5 3 4" xfId="5311"/>
    <cellStyle name="40% - Akzent5 5 3 5" xfId="5312"/>
    <cellStyle name="40% - Akzent5 5 4" xfId="5313"/>
    <cellStyle name="40% - Akzent5 5 4 2" xfId="5314"/>
    <cellStyle name="40% - Akzent5 5 4 2 2" xfId="5315"/>
    <cellStyle name="40% - Akzent5 5 4 3" xfId="5316"/>
    <cellStyle name="40% - Akzent5 5 4 4" xfId="5317"/>
    <cellStyle name="40% - Akzent5 5 4 5" xfId="5318"/>
    <cellStyle name="40% - Akzent5 5 5" xfId="5319"/>
    <cellStyle name="40% - Akzent5 5 5 2" xfId="5320"/>
    <cellStyle name="40% - Akzent5 5 5 2 2" xfId="5321"/>
    <cellStyle name="40% - Akzent5 5 5 3" xfId="5322"/>
    <cellStyle name="40% - Akzent5 5 5 4" xfId="5323"/>
    <cellStyle name="40% - Akzent5 5 6" xfId="5324"/>
    <cellStyle name="40% - Akzent5 5 6 2" xfId="5325"/>
    <cellStyle name="40% - Akzent5 5 7" xfId="5326"/>
    <cellStyle name="40% - Akzent5 5 8" xfId="5327"/>
    <cellStyle name="40% - Akzent5 5 9" xfId="5328"/>
    <cellStyle name="40% - Akzent5 6" xfId="5329"/>
    <cellStyle name="40% - Akzent5 6 10" xfId="5330"/>
    <cellStyle name="40% - Akzent5 6 2" xfId="5331"/>
    <cellStyle name="40% - Akzent5 6 2 2" xfId="5332"/>
    <cellStyle name="40% - Akzent5 6 2 2 2" xfId="5333"/>
    <cellStyle name="40% - Akzent5 6 2 2 2 2" xfId="5334"/>
    <cellStyle name="40% - Akzent5 6 2 2 3" xfId="5335"/>
    <cellStyle name="40% - Akzent5 6 2 2 4" xfId="5336"/>
    <cellStyle name="40% - Akzent5 6 2 2 5" xfId="5337"/>
    <cellStyle name="40% - Akzent5 6 2 3" xfId="5338"/>
    <cellStyle name="40% - Akzent5 6 2 3 2" xfId="5339"/>
    <cellStyle name="40% - Akzent5 6 2 3 2 2" xfId="5340"/>
    <cellStyle name="40% - Akzent5 6 2 3 3" xfId="5341"/>
    <cellStyle name="40% - Akzent5 6 2 3 4" xfId="5342"/>
    <cellStyle name="40% - Akzent5 6 2 3 5" xfId="5343"/>
    <cellStyle name="40% - Akzent5 6 2 4" xfId="5344"/>
    <cellStyle name="40% - Akzent5 6 2 4 2" xfId="5345"/>
    <cellStyle name="40% - Akzent5 6 2 4 2 2" xfId="5346"/>
    <cellStyle name="40% - Akzent5 6 2 4 3" xfId="5347"/>
    <cellStyle name="40% - Akzent5 6 2 4 4" xfId="5348"/>
    <cellStyle name="40% - Akzent5 6 2 5" xfId="5349"/>
    <cellStyle name="40% - Akzent5 6 2 5 2" xfId="5350"/>
    <cellStyle name="40% - Akzent5 6 2 6" xfId="5351"/>
    <cellStyle name="40% - Akzent5 6 2 7" xfId="5352"/>
    <cellStyle name="40% - Akzent5 6 2 8" xfId="5353"/>
    <cellStyle name="40% - Akzent5 6 2 9" xfId="5354"/>
    <cellStyle name="40% - Akzent5 6 3" xfId="5355"/>
    <cellStyle name="40% - Akzent5 6 3 2" xfId="5356"/>
    <cellStyle name="40% - Akzent5 6 3 2 2" xfId="5357"/>
    <cellStyle name="40% - Akzent5 6 3 3" xfId="5358"/>
    <cellStyle name="40% - Akzent5 6 3 4" xfId="5359"/>
    <cellStyle name="40% - Akzent5 6 3 5" xfId="5360"/>
    <cellStyle name="40% - Akzent5 6 4" xfId="5361"/>
    <cellStyle name="40% - Akzent5 6 4 2" xfId="5362"/>
    <cellStyle name="40% - Akzent5 6 4 2 2" xfId="5363"/>
    <cellStyle name="40% - Akzent5 6 4 3" xfId="5364"/>
    <cellStyle name="40% - Akzent5 6 4 4" xfId="5365"/>
    <cellStyle name="40% - Akzent5 6 4 5" xfId="5366"/>
    <cellStyle name="40% - Akzent5 6 5" xfId="5367"/>
    <cellStyle name="40% - Akzent5 6 5 2" xfId="5368"/>
    <cellStyle name="40% - Akzent5 6 5 2 2" xfId="5369"/>
    <cellStyle name="40% - Akzent5 6 5 3" xfId="5370"/>
    <cellStyle name="40% - Akzent5 6 5 4" xfId="5371"/>
    <cellStyle name="40% - Akzent5 6 6" xfId="5372"/>
    <cellStyle name="40% - Akzent5 6 6 2" xfId="5373"/>
    <cellStyle name="40% - Akzent5 6 7" xfId="5374"/>
    <cellStyle name="40% - Akzent5 6 8" xfId="5375"/>
    <cellStyle name="40% - Akzent5 6 9" xfId="5376"/>
    <cellStyle name="40% - Akzent5 7" xfId="5377"/>
    <cellStyle name="40% - Akzent5 7 2" xfId="5378"/>
    <cellStyle name="40% - Akzent5 7 2 2" xfId="5379"/>
    <cellStyle name="40% - Akzent5 7 3" xfId="5380"/>
    <cellStyle name="40% - Akzent5 7 4" xfId="5381"/>
    <cellStyle name="40% - Akzent5 7 5" xfId="5382"/>
    <cellStyle name="40% - Akzent5 8" xfId="5383"/>
    <cellStyle name="40% - Akzent5 8 2" xfId="5384"/>
    <cellStyle name="40% - Akzent5 8 2 2" xfId="5385"/>
    <cellStyle name="40% - Akzent5 8 3" xfId="5386"/>
    <cellStyle name="40% - Akzent5 8 4" xfId="5387"/>
    <cellStyle name="40% - Akzent5 8 5" xfId="5388"/>
    <cellStyle name="40% - Akzent5 9" xfId="5389"/>
    <cellStyle name="40% - Akzent5 9 2" xfId="5390"/>
    <cellStyle name="40% - Akzent5 9 2 2" xfId="5391"/>
    <cellStyle name="40% - Akzent5 9 3" xfId="5392"/>
    <cellStyle name="40% - Akzent6 10" xfId="5393"/>
    <cellStyle name="40% - Akzent6 10 2" xfId="5394"/>
    <cellStyle name="40% - Akzent6 11" xfId="5395"/>
    <cellStyle name="40% - Akzent6 2" xfId="5396"/>
    <cellStyle name="40% - Akzent6 2 2" xfId="5397"/>
    <cellStyle name="40% - Akzent6 3" xfId="5398"/>
    <cellStyle name="40% - Akzent6 3 10" xfId="5399"/>
    <cellStyle name="40% - Akzent6 3 10 2" xfId="5400"/>
    <cellStyle name="40% - Akzent6 3 11" xfId="5401"/>
    <cellStyle name="40% - Akzent6 3 12" xfId="5402"/>
    <cellStyle name="40% - Akzent6 3 13" xfId="5403"/>
    <cellStyle name="40% - Akzent6 3 14" xfId="5404"/>
    <cellStyle name="40% - Akzent6 3 2" xfId="5405"/>
    <cellStyle name="40% - Akzent6 3 2 10" xfId="5406"/>
    <cellStyle name="40% - Akzent6 3 2 11" xfId="5407"/>
    <cellStyle name="40% - Akzent6 3 2 2" xfId="5408"/>
    <cellStyle name="40% - Akzent6 3 2 2 10" xfId="5409"/>
    <cellStyle name="40% - Akzent6 3 2 2 2" xfId="5410"/>
    <cellStyle name="40% - Akzent6 3 2 2 2 2" xfId="5411"/>
    <cellStyle name="40% - Akzent6 3 2 2 2 2 2" xfId="5412"/>
    <cellStyle name="40% - Akzent6 3 2 2 2 2 2 2" xfId="5413"/>
    <cellStyle name="40% - Akzent6 3 2 2 2 2 3" xfId="5414"/>
    <cellStyle name="40% - Akzent6 3 2 2 2 2 4" xfId="5415"/>
    <cellStyle name="40% - Akzent6 3 2 2 2 2 5" xfId="5416"/>
    <cellStyle name="40% - Akzent6 3 2 2 2 3" xfId="5417"/>
    <cellStyle name="40% - Akzent6 3 2 2 2 3 2" xfId="5418"/>
    <cellStyle name="40% - Akzent6 3 2 2 2 3 2 2" xfId="5419"/>
    <cellStyle name="40% - Akzent6 3 2 2 2 3 3" xfId="5420"/>
    <cellStyle name="40% - Akzent6 3 2 2 2 3 4" xfId="5421"/>
    <cellStyle name="40% - Akzent6 3 2 2 2 3 5" xfId="5422"/>
    <cellStyle name="40% - Akzent6 3 2 2 2 4" xfId="5423"/>
    <cellStyle name="40% - Akzent6 3 2 2 2 4 2" xfId="5424"/>
    <cellStyle name="40% - Akzent6 3 2 2 2 4 2 2" xfId="5425"/>
    <cellStyle name="40% - Akzent6 3 2 2 2 4 3" xfId="5426"/>
    <cellStyle name="40% - Akzent6 3 2 2 2 4 4" xfId="5427"/>
    <cellStyle name="40% - Akzent6 3 2 2 2 5" xfId="5428"/>
    <cellStyle name="40% - Akzent6 3 2 2 2 5 2" xfId="5429"/>
    <cellStyle name="40% - Akzent6 3 2 2 2 6" xfId="5430"/>
    <cellStyle name="40% - Akzent6 3 2 2 2 7" xfId="5431"/>
    <cellStyle name="40% - Akzent6 3 2 2 2 8" xfId="5432"/>
    <cellStyle name="40% - Akzent6 3 2 2 2 9" xfId="5433"/>
    <cellStyle name="40% - Akzent6 3 2 2 3" xfId="5434"/>
    <cellStyle name="40% - Akzent6 3 2 2 3 2" xfId="5435"/>
    <cellStyle name="40% - Akzent6 3 2 2 3 2 2" xfId="5436"/>
    <cellStyle name="40% - Akzent6 3 2 2 3 3" xfId="5437"/>
    <cellStyle name="40% - Akzent6 3 2 2 3 4" xfId="5438"/>
    <cellStyle name="40% - Akzent6 3 2 2 3 5" xfId="5439"/>
    <cellStyle name="40% - Akzent6 3 2 2 4" xfId="5440"/>
    <cellStyle name="40% - Akzent6 3 2 2 4 2" xfId="5441"/>
    <cellStyle name="40% - Akzent6 3 2 2 4 2 2" xfId="5442"/>
    <cellStyle name="40% - Akzent6 3 2 2 4 3" xfId="5443"/>
    <cellStyle name="40% - Akzent6 3 2 2 4 4" xfId="5444"/>
    <cellStyle name="40% - Akzent6 3 2 2 4 5" xfId="5445"/>
    <cellStyle name="40% - Akzent6 3 2 2 5" xfId="5446"/>
    <cellStyle name="40% - Akzent6 3 2 2 5 2" xfId="5447"/>
    <cellStyle name="40% - Akzent6 3 2 2 5 2 2" xfId="5448"/>
    <cellStyle name="40% - Akzent6 3 2 2 5 3" xfId="5449"/>
    <cellStyle name="40% - Akzent6 3 2 2 5 4" xfId="5450"/>
    <cellStyle name="40% - Akzent6 3 2 2 6" xfId="5451"/>
    <cellStyle name="40% - Akzent6 3 2 2 6 2" xfId="5452"/>
    <cellStyle name="40% - Akzent6 3 2 2 7" xfId="5453"/>
    <cellStyle name="40% - Akzent6 3 2 2 8" xfId="5454"/>
    <cellStyle name="40% - Akzent6 3 2 2 9" xfId="5455"/>
    <cellStyle name="40% - Akzent6 3 2 3" xfId="5456"/>
    <cellStyle name="40% - Akzent6 3 2 3 2" xfId="5457"/>
    <cellStyle name="40% - Akzent6 3 2 3 2 2" xfId="5458"/>
    <cellStyle name="40% - Akzent6 3 2 3 2 2 2" xfId="5459"/>
    <cellStyle name="40% - Akzent6 3 2 3 2 3" xfId="5460"/>
    <cellStyle name="40% - Akzent6 3 2 3 2 4" xfId="5461"/>
    <cellStyle name="40% - Akzent6 3 2 3 2 5" xfId="5462"/>
    <cellStyle name="40% - Akzent6 3 2 3 3" xfId="5463"/>
    <cellStyle name="40% - Akzent6 3 2 3 3 2" xfId="5464"/>
    <cellStyle name="40% - Akzent6 3 2 3 3 2 2" xfId="5465"/>
    <cellStyle name="40% - Akzent6 3 2 3 3 3" xfId="5466"/>
    <cellStyle name="40% - Akzent6 3 2 3 3 4" xfId="5467"/>
    <cellStyle name="40% - Akzent6 3 2 3 3 5" xfId="5468"/>
    <cellStyle name="40% - Akzent6 3 2 3 4" xfId="5469"/>
    <cellStyle name="40% - Akzent6 3 2 3 4 2" xfId="5470"/>
    <cellStyle name="40% - Akzent6 3 2 3 4 2 2" xfId="5471"/>
    <cellStyle name="40% - Akzent6 3 2 3 4 3" xfId="5472"/>
    <cellStyle name="40% - Akzent6 3 2 3 4 4" xfId="5473"/>
    <cellStyle name="40% - Akzent6 3 2 3 5" xfId="5474"/>
    <cellStyle name="40% - Akzent6 3 2 3 5 2" xfId="5475"/>
    <cellStyle name="40% - Akzent6 3 2 3 6" xfId="5476"/>
    <cellStyle name="40% - Akzent6 3 2 3 7" xfId="5477"/>
    <cellStyle name="40% - Akzent6 3 2 3 8" xfId="5478"/>
    <cellStyle name="40% - Akzent6 3 2 3 9" xfId="5479"/>
    <cellStyle name="40% - Akzent6 3 2 4" xfId="5480"/>
    <cellStyle name="40% - Akzent6 3 2 4 2" xfId="5481"/>
    <cellStyle name="40% - Akzent6 3 2 4 2 2" xfId="5482"/>
    <cellStyle name="40% - Akzent6 3 2 4 3" xfId="5483"/>
    <cellStyle name="40% - Akzent6 3 2 4 4" xfId="5484"/>
    <cellStyle name="40% - Akzent6 3 2 4 5" xfId="5485"/>
    <cellStyle name="40% - Akzent6 3 2 5" xfId="5486"/>
    <cellStyle name="40% - Akzent6 3 2 5 2" xfId="5487"/>
    <cellStyle name="40% - Akzent6 3 2 5 2 2" xfId="5488"/>
    <cellStyle name="40% - Akzent6 3 2 5 3" xfId="5489"/>
    <cellStyle name="40% - Akzent6 3 2 5 4" xfId="5490"/>
    <cellStyle name="40% - Akzent6 3 2 5 5" xfId="5491"/>
    <cellStyle name="40% - Akzent6 3 2 6" xfId="5492"/>
    <cellStyle name="40% - Akzent6 3 2 6 2" xfId="5493"/>
    <cellStyle name="40% - Akzent6 3 2 6 2 2" xfId="5494"/>
    <cellStyle name="40% - Akzent6 3 2 6 3" xfId="5495"/>
    <cellStyle name="40% - Akzent6 3 2 6 4" xfId="5496"/>
    <cellStyle name="40% - Akzent6 3 2 7" xfId="5497"/>
    <cellStyle name="40% - Akzent6 3 2 7 2" xfId="5498"/>
    <cellStyle name="40% - Akzent6 3 2 8" xfId="5499"/>
    <cellStyle name="40% - Akzent6 3 2 9" xfId="5500"/>
    <cellStyle name="40% - Akzent6 3 3" xfId="5501"/>
    <cellStyle name="40% - Akzent6 3 3 10" xfId="5502"/>
    <cellStyle name="40% - Akzent6 3 3 11" xfId="5503"/>
    <cellStyle name="40% - Akzent6 3 3 2" xfId="5504"/>
    <cellStyle name="40% - Akzent6 3 3 2 10" xfId="5505"/>
    <cellStyle name="40% - Akzent6 3 3 2 2" xfId="5506"/>
    <cellStyle name="40% - Akzent6 3 3 2 2 2" xfId="5507"/>
    <cellStyle name="40% - Akzent6 3 3 2 2 2 2" xfId="5508"/>
    <cellStyle name="40% - Akzent6 3 3 2 2 2 2 2" xfId="5509"/>
    <cellStyle name="40% - Akzent6 3 3 2 2 2 3" xfId="5510"/>
    <cellStyle name="40% - Akzent6 3 3 2 2 2 4" xfId="5511"/>
    <cellStyle name="40% - Akzent6 3 3 2 2 2 5" xfId="5512"/>
    <cellStyle name="40% - Akzent6 3 3 2 2 3" xfId="5513"/>
    <cellStyle name="40% - Akzent6 3 3 2 2 3 2" xfId="5514"/>
    <cellStyle name="40% - Akzent6 3 3 2 2 3 2 2" xfId="5515"/>
    <cellStyle name="40% - Akzent6 3 3 2 2 3 3" xfId="5516"/>
    <cellStyle name="40% - Akzent6 3 3 2 2 3 4" xfId="5517"/>
    <cellStyle name="40% - Akzent6 3 3 2 2 3 5" xfId="5518"/>
    <cellStyle name="40% - Akzent6 3 3 2 2 4" xfId="5519"/>
    <cellStyle name="40% - Akzent6 3 3 2 2 4 2" xfId="5520"/>
    <cellStyle name="40% - Akzent6 3 3 2 2 4 2 2" xfId="5521"/>
    <cellStyle name="40% - Akzent6 3 3 2 2 4 3" xfId="5522"/>
    <cellStyle name="40% - Akzent6 3 3 2 2 4 4" xfId="5523"/>
    <cellStyle name="40% - Akzent6 3 3 2 2 5" xfId="5524"/>
    <cellStyle name="40% - Akzent6 3 3 2 2 5 2" xfId="5525"/>
    <cellStyle name="40% - Akzent6 3 3 2 2 6" xfId="5526"/>
    <cellStyle name="40% - Akzent6 3 3 2 2 7" xfId="5527"/>
    <cellStyle name="40% - Akzent6 3 3 2 2 8" xfId="5528"/>
    <cellStyle name="40% - Akzent6 3 3 2 2 9" xfId="5529"/>
    <cellStyle name="40% - Akzent6 3 3 2 3" xfId="5530"/>
    <cellStyle name="40% - Akzent6 3 3 2 3 2" xfId="5531"/>
    <cellStyle name="40% - Akzent6 3 3 2 3 2 2" xfId="5532"/>
    <cellStyle name="40% - Akzent6 3 3 2 3 3" xfId="5533"/>
    <cellStyle name="40% - Akzent6 3 3 2 3 4" xfId="5534"/>
    <cellStyle name="40% - Akzent6 3 3 2 3 5" xfId="5535"/>
    <cellStyle name="40% - Akzent6 3 3 2 4" xfId="5536"/>
    <cellStyle name="40% - Akzent6 3 3 2 4 2" xfId="5537"/>
    <cellStyle name="40% - Akzent6 3 3 2 4 2 2" xfId="5538"/>
    <cellStyle name="40% - Akzent6 3 3 2 4 3" xfId="5539"/>
    <cellStyle name="40% - Akzent6 3 3 2 4 4" xfId="5540"/>
    <cellStyle name="40% - Akzent6 3 3 2 4 5" xfId="5541"/>
    <cellStyle name="40% - Akzent6 3 3 2 5" xfId="5542"/>
    <cellStyle name="40% - Akzent6 3 3 2 5 2" xfId="5543"/>
    <cellStyle name="40% - Akzent6 3 3 2 5 2 2" xfId="5544"/>
    <cellStyle name="40% - Akzent6 3 3 2 5 3" xfId="5545"/>
    <cellStyle name="40% - Akzent6 3 3 2 5 4" xfId="5546"/>
    <cellStyle name="40% - Akzent6 3 3 2 6" xfId="5547"/>
    <cellStyle name="40% - Akzent6 3 3 2 6 2" xfId="5548"/>
    <cellStyle name="40% - Akzent6 3 3 2 7" xfId="5549"/>
    <cellStyle name="40% - Akzent6 3 3 2 8" xfId="5550"/>
    <cellStyle name="40% - Akzent6 3 3 2 9" xfId="5551"/>
    <cellStyle name="40% - Akzent6 3 3 3" xfId="5552"/>
    <cellStyle name="40% - Akzent6 3 3 3 2" xfId="5553"/>
    <cellStyle name="40% - Akzent6 3 3 3 2 2" xfId="5554"/>
    <cellStyle name="40% - Akzent6 3 3 3 2 2 2" xfId="5555"/>
    <cellStyle name="40% - Akzent6 3 3 3 2 3" xfId="5556"/>
    <cellStyle name="40% - Akzent6 3 3 3 2 4" xfId="5557"/>
    <cellStyle name="40% - Akzent6 3 3 3 2 5" xfId="5558"/>
    <cellStyle name="40% - Akzent6 3 3 3 3" xfId="5559"/>
    <cellStyle name="40% - Akzent6 3 3 3 3 2" xfId="5560"/>
    <cellStyle name="40% - Akzent6 3 3 3 3 2 2" xfId="5561"/>
    <cellStyle name="40% - Akzent6 3 3 3 3 3" xfId="5562"/>
    <cellStyle name="40% - Akzent6 3 3 3 3 4" xfId="5563"/>
    <cellStyle name="40% - Akzent6 3 3 3 3 5" xfId="5564"/>
    <cellStyle name="40% - Akzent6 3 3 3 4" xfId="5565"/>
    <cellStyle name="40% - Akzent6 3 3 3 4 2" xfId="5566"/>
    <cellStyle name="40% - Akzent6 3 3 3 4 2 2" xfId="5567"/>
    <cellStyle name="40% - Akzent6 3 3 3 4 3" xfId="5568"/>
    <cellStyle name="40% - Akzent6 3 3 3 4 4" xfId="5569"/>
    <cellStyle name="40% - Akzent6 3 3 3 5" xfId="5570"/>
    <cellStyle name="40% - Akzent6 3 3 3 5 2" xfId="5571"/>
    <cellStyle name="40% - Akzent6 3 3 3 6" xfId="5572"/>
    <cellStyle name="40% - Akzent6 3 3 3 7" xfId="5573"/>
    <cellStyle name="40% - Akzent6 3 3 3 8" xfId="5574"/>
    <cellStyle name="40% - Akzent6 3 3 3 9" xfId="5575"/>
    <cellStyle name="40% - Akzent6 3 3 4" xfId="5576"/>
    <cellStyle name="40% - Akzent6 3 3 4 2" xfId="5577"/>
    <cellStyle name="40% - Akzent6 3 3 4 2 2" xfId="5578"/>
    <cellStyle name="40% - Akzent6 3 3 4 3" xfId="5579"/>
    <cellStyle name="40% - Akzent6 3 3 4 4" xfId="5580"/>
    <cellStyle name="40% - Akzent6 3 3 4 5" xfId="5581"/>
    <cellStyle name="40% - Akzent6 3 3 5" xfId="5582"/>
    <cellStyle name="40% - Akzent6 3 3 5 2" xfId="5583"/>
    <cellStyle name="40% - Akzent6 3 3 5 2 2" xfId="5584"/>
    <cellStyle name="40% - Akzent6 3 3 5 3" xfId="5585"/>
    <cellStyle name="40% - Akzent6 3 3 5 4" xfId="5586"/>
    <cellStyle name="40% - Akzent6 3 3 5 5" xfId="5587"/>
    <cellStyle name="40% - Akzent6 3 3 6" xfId="5588"/>
    <cellStyle name="40% - Akzent6 3 3 6 2" xfId="5589"/>
    <cellStyle name="40% - Akzent6 3 3 6 2 2" xfId="5590"/>
    <cellStyle name="40% - Akzent6 3 3 6 3" xfId="5591"/>
    <cellStyle name="40% - Akzent6 3 3 6 4" xfId="5592"/>
    <cellStyle name="40% - Akzent6 3 3 7" xfId="5593"/>
    <cellStyle name="40% - Akzent6 3 3 7 2" xfId="5594"/>
    <cellStyle name="40% - Akzent6 3 3 8" xfId="5595"/>
    <cellStyle name="40% - Akzent6 3 3 9" xfId="5596"/>
    <cellStyle name="40% - Akzent6 3 4" xfId="5597"/>
    <cellStyle name="40% - Akzent6 3 4 10" xfId="5598"/>
    <cellStyle name="40% - Akzent6 3 4 2" xfId="5599"/>
    <cellStyle name="40% - Akzent6 3 4 2 2" xfId="5600"/>
    <cellStyle name="40% - Akzent6 3 4 2 2 2" xfId="5601"/>
    <cellStyle name="40% - Akzent6 3 4 2 2 2 2" xfId="5602"/>
    <cellStyle name="40% - Akzent6 3 4 2 2 3" xfId="5603"/>
    <cellStyle name="40% - Akzent6 3 4 2 2 4" xfId="5604"/>
    <cellStyle name="40% - Akzent6 3 4 2 2 5" xfId="5605"/>
    <cellStyle name="40% - Akzent6 3 4 2 3" xfId="5606"/>
    <cellStyle name="40% - Akzent6 3 4 2 3 2" xfId="5607"/>
    <cellStyle name="40% - Akzent6 3 4 2 3 2 2" xfId="5608"/>
    <cellStyle name="40% - Akzent6 3 4 2 3 3" xfId="5609"/>
    <cellStyle name="40% - Akzent6 3 4 2 3 4" xfId="5610"/>
    <cellStyle name="40% - Akzent6 3 4 2 3 5" xfId="5611"/>
    <cellStyle name="40% - Akzent6 3 4 2 4" xfId="5612"/>
    <cellStyle name="40% - Akzent6 3 4 2 4 2" xfId="5613"/>
    <cellStyle name="40% - Akzent6 3 4 2 4 2 2" xfId="5614"/>
    <cellStyle name="40% - Akzent6 3 4 2 4 3" xfId="5615"/>
    <cellStyle name="40% - Akzent6 3 4 2 4 4" xfId="5616"/>
    <cellStyle name="40% - Akzent6 3 4 2 5" xfId="5617"/>
    <cellStyle name="40% - Akzent6 3 4 2 5 2" xfId="5618"/>
    <cellStyle name="40% - Akzent6 3 4 2 6" xfId="5619"/>
    <cellStyle name="40% - Akzent6 3 4 2 7" xfId="5620"/>
    <cellStyle name="40% - Akzent6 3 4 2 8" xfId="5621"/>
    <cellStyle name="40% - Akzent6 3 4 2 9" xfId="5622"/>
    <cellStyle name="40% - Akzent6 3 4 3" xfId="5623"/>
    <cellStyle name="40% - Akzent6 3 4 3 2" xfId="5624"/>
    <cellStyle name="40% - Akzent6 3 4 3 2 2" xfId="5625"/>
    <cellStyle name="40% - Akzent6 3 4 3 3" xfId="5626"/>
    <cellStyle name="40% - Akzent6 3 4 3 4" xfId="5627"/>
    <cellStyle name="40% - Akzent6 3 4 3 5" xfId="5628"/>
    <cellStyle name="40% - Akzent6 3 4 4" xfId="5629"/>
    <cellStyle name="40% - Akzent6 3 4 4 2" xfId="5630"/>
    <cellStyle name="40% - Akzent6 3 4 4 2 2" xfId="5631"/>
    <cellStyle name="40% - Akzent6 3 4 4 3" xfId="5632"/>
    <cellStyle name="40% - Akzent6 3 4 4 4" xfId="5633"/>
    <cellStyle name="40% - Akzent6 3 4 4 5" xfId="5634"/>
    <cellStyle name="40% - Akzent6 3 4 5" xfId="5635"/>
    <cellStyle name="40% - Akzent6 3 4 5 2" xfId="5636"/>
    <cellStyle name="40% - Akzent6 3 4 5 2 2" xfId="5637"/>
    <cellStyle name="40% - Akzent6 3 4 5 3" xfId="5638"/>
    <cellStyle name="40% - Akzent6 3 4 5 4" xfId="5639"/>
    <cellStyle name="40% - Akzent6 3 4 6" xfId="5640"/>
    <cellStyle name="40% - Akzent6 3 4 6 2" xfId="5641"/>
    <cellStyle name="40% - Akzent6 3 4 7" xfId="5642"/>
    <cellStyle name="40% - Akzent6 3 4 8" xfId="5643"/>
    <cellStyle name="40% - Akzent6 3 4 9" xfId="5644"/>
    <cellStyle name="40% - Akzent6 3 5" xfId="5645"/>
    <cellStyle name="40% - Akzent6 3 5 10" xfId="5646"/>
    <cellStyle name="40% - Akzent6 3 5 2" xfId="5647"/>
    <cellStyle name="40% - Akzent6 3 5 2 2" xfId="5648"/>
    <cellStyle name="40% - Akzent6 3 5 2 2 2" xfId="5649"/>
    <cellStyle name="40% - Akzent6 3 5 2 2 2 2" xfId="5650"/>
    <cellStyle name="40% - Akzent6 3 5 2 2 3" xfId="5651"/>
    <cellStyle name="40% - Akzent6 3 5 2 2 4" xfId="5652"/>
    <cellStyle name="40% - Akzent6 3 5 2 2 5" xfId="5653"/>
    <cellStyle name="40% - Akzent6 3 5 2 3" xfId="5654"/>
    <cellStyle name="40% - Akzent6 3 5 2 3 2" xfId="5655"/>
    <cellStyle name="40% - Akzent6 3 5 2 3 2 2" xfId="5656"/>
    <cellStyle name="40% - Akzent6 3 5 2 3 3" xfId="5657"/>
    <cellStyle name="40% - Akzent6 3 5 2 3 4" xfId="5658"/>
    <cellStyle name="40% - Akzent6 3 5 2 3 5" xfId="5659"/>
    <cellStyle name="40% - Akzent6 3 5 2 4" xfId="5660"/>
    <cellStyle name="40% - Akzent6 3 5 2 4 2" xfId="5661"/>
    <cellStyle name="40% - Akzent6 3 5 2 4 2 2" xfId="5662"/>
    <cellStyle name="40% - Akzent6 3 5 2 4 3" xfId="5663"/>
    <cellStyle name="40% - Akzent6 3 5 2 4 4" xfId="5664"/>
    <cellStyle name="40% - Akzent6 3 5 2 5" xfId="5665"/>
    <cellStyle name="40% - Akzent6 3 5 2 5 2" xfId="5666"/>
    <cellStyle name="40% - Akzent6 3 5 2 6" xfId="5667"/>
    <cellStyle name="40% - Akzent6 3 5 2 7" xfId="5668"/>
    <cellStyle name="40% - Akzent6 3 5 2 8" xfId="5669"/>
    <cellStyle name="40% - Akzent6 3 5 2 9" xfId="5670"/>
    <cellStyle name="40% - Akzent6 3 5 3" xfId="5671"/>
    <cellStyle name="40% - Akzent6 3 5 3 2" xfId="5672"/>
    <cellStyle name="40% - Akzent6 3 5 3 2 2" xfId="5673"/>
    <cellStyle name="40% - Akzent6 3 5 3 3" xfId="5674"/>
    <cellStyle name="40% - Akzent6 3 5 3 4" xfId="5675"/>
    <cellStyle name="40% - Akzent6 3 5 3 5" xfId="5676"/>
    <cellStyle name="40% - Akzent6 3 5 4" xfId="5677"/>
    <cellStyle name="40% - Akzent6 3 5 4 2" xfId="5678"/>
    <cellStyle name="40% - Akzent6 3 5 4 2 2" xfId="5679"/>
    <cellStyle name="40% - Akzent6 3 5 4 3" xfId="5680"/>
    <cellStyle name="40% - Akzent6 3 5 4 4" xfId="5681"/>
    <cellStyle name="40% - Akzent6 3 5 4 5" xfId="5682"/>
    <cellStyle name="40% - Akzent6 3 5 5" xfId="5683"/>
    <cellStyle name="40% - Akzent6 3 5 5 2" xfId="5684"/>
    <cellStyle name="40% - Akzent6 3 5 5 2 2" xfId="5685"/>
    <cellStyle name="40% - Akzent6 3 5 5 3" xfId="5686"/>
    <cellStyle name="40% - Akzent6 3 5 5 4" xfId="5687"/>
    <cellStyle name="40% - Akzent6 3 5 6" xfId="5688"/>
    <cellStyle name="40% - Akzent6 3 5 6 2" xfId="5689"/>
    <cellStyle name="40% - Akzent6 3 5 7" xfId="5690"/>
    <cellStyle name="40% - Akzent6 3 5 8" xfId="5691"/>
    <cellStyle name="40% - Akzent6 3 5 9" xfId="5692"/>
    <cellStyle name="40% - Akzent6 3 6" xfId="5693"/>
    <cellStyle name="40% - Akzent6 3 6 2" xfId="5694"/>
    <cellStyle name="40% - Akzent6 3 6 2 2" xfId="5695"/>
    <cellStyle name="40% - Akzent6 3 6 2 2 2" xfId="5696"/>
    <cellStyle name="40% - Akzent6 3 6 2 3" xfId="5697"/>
    <cellStyle name="40% - Akzent6 3 6 2 4" xfId="5698"/>
    <cellStyle name="40% - Akzent6 3 6 2 5" xfId="5699"/>
    <cellStyle name="40% - Akzent6 3 6 3" xfId="5700"/>
    <cellStyle name="40% - Akzent6 3 6 3 2" xfId="5701"/>
    <cellStyle name="40% - Akzent6 3 6 3 2 2" xfId="5702"/>
    <cellStyle name="40% - Akzent6 3 6 3 3" xfId="5703"/>
    <cellStyle name="40% - Akzent6 3 6 3 4" xfId="5704"/>
    <cellStyle name="40% - Akzent6 3 6 3 5" xfId="5705"/>
    <cellStyle name="40% - Akzent6 3 6 4" xfId="5706"/>
    <cellStyle name="40% - Akzent6 3 6 4 2" xfId="5707"/>
    <cellStyle name="40% - Akzent6 3 6 4 2 2" xfId="5708"/>
    <cellStyle name="40% - Akzent6 3 6 4 3" xfId="5709"/>
    <cellStyle name="40% - Akzent6 3 6 4 4" xfId="5710"/>
    <cellStyle name="40% - Akzent6 3 6 5" xfId="5711"/>
    <cellStyle name="40% - Akzent6 3 6 5 2" xfId="5712"/>
    <cellStyle name="40% - Akzent6 3 6 6" xfId="5713"/>
    <cellStyle name="40% - Akzent6 3 6 7" xfId="5714"/>
    <cellStyle name="40% - Akzent6 3 6 8" xfId="5715"/>
    <cellStyle name="40% - Akzent6 3 6 9" xfId="5716"/>
    <cellStyle name="40% - Akzent6 3 7" xfId="5717"/>
    <cellStyle name="40% - Akzent6 3 7 2" xfId="5718"/>
    <cellStyle name="40% - Akzent6 3 7 2 2" xfId="5719"/>
    <cellStyle name="40% - Akzent6 3 7 3" xfId="5720"/>
    <cellStyle name="40% - Akzent6 3 7 4" xfId="5721"/>
    <cellStyle name="40% - Akzent6 3 7 5" xfId="5722"/>
    <cellStyle name="40% - Akzent6 3 8" xfId="5723"/>
    <cellStyle name="40% - Akzent6 3 8 2" xfId="5724"/>
    <cellStyle name="40% - Akzent6 3 8 2 2" xfId="5725"/>
    <cellStyle name="40% - Akzent6 3 8 3" xfId="5726"/>
    <cellStyle name="40% - Akzent6 3 8 4" xfId="5727"/>
    <cellStyle name="40% - Akzent6 3 8 5" xfId="5728"/>
    <cellStyle name="40% - Akzent6 3 9" xfId="5729"/>
    <cellStyle name="40% - Akzent6 3 9 2" xfId="5730"/>
    <cellStyle name="40% - Akzent6 3 9 2 2" xfId="5731"/>
    <cellStyle name="40% - Akzent6 3 9 3" xfId="5732"/>
    <cellStyle name="40% - Akzent6 3 9 4" xfId="5733"/>
    <cellStyle name="40% - Akzent6 4" xfId="5734"/>
    <cellStyle name="40% - Akzent6 4 10" xfId="5735"/>
    <cellStyle name="40% - Akzent6 4 2" xfId="5736"/>
    <cellStyle name="40% - Akzent6 4 2 2" xfId="5737"/>
    <cellStyle name="40% - Akzent6 4 2 2 2" xfId="5738"/>
    <cellStyle name="40% - Akzent6 4 2 2 2 2" xfId="5739"/>
    <cellStyle name="40% - Akzent6 4 2 2 3" xfId="5740"/>
    <cellStyle name="40% - Akzent6 4 2 2 4" xfId="5741"/>
    <cellStyle name="40% - Akzent6 4 2 2 5" xfId="5742"/>
    <cellStyle name="40% - Akzent6 4 2 3" xfId="5743"/>
    <cellStyle name="40% - Akzent6 4 2 3 2" xfId="5744"/>
    <cellStyle name="40% - Akzent6 4 2 3 2 2" xfId="5745"/>
    <cellStyle name="40% - Akzent6 4 2 3 3" xfId="5746"/>
    <cellStyle name="40% - Akzent6 4 2 3 4" xfId="5747"/>
    <cellStyle name="40% - Akzent6 4 2 3 5" xfId="5748"/>
    <cellStyle name="40% - Akzent6 4 2 4" xfId="5749"/>
    <cellStyle name="40% - Akzent6 4 2 4 2" xfId="5750"/>
    <cellStyle name="40% - Akzent6 4 2 4 2 2" xfId="5751"/>
    <cellStyle name="40% - Akzent6 4 2 4 3" xfId="5752"/>
    <cellStyle name="40% - Akzent6 4 2 4 4" xfId="5753"/>
    <cellStyle name="40% - Akzent6 4 2 5" xfId="5754"/>
    <cellStyle name="40% - Akzent6 4 2 5 2" xfId="5755"/>
    <cellStyle name="40% - Akzent6 4 2 6" xfId="5756"/>
    <cellStyle name="40% - Akzent6 4 2 7" xfId="5757"/>
    <cellStyle name="40% - Akzent6 4 2 8" xfId="5758"/>
    <cellStyle name="40% - Akzent6 4 2 9" xfId="5759"/>
    <cellStyle name="40% - Akzent6 4 3" xfId="5760"/>
    <cellStyle name="40% - Akzent6 4 3 2" xfId="5761"/>
    <cellStyle name="40% - Akzent6 4 3 2 2" xfId="5762"/>
    <cellStyle name="40% - Akzent6 4 3 3" xfId="5763"/>
    <cellStyle name="40% - Akzent6 4 3 4" xfId="5764"/>
    <cellStyle name="40% - Akzent6 4 3 5" xfId="5765"/>
    <cellStyle name="40% - Akzent6 4 4" xfId="5766"/>
    <cellStyle name="40% - Akzent6 4 4 2" xfId="5767"/>
    <cellStyle name="40% - Akzent6 4 4 2 2" xfId="5768"/>
    <cellStyle name="40% - Akzent6 4 4 3" xfId="5769"/>
    <cellStyle name="40% - Akzent6 4 4 4" xfId="5770"/>
    <cellStyle name="40% - Akzent6 4 4 5" xfId="5771"/>
    <cellStyle name="40% - Akzent6 4 5" xfId="5772"/>
    <cellStyle name="40% - Akzent6 4 5 2" xfId="5773"/>
    <cellStyle name="40% - Akzent6 4 5 2 2" xfId="5774"/>
    <cellStyle name="40% - Akzent6 4 5 3" xfId="5775"/>
    <cellStyle name="40% - Akzent6 4 5 4" xfId="5776"/>
    <cellStyle name="40% - Akzent6 4 6" xfId="5777"/>
    <cellStyle name="40% - Akzent6 4 6 2" xfId="5778"/>
    <cellStyle name="40% - Akzent6 4 7" xfId="5779"/>
    <cellStyle name="40% - Akzent6 4 8" xfId="5780"/>
    <cellStyle name="40% - Akzent6 4 9" xfId="5781"/>
    <cellStyle name="40% - Akzent6 5" xfId="5782"/>
    <cellStyle name="40% - Akzent6 5 10" xfId="5783"/>
    <cellStyle name="40% - Akzent6 5 2" xfId="5784"/>
    <cellStyle name="40% - Akzent6 5 2 2" xfId="5785"/>
    <cellStyle name="40% - Akzent6 5 2 2 2" xfId="5786"/>
    <cellStyle name="40% - Akzent6 5 2 2 2 2" xfId="5787"/>
    <cellStyle name="40% - Akzent6 5 2 2 3" xfId="5788"/>
    <cellStyle name="40% - Akzent6 5 2 2 4" xfId="5789"/>
    <cellStyle name="40% - Akzent6 5 2 2 5" xfId="5790"/>
    <cellStyle name="40% - Akzent6 5 2 3" xfId="5791"/>
    <cellStyle name="40% - Akzent6 5 2 3 2" xfId="5792"/>
    <cellStyle name="40% - Akzent6 5 2 3 2 2" xfId="5793"/>
    <cellStyle name="40% - Akzent6 5 2 3 3" xfId="5794"/>
    <cellStyle name="40% - Akzent6 5 2 3 4" xfId="5795"/>
    <cellStyle name="40% - Akzent6 5 2 3 5" xfId="5796"/>
    <cellStyle name="40% - Akzent6 5 2 4" xfId="5797"/>
    <cellStyle name="40% - Akzent6 5 2 4 2" xfId="5798"/>
    <cellStyle name="40% - Akzent6 5 2 4 2 2" xfId="5799"/>
    <cellStyle name="40% - Akzent6 5 2 4 3" xfId="5800"/>
    <cellStyle name="40% - Akzent6 5 2 4 4" xfId="5801"/>
    <cellStyle name="40% - Akzent6 5 2 5" xfId="5802"/>
    <cellStyle name="40% - Akzent6 5 2 5 2" xfId="5803"/>
    <cellStyle name="40% - Akzent6 5 2 6" xfId="5804"/>
    <cellStyle name="40% - Akzent6 5 2 7" xfId="5805"/>
    <cellStyle name="40% - Akzent6 5 2 8" xfId="5806"/>
    <cellStyle name="40% - Akzent6 5 2 9" xfId="5807"/>
    <cellStyle name="40% - Akzent6 5 3" xfId="5808"/>
    <cellStyle name="40% - Akzent6 5 3 2" xfId="5809"/>
    <cellStyle name="40% - Akzent6 5 3 2 2" xfId="5810"/>
    <cellStyle name="40% - Akzent6 5 3 3" xfId="5811"/>
    <cellStyle name="40% - Akzent6 5 3 4" xfId="5812"/>
    <cellStyle name="40% - Akzent6 5 3 5" xfId="5813"/>
    <cellStyle name="40% - Akzent6 5 4" xfId="5814"/>
    <cellStyle name="40% - Akzent6 5 4 2" xfId="5815"/>
    <cellStyle name="40% - Akzent6 5 4 2 2" xfId="5816"/>
    <cellStyle name="40% - Akzent6 5 4 3" xfId="5817"/>
    <cellStyle name="40% - Akzent6 5 4 4" xfId="5818"/>
    <cellStyle name="40% - Akzent6 5 4 5" xfId="5819"/>
    <cellStyle name="40% - Akzent6 5 5" xfId="5820"/>
    <cellStyle name="40% - Akzent6 5 5 2" xfId="5821"/>
    <cellStyle name="40% - Akzent6 5 5 2 2" xfId="5822"/>
    <cellStyle name="40% - Akzent6 5 5 3" xfId="5823"/>
    <cellStyle name="40% - Akzent6 5 5 4" xfId="5824"/>
    <cellStyle name="40% - Akzent6 5 6" xfId="5825"/>
    <cellStyle name="40% - Akzent6 5 6 2" xfId="5826"/>
    <cellStyle name="40% - Akzent6 5 7" xfId="5827"/>
    <cellStyle name="40% - Akzent6 5 8" xfId="5828"/>
    <cellStyle name="40% - Akzent6 5 9" xfId="5829"/>
    <cellStyle name="40% - Akzent6 6" xfId="5830"/>
    <cellStyle name="40% - Akzent6 6 10" xfId="5831"/>
    <cellStyle name="40% - Akzent6 6 2" xfId="5832"/>
    <cellStyle name="40% - Akzent6 6 2 2" xfId="5833"/>
    <cellStyle name="40% - Akzent6 6 2 2 2" xfId="5834"/>
    <cellStyle name="40% - Akzent6 6 2 2 2 2" xfId="5835"/>
    <cellStyle name="40% - Akzent6 6 2 2 3" xfId="5836"/>
    <cellStyle name="40% - Akzent6 6 2 2 4" xfId="5837"/>
    <cellStyle name="40% - Akzent6 6 2 2 5" xfId="5838"/>
    <cellStyle name="40% - Akzent6 6 2 3" xfId="5839"/>
    <cellStyle name="40% - Akzent6 6 2 3 2" xfId="5840"/>
    <cellStyle name="40% - Akzent6 6 2 3 2 2" xfId="5841"/>
    <cellStyle name="40% - Akzent6 6 2 3 3" xfId="5842"/>
    <cellStyle name="40% - Akzent6 6 2 3 4" xfId="5843"/>
    <cellStyle name="40% - Akzent6 6 2 3 5" xfId="5844"/>
    <cellStyle name="40% - Akzent6 6 2 4" xfId="5845"/>
    <cellStyle name="40% - Akzent6 6 2 4 2" xfId="5846"/>
    <cellStyle name="40% - Akzent6 6 2 4 2 2" xfId="5847"/>
    <cellStyle name="40% - Akzent6 6 2 4 3" xfId="5848"/>
    <cellStyle name="40% - Akzent6 6 2 4 4" xfId="5849"/>
    <cellStyle name="40% - Akzent6 6 2 5" xfId="5850"/>
    <cellStyle name="40% - Akzent6 6 2 5 2" xfId="5851"/>
    <cellStyle name="40% - Akzent6 6 2 6" xfId="5852"/>
    <cellStyle name="40% - Akzent6 6 2 7" xfId="5853"/>
    <cellStyle name="40% - Akzent6 6 2 8" xfId="5854"/>
    <cellStyle name="40% - Akzent6 6 2 9" xfId="5855"/>
    <cellStyle name="40% - Akzent6 6 3" xfId="5856"/>
    <cellStyle name="40% - Akzent6 6 3 2" xfId="5857"/>
    <cellStyle name="40% - Akzent6 6 3 2 2" xfId="5858"/>
    <cellStyle name="40% - Akzent6 6 3 3" xfId="5859"/>
    <cellStyle name="40% - Akzent6 6 3 4" xfId="5860"/>
    <cellStyle name="40% - Akzent6 6 3 5" xfId="5861"/>
    <cellStyle name="40% - Akzent6 6 4" xfId="5862"/>
    <cellStyle name="40% - Akzent6 6 4 2" xfId="5863"/>
    <cellStyle name="40% - Akzent6 6 4 2 2" xfId="5864"/>
    <cellStyle name="40% - Akzent6 6 4 3" xfId="5865"/>
    <cellStyle name="40% - Akzent6 6 4 4" xfId="5866"/>
    <cellStyle name="40% - Akzent6 6 4 5" xfId="5867"/>
    <cellStyle name="40% - Akzent6 6 5" xfId="5868"/>
    <cellStyle name="40% - Akzent6 6 5 2" xfId="5869"/>
    <cellStyle name="40% - Akzent6 6 5 2 2" xfId="5870"/>
    <cellStyle name="40% - Akzent6 6 5 3" xfId="5871"/>
    <cellStyle name="40% - Akzent6 6 5 4" xfId="5872"/>
    <cellStyle name="40% - Akzent6 6 6" xfId="5873"/>
    <cellStyle name="40% - Akzent6 6 6 2" xfId="5874"/>
    <cellStyle name="40% - Akzent6 6 7" xfId="5875"/>
    <cellStyle name="40% - Akzent6 6 8" xfId="5876"/>
    <cellStyle name="40% - Akzent6 6 9" xfId="5877"/>
    <cellStyle name="40% - Akzent6 7" xfId="5878"/>
    <cellStyle name="40% - Akzent6 7 2" xfId="5879"/>
    <cellStyle name="40% - Akzent6 7 2 2" xfId="5880"/>
    <cellStyle name="40% - Akzent6 7 3" xfId="5881"/>
    <cellStyle name="40% - Akzent6 7 4" xfId="5882"/>
    <cellStyle name="40% - Akzent6 7 5" xfId="5883"/>
    <cellStyle name="40% - Akzent6 8" xfId="5884"/>
    <cellStyle name="40% - Akzent6 8 2" xfId="5885"/>
    <cellStyle name="40% - Akzent6 8 2 2" xfId="5886"/>
    <cellStyle name="40% - Akzent6 8 3" xfId="5887"/>
    <cellStyle name="40% - Akzent6 8 4" xfId="5888"/>
    <cellStyle name="40% - Akzent6 8 5" xfId="5889"/>
    <cellStyle name="40% - Akzent6 9" xfId="5890"/>
    <cellStyle name="40% - Akzent6 9 2" xfId="5891"/>
    <cellStyle name="40% - Akzent6 9 2 2" xfId="5892"/>
    <cellStyle name="40% - Akzent6 9 3" xfId="5893"/>
    <cellStyle name="40% - Énfasis1 2" xfId="5894"/>
    <cellStyle name="40% - Énfasis1 2 2" xfId="5895"/>
    <cellStyle name="40% - Énfasis1 3" xfId="5896"/>
    <cellStyle name="40% - Énfasis1 4" xfId="5897"/>
    <cellStyle name="40% - Énfasis2 2" xfId="5898"/>
    <cellStyle name="40% - Énfasis2 2 2" xfId="5899"/>
    <cellStyle name="40% - Énfasis3 2" xfId="5900"/>
    <cellStyle name="40% - Énfasis3 2 2" xfId="5901"/>
    <cellStyle name="40% - Énfasis3 3" xfId="5902"/>
    <cellStyle name="40% - Énfasis3 4" xfId="5903"/>
    <cellStyle name="40% - Énfasis4 2" xfId="5904"/>
    <cellStyle name="40% - Énfasis4 2 2" xfId="5905"/>
    <cellStyle name="40% - Énfasis4 3" xfId="5906"/>
    <cellStyle name="40% - Énfasis4 4" xfId="5907"/>
    <cellStyle name="40% - Énfasis5 2" xfId="5908"/>
    <cellStyle name="40% - Énfasis5 2 2" xfId="5909"/>
    <cellStyle name="40% - Énfasis5 3" xfId="5910"/>
    <cellStyle name="40% - Énfasis5 4" xfId="5911"/>
    <cellStyle name="40% - Énfasis6 2" xfId="5912"/>
    <cellStyle name="40% - Énfasis6 2 2" xfId="5913"/>
    <cellStyle name="40% - Énfasis6 3" xfId="5914"/>
    <cellStyle name="40% - Énfasis6 4" xfId="5915"/>
    <cellStyle name="60% - Akzent1 2" xfId="5916"/>
    <cellStyle name="60% - Akzent1 2 2" xfId="5917"/>
    <cellStyle name="60% - Akzent1 3" xfId="5918"/>
    <cellStyle name="60% - Akzent1 4" xfId="5919"/>
    <cellStyle name="60% - Akzent1 5" xfId="5920"/>
    <cellStyle name="60% - Akzent2 2" xfId="5921"/>
    <cellStyle name="60% - Akzent2 2 2" xfId="5922"/>
    <cellStyle name="60% - Akzent2 3" xfId="5923"/>
    <cellStyle name="60% - Akzent2 4" xfId="5924"/>
    <cellStyle name="60% - Akzent2 5" xfId="5925"/>
    <cellStyle name="60% - Akzent3 2" xfId="5926"/>
    <cellStyle name="60% - Akzent3 2 2" xfId="5927"/>
    <cellStyle name="60% - Akzent3 3" xfId="5928"/>
    <cellStyle name="60% - Akzent3 4" xfId="5929"/>
    <cellStyle name="60% - Akzent3 5" xfId="5930"/>
    <cellStyle name="60% - Akzent4 2" xfId="5931"/>
    <cellStyle name="60% - Akzent4 2 2" xfId="5932"/>
    <cellStyle name="60% - Akzent4 3" xfId="5933"/>
    <cellStyle name="60% - Akzent4 4" xfId="5934"/>
    <cellStyle name="60% - Akzent4 5" xfId="5935"/>
    <cellStyle name="60% - Akzent5 2" xfId="5936"/>
    <cellStyle name="60% - Akzent5 2 2" xfId="5937"/>
    <cellStyle name="60% - Akzent5 3" xfId="5938"/>
    <cellStyle name="60% - Akzent5 4" xfId="5939"/>
    <cellStyle name="60% - Akzent5 5" xfId="5940"/>
    <cellStyle name="60% - Akzent6 2" xfId="5941"/>
    <cellStyle name="60% - Akzent6 2 2" xfId="5942"/>
    <cellStyle name="60% - Akzent6 3" xfId="5943"/>
    <cellStyle name="60% - Akzent6 4" xfId="5944"/>
    <cellStyle name="60% - Akzent6 5" xfId="5945"/>
    <cellStyle name="60% - Énfasis1 2" xfId="5946"/>
    <cellStyle name="60% - Énfasis2 2" xfId="5947"/>
    <cellStyle name="60% - Énfasis3 2" xfId="5948"/>
    <cellStyle name="60% - Énfasis4 2" xfId="5949"/>
    <cellStyle name="60% - Énfasis5 2" xfId="5950"/>
    <cellStyle name="60% - Énfasis6 2" xfId="5951"/>
    <cellStyle name="Akzent1 2" xfId="5952"/>
    <cellStyle name="Akzent1 2 2" xfId="5953"/>
    <cellStyle name="Akzent1 3" xfId="5954"/>
    <cellStyle name="Akzent1 4" xfId="5955"/>
    <cellStyle name="Akzent1 5" xfId="5956"/>
    <cellStyle name="Akzent2 2" xfId="5957"/>
    <cellStyle name="Akzent2 2 2" xfId="5958"/>
    <cellStyle name="Akzent2 3" xfId="5959"/>
    <cellStyle name="Akzent2 4" xfId="5960"/>
    <cellStyle name="Akzent2 5" xfId="5961"/>
    <cellStyle name="Akzent3 2" xfId="5962"/>
    <cellStyle name="Akzent3 2 2" xfId="5963"/>
    <cellStyle name="Akzent3 3" xfId="5964"/>
    <cellStyle name="Akzent3 4" xfId="5965"/>
    <cellStyle name="Akzent3 5" xfId="5966"/>
    <cellStyle name="Akzent4 2" xfId="5967"/>
    <cellStyle name="Akzent4 2 2" xfId="5968"/>
    <cellStyle name="Akzent4 3" xfId="5969"/>
    <cellStyle name="Akzent4 4" xfId="5970"/>
    <cellStyle name="Akzent4 5" xfId="5971"/>
    <cellStyle name="Akzent5 2" xfId="5972"/>
    <cellStyle name="Akzent5 2 2" xfId="5973"/>
    <cellStyle name="Akzent6 2" xfId="5974"/>
    <cellStyle name="Akzent6 2 2" xfId="5975"/>
    <cellStyle name="Akzent6 3" xfId="5976"/>
    <cellStyle name="Akzent6 4" xfId="5977"/>
    <cellStyle name="Akzent6 5" xfId="5978"/>
    <cellStyle name="Ausgabe 2" xfId="5979"/>
    <cellStyle name="Ausgabe 2 2" xfId="5980"/>
    <cellStyle name="Ausgabe 3" xfId="5981"/>
    <cellStyle name="Ausgabe 4" xfId="5982"/>
    <cellStyle name="Ausgabe 5" xfId="5983"/>
    <cellStyle name="Berechnung 2" xfId="5984"/>
    <cellStyle name="Berechnung 2 2" xfId="5985"/>
    <cellStyle name="Berechnung 3" xfId="5986"/>
    <cellStyle name="Berechnung 4" xfId="5987"/>
    <cellStyle name="Berechnung 5" xfId="5988"/>
    <cellStyle name="Buena 2" xfId="5989"/>
    <cellStyle name="Cálculo 2" xfId="5990"/>
    <cellStyle name="Celda de comprobación 2" xfId="5991"/>
    <cellStyle name="Celda vinculada 2" xfId="5992"/>
    <cellStyle name="Dezimal 2" xfId="5993"/>
    <cellStyle name="Dezimal 2 2" xfId="5994"/>
    <cellStyle name="Dezimal 2 2 2" xfId="5995"/>
    <cellStyle name="Dezimal 2 3" xfId="5996"/>
    <cellStyle name="Dezimal 3" xfId="5997"/>
    <cellStyle name="Dezimal 4" xfId="5998"/>
    <cellStyle name="Eingabe 2" xfId="5999"/>
    <cellStyle name="Eingabe 2 2" xfId="6000"/>
    <cellStyle name="Eingabe 3" xfId="6001"/>
    <cellStyle name="Eingabe 4" xfId="6002"/>
    <cellStyle name="Eingabe 5" xfId="6003"/>
    <cellStyle name="Encabezado 4 2" xfId="6004"/>
    <cellStyle name="Énfasis1 2" xfId="6005"/>
    <cellStyle name="Énfasis2 2" xfId="6006"/>
    <cellStyle name="Énfasis3 2" xfId="6007"/>
    <cellStyle name="Énfasis4 2" xfId="6008"/>
    <cellStyle name="Énfasis6 2" xfId="6009"/>
    <cellStyle name="Entrada 2" xfId="6010"/>
    <cellStyle name="Ergebnis 2" xfId="6011"/>
    <cellStyle name="Ergebnis 2 2" xfId="6012"/>
    <cellStyle name="Ergebnis 3" xfId="6013"/>
    <cellStyle name="Ergebnis 4" xfId="6014"/>
    <cellStyle name="Ergebnis 5" xfId="6015"/>
    <cellStyle name="Erklärender Text 2" xfId="6016"/>
    <cellStyle name="Erklärender Text 2 2" xfId="6017"/>
    <cellStyle name="Euro" xfId="6018"/>
    <cellStyle name="Euro 2" xfId="6019"/>
    <cellStyle name="Euro 2 2" xfId="6020"/>
    <cellStyle name="Euro_Aufträge" xfId="6021"/>
    <cellStyle name="Excel Built-in Normal" xfId="6022"/>
    <cellStyle name="Excel Built-in Normal 2" xfId="6023"/>
    <cellStyle name="Gut 2" xfId="6024"/>
    <cellStyle name="Gut 2 2" xfId="6025"/>
    <cellStyle name="Gut 3" xfId="6026"/>
    <cellStyle name="Gut 4" xfId="6027"/>
    <cellStyle name="Gut 5" xfId="6028"/>
    <cellStyle name="Hyperlink" xfId="1" builtinId="8"/>
    <cellStyle name="Hyperlink 2" xfId="6029"/>
    <cellStyle name="Hyperlink 2 2" xfId="6030"/>
    <cellStyle name="Hyperlink 3" xfId="6031"/>
    <cellStyle name="Incorrecto 2" xfId="6032"/>
    <cellStyle name="Millares 2" xfId="6033"/>
    <cellStyle name="Neutral 2" xfId="6034"/>
    <cellStyle name="Neutral 3" xfId="6035"/>
    <cellStyle name="Neutral 4" xfId="6036"/>
    <cellStyle name="Normal 2" xfId="6037"/>
    <cellStyle name="Normal 2 2" xfId="6038"/>
    <cellStyle name="Normal 2 3" xfId="6039"/>
    <cellStyle name="Normal 3" xfId="6040"/>
    <cellStyle name="Normal 4" xfId="6041"/>
    <cellStyle name="Normal 5" xfId="6042"/>
    <cellStyle name="Notiz 2" xfId="6043"/>
    <cellStyle name="Notiz 2 2" xfId="6044"/>
    <cellStyle name="Notiz 2 2 2" xfId="6045"/>
    <cellStyle name="Notiz 2 3" xfId="6046"/>
    <cellStyle name="Notiz 2 3 10" xfId="6047"/>
    <cellStyle name="Notiz 2 3 2" xfId="6048"/>
    <cellStyle name="Notiz 2 3 2 2" xfId="6049"/>
    <cellStyle name="Notiz 2 3 2 2 2" xfId="6050"/>
    <cellStyle name="Notiz 2 3 2 2 2 2" xfId="6051"/>
    <cellStyle name="Notiz 2 3 2 2 3" xfId="6052"/>
    <cellStyle name="Notiz 2 3 2 2 4" xfId="6053"/>
    <cellStyle name="Notiz 2 3 2 2 5" xfId="6054"/>
    <cellStyle name="Notiz 2 3 2 3" xfId="6055"/>
    <cellStyle name="Notiz 2 3 2 3 2" xfId="6056"/>
    <cellStyle name="Notiz 2 3 2 3 2 2" xfId="6057"/>
    <cellStyle name="Notiz 2 3 2 3 3" xfId="6058"/>
    <cellStyle name="Notiz 2 3 2 3 4" xfId="6059"/>
    <cellStyle name="Notiz 2 3 2 3 5" xfId="6060"/>
    <cellStyle name="Notiz 2 3 2 4" xfId="6061"/>
    <cellStyle name="Notiz 2 3 2 4 2" xfId="6062"/>
    <cellStyle name="Notiz 2 3 2 4 2 2" xfId="6063"/>
    <cellStyle name="Notiz 2 3 2 4 3" xfId="6064"/>
    <cellStyle name="Notiz 2 3 2 4 4" xfId="6065"/>
    <cellStyle name="Notiz 2 3 2 5" xfId="6066"/>
    <cellStyle name="Notiz 2 3 2 5 2" xfId="6067"/>
    <cellStyle name="Notiz 2 3 2 6" xfId="6068"/>
    <cellStyle name="Notiz 2 3 2 7" xfId="6069"/>
    <cellStyle name="Notiz 2 3 2 8" xfId="6070"/>
    <cellStyle name="Notiz 2 3 2 9" xfId="6071"/>
    <cellStyle name="Notiz 2 3 3" xfId="6072"/>
    <cellStyle name="Notiz 2 3 3 2" xfId="6073"/>
    <cellStyle name="Notiz 2 3 3 2 2" xfId="6074"/>
    <cellStyle name="Notiz 2 3 3 3" xfId="6075"/>
    <cellStyle name="Notiz 2 3 3 4" xfId="6076"/>
    <cellStyle name="Notiz 2 3 3 5" xfId="6077"/>
    <cellStyle name="Notiz 2 3 4" xfId="6078"/>
    <cellStyle name="Notiz 2 3 4 2" xfId="6079"/>
    <cellStyle name="Notiz 2 3 4 2 2" xfId="6080"/>
    <cellStyle name="Notiz 2 3 4 3" xfId="6081"/>
    <cellStyle name="Notiz 2 3 4 4" xfId="6082"/>
    <cellStyle name="Notiz 2 3 4 5" xfId="6083"/>
    <cellStyle name="Notiz 2 3 5" xfId="6084"/>
    <cellStyle name="Notiz 2 3 5 2" xfId="6085"/>
    <cellStyle name="Notiz 2 3 5 2 2" xfId="6086"/>
    <cellStyle name="Notiz 2 3 5 3" xfId="6087"/>
    <cellStyle name="Notiz 2 3 5 4" xfId="6088"/>
    <cellStyle name="Notiz 2 3 6" xfId="6089"/>
    <cellStyle name="Notiz 2 3 6 2" xfId="6090"/>
    <cellStyle name="Notiz 2 3 7" xfId="6091"/>
    <cellStyle name="Notiz 2 3 8" xfId="6092"/>
    <cellStyle name="Notiz 2 3 9" xfId="6093"/>
    <cellStyle name="Notiz 2 4" xfId="6094"/>
    <cellStyle name="Notiz 3" xfId="6095"/>
    <cellStyle name="Notiz 3 2" xfId="6096"/>
    <cellStyle name="PRESTO_AUSGABE" xfId="6097"/>
    <cellStyle name="Prozent" xfId="2" builtinId="5"/>
    <cellStyle name="Prozent 2" xfId="6098"/>
    <cellStyle name="Prozent 3" xfId="6099"/>
    <cellStyle name="Prozent 4" xfId="6100"/>
    <cellStyle name="Prozent 4 2" xfId="6101"/>
    <cellStyle name="Prozent 5" xfId="6102"/>
    <cellStyle name="Prozent 5 2" xfId="6103"/>
    <cellStyle name="Prozent 5 2 2" xfId="6104"/>
    <cellStyle name="Prozent 5 3" xfId="6105"/>
    <cellStyle name="Prozent 6" xfId="6106"/>
    <cellStyle name="Prozent 6 2" xfId="6107"/>
    <cellStyle name="Prozent 7" xfId="6108"/>
    <cellStyle name="Prozent 8" xfId="6109"/>
    <cellStyle name="Salida 2" xfId="6110"/>
    <cellStyle name="Schlecht 2" xfId="6111"/>
    <cellStyle name="Schlecht 2 2" xfId="6112"/>
    <cellStyle name="Schlecht 3" xfId="6113"/>
    <cellStyle name="Schlecht 4" xfId="6114"/>
    <cellStyle name="Schlecht 5" xfId="6115"/>
    <cellStyle name="Standard" xfId="0" builtinId="0"/>
    <cellStyle name="Standard 10" xfId="6116"/>
    <cellStyle name="Standard 10 2" xfId="6117"/>
    <cellStyle name="Standard 2" xfId="3"/>
    <cellStyle name="Standard 2 2" xfId="6118"/>
    <cellStyle name="Standard 2 2 10" xfId="6119"/>
    <cellStyle name="Standard 2 2 10 2" xfId="6120"/>
    <cellStyle name="Standard 2 2 10 2 2" xfId="6121"/>
    <cellStyle name="Standard 2 2 10 3" xfId="6122"/>
    <cellStyle name="Standard 2 2 10 4" xfId="6123"/>
    <cellStyle name="Standard 2 2 11" xfId="6124"/>
    <cellStyle name="Standard 2 2 11 2" xfId="6125"/>
    <cellStyle name="Standard 2 2 12" xfId="6126"/>
    <cellStyle name="Standard 2 2 13" xfId="6127"/>
    <cellStyle name="Standard 2 2 14" xfId="6128"/>
    <cellStyle name="Standard 2 2 15" xfId="6129"/>
    <cellStyle name="Standard 2 2 2" xfId="6130"/>
    <cellStyle name="Standard 2 2 2 10" xfId="6131"/>
    <cellStyle name="Standard 2 2 2 11" xfId="6132"/>
    <cellStyle name="Standard 2 2 2 2" xfId="6133"/>
    <cellStyle name="Standard 2 2 2 2 10" xfId="6134"/>
    <cellStyle name="Standard 2 2 2 2 2" xfId="6135"/>
    <cellStyle name="Standard 2 2 2 2 2 2" xfId="6136"/>
    <cellStyle name="Standard 2 2 2 2 2 2 2" xfId="6137"/>
    <cellStyle name="Standard 2 2 2 2 2 2 2 2" xfId="6138"/>
    <cellStyle name="Standard 2 2 2 2 2 2 3" xfId="6139"/>
    <cellStyle name="Standard 2 2 2 2 2 2 4" xfId="6140"/>
    <cellStyle name="Standard 2 2 2 2 2 2 5" xfId="6141"/>
    <cellStyle name="Standard 2 2 2 2 2 3" xfId="6142"/>
    <cellStyle name="Standard 2 2 2 2 2 3 2" xfId="6143"/>
    <cellStyle name="Standard 2 2 2 2 2 3 2 2" xfId="6144"/>
    <cellStyle name="Standard 2 2 2 2 2 3 3" xfId="6145"/>
    <cellStyle name="Standard 2 2 2 2 2 3 4" xfId="6146"/>
    <cellStyle name="Standard 2 2 2 2 2 3 5" xfId="6147"/>
    <cellStyle name="Standard 2 2 2 2 2 4" xfId="6148"/>
    <cellStyle name="Standard 2 2 2 2 2 4 2" xfId="6149"/>
    <cellStyle name="Standard 2 2 2 2 2 4 2 2" xfId="6150"/>
    <cellStyle name="Standard 2 2 2 2 2 4 3" xfId="6151"/>
    <cellStyle name="Standard 2 2 2 2 2 4 4" xfId="6152"/>
    <cellStyle name="Standard 2 2 2 2 2 5" xfId="6153"/>
    <cellStyle name="Standard 2 2 2 2 2 5 2" xfId="6154"/>
    <cellStyle name="Standard 2 2 2 2 2 6" xfId="6155"/>
    <cellStyle name="Standard 2 2 2 2 2 7" xfId="6156"/>
    <cellStyle name="Standard 2 2 2 2 2 8" xfId="6157"/>
    <cellStyle name="Standard 2 2 2 2 2 9" xfId="6158"/>
    <cellStyle name="Standard 2 2 2 2 3" xfId="6159"/>
    <cellStyle name="Standard 2 2 2 2 3 2" xfId="6160"/>
    <cellStyle name="Standard 2 2 2 2 3 2 2" xfId="6161"/>
    <cellStyle name="Standard 2 2 2 2 3 3" xfId="6162"/>
    <cellStyle name="Standard 2 2 2 2 3 4" xfId="6163"/>
    <cellStyle name="Standard 2 2 2 2 3 5" xfId="6164"/>
    <cellStyle name="Standard 2 2 2 2 4" xfId="6165"/>
    <cellStyle name="Standard 2 2 2 2 4 2" xfId="6166"/>
    <cellStyle name="Standard 2 2 2 2 4 2 2" xfId="6167"/>
    <cellStyle name="Standard 2 2 2 2 4 3" xfId="6168"/>
    <cellStyle name="Standard 2 2 2 2 4 4" xfId="6169"/>
    <cellStyle name="Standard 2 2 2 2 4 5" xfId="6170"/>
    <cellStyle name="Standard 2 2 2 2 5" xfId="6171"/>
    <cellStyle name="Standard 2 2 2 2 5 2" xfId="6172"/>
    <cellStyle name="Standard 2 2 2 2 5 2 2" xfId="6173"/>
    <cellStyle name="Standard 2 2 2 2 5 3" xfId="6174"/>
    <cellStyle name="Standard 2 2 2 2 5 4" xfId="6175"/>
    <cellStyle name="Standard 2 2 2 2 6" xfId="6176"/>
    <cellStyle name="Standard 2 2 2 2 6 2" xfId="6177"/>
    <cellStyle name="Standard 2 2 2 2 7" xfId="6178"/>
    <cellStyle name="Standard 2 2 2 2 8" xfId="6179"/>
    <cellStyle name="Standard 2 2 2 2 9" xfId="6180"/>
    <cellStyle name="Standard 2 2 2 3" xfId="6181"/>
    <cellStyle name="Standard 2 2 2 3 2" xfId="6182"/>
    <cellStyle name="Standard 2 2 2 3 2 2" xfId="6183"/>
    <cellStyle name="Standard 2 2 2 3 2 2 2" xfId="6184"/>
    <cellStyle name="Standard 2 2 2 3 2 3" xfId="6185"/>
    <cellStyle name="Standard 2 2 2 3 2 4" xfId="6186"/>
    <cellStyle name="Standard 2 2 2 3 2 5" xfId="6187"/>
    <cellStyle name="Standard 2 2 2 3 3" xfId="6188"/>
    <cellStyle name="Standard 2 2 2 3 3 2" xfId="6189"/>
    <cellStyle name="Standard 2 2 2 3 3 2 2" xfId="6190"/>
    <cellStyle name="Standard 2 2 2 3 3 3" xfId="6191"/>
    <cellStyle name="Standard 2 2 2 3 3 4" xfId="6192"/>
    <cellStyle name="Standard 2 2 2 3 3 5" xfId="6193"/>
    <cellStyle name="Standard 2 2 2 3 4" xfId="6194"/>
    <cellStyle name="Standard 2 2 2 3 4 2" xfId="6195"/>
    <cellStyle name="Standard 2 2 2 3 4 2 2" xfId="6196"/>
    <cellStyle name="Standard 2 2 2 3 4 3" xfId="6197"/>
    <cellStyle name="Standard 2 2 2 3 4 4" xfId="6198"/>
    <cellStyle name="Standard 2 2 2 3 5" xfId="6199"/>
    <cellStyle name="Standard 2 2 2 3 5 2" xfId="6200"/>
    <cellStyle name="Standard 2 2 2 3 6" xfId="6201"/>
    <cellStyle name="Standard 2 2 2 3 7" xfId="6202"/>
    <cellStyle name="Standard 2 2 2 3 8" xfId="6203"/>
    <cellStyle name="Standard 2 2 2 3 9" xfId="6204"/>
    <cellStyle name="Standard 2 2 2 4" xfId="6205"/>
    <cellStyle name="Standard 2 2 2 4 2" xfId="6206"/>
    <cellStyle name="Standard 2 2 2 4 2 2" xfId="6207"/>
    <cellStyle name="Standard 2 2 2 4 3" xfId="6208"/>
    <cellStyle name="Standard 2 2 2 4 4" xfId="6209"/>
    <cellStyle name="Standard 2 2 2 4 5" xfId="6210"/>
    <cellStyle name="Standard 2 2 2 5" xfId="6211"/>
    <cellStyle name="Standard 2 2 2 5 2" xfId="6212"/>
    <cellStyle name="Standard 2 2 2 5 2 2" xfId="6213"/>
    <cellStyle name="Standard 2 2 2 5 3" xfId="6214"/>
    <cellStyle name="Standard 2 2 2 5 4" xfId="6215"/>
    <cellStyle name="Standard 2 2 2 5 5" xfId="6216"/>
    <cellStyle name="Standard 2 2 2 6" xfId="6217"/>
    <cellStyle name="Standard 2 2 2 6 2" xfId="6218"/>
    <cellStyle name="Standard 2 2 2 6 2 2" xfId="6219"/>
    <cellStyle name="Standard 2 2 2 6 3" xfId="6220"/>
    <cellStyle name="Standard 2 2 2 6 4" xfId="6221"/>
    <cellStyle name="Standard 2 2 2 7" xfId="6222"/>
    <cellStyle name="Standard 2 2 2 7 2" xfId="6223"/>
    <cellStyle name="Standard 2 2 2 8" xfId="6224"/>
    <cellStyle name="Standard 2 2 2 9" xfId="6225"/>
    <cellStyle name="Standard 2 2 3" xfId="6226"/>
    <cellStyle name="Standard 2 2 3 10" xfId="6227"/>
    <cellStyle name="Standard 2 2 3 11" xfId="6228"/>
    <cellStyle name="Standard 2 2 3 2" xfId="6229"/>
    <cellStyle name="Standard 2 2 3 2 10" xfId="6230"/>
    <cellStyle name="Standard 2 2 3 2 2" xfId="6231"/>
    <cellStyle name="Standard 2 2 3 2 2 2" xfId="6232"/>
    <cellStyle name="Standard 2 2 3 2 2 2 2" xfId="6233"/>
    <cellStyle name="Standard 2 2 3 2 2 2 2 2" xfId="6234"/>
    <cellStyle name="Standard 2 2 3 2 2 2 3" xfId="6235"/>
    <cellStyle name="Standard 2 2 3 2 2 2 4" xfId="6236"/>
    <cellStyle name="Standard 2 2 3 2 2 2 5" xfId="6237"/>
    <cellStyle name="Standard 2 2 3 2 2 3" xfId="6238"/>
    <cellStyle name="Standard 2 2 3 2 2 3 2" xfId="6239"/>
    <cellStyle name="Standard 2 2 3 2 2 3 2 2" xfId="6240"/>
    <cellStyle name="Standard 2 2 3 2 2 3 3" xfId="6241"/>
    <cellStyle name="Standard 2 2 3 2 2 3 4" xfId="6242"/>
    <cellStyle name="Standard 2 2 3 2 2 3 5" xfId="6243"/>
    <cellStyle name="Standard 2 2 3 2 2 4" xfId="6244"/>
    <cellStyle name="Standard 2 2 3 2 2 4 2" xfId="6245"/>
    <cellStyle name="Standard 2 2 3 2 2 4 2 2" xfId="6246"/>
    <cellStyle name="Standard 2 2 3 2 2 4 3" xfId="6247"/>
    <cellStyle name="Standard 2 2 3 2 2 4 4" xfId="6248"/>
    <cellStyle name="Standard 2 2 3 2 2 5" xfId="6249"/>
    <cellStyle name="Standard 2 2 3 2 2 5 2" xfId="6250"/>
    <cellStyle name="Standard 2 2 3 2 2 6" xfId="6251"/>
    <cellStyle name="Standard 2 2 3 2 2 7" xfId="6252"/>
    <cellStyle name="Standard 2 2 3 2 2 8" xfId="6253"/>
    <cellStyle name="Standard 2 2 3 2 2 9" xfId="6254"/>
    <cellStyle name="Standard 2 2 3 2 3" xfId="6255"/>
    <cellStyle name="Standard 2 2 3 2 3 2" xfId="6256"/>
    <cellStyle name="Standard 2 2 3 2 3 2 2" xfId="6257"/>
    <cellStyle name="Standard 2 2 3 2 3 3" xfId="6258"/>
    <cellStyle name="Standard 2 2 3 2 3 4" xfId="6259"/>
    <cellStyle name="Standard 2 2 3 2 3 5" xfId="6260"/>
    <cellStyle name="Standard 2 2 3 2 4" xfId="6261"/>
    <cellStyle name="Standard 2 2 3 2 4 2" xfId="6262"/>
    <cellStyle name="Standard 2 2 3 2 4 2 2" xfId="6263"/>
    <cellStyle name="Standard 2 2 3 2 4 3" xfId="6264"/>
    <cellStyle name="Standard 2 2 3 2 4 4" xfId="6265"/>
    <cellStyle name="Standard 2 2 3 2 4 5" xfId="6266"/>
    <cellStyle name="Standard 2 2 3 2 5" xfId="6267"/>
    <cellStyle name="Standard 2 2 3 2 5 2" xfId="6268"/>
    <cellStyle name="Standard 2 2 3 2 5 2 2" xfId="6269"/>
    <cellStyle name="Standard 2 2 3 2 5 3" xfId="6270"/>
    <cellStyle name="Standard 2 2 3 2 5 4" xfId="6271"/>
    <cellStyle name="Standard 2 2 3 2 6" xfId="6272"/>
    <cellStyle name="Standard 2 2 3 2 6 2" xfId="6273"/>
    <cellStyle name="Standard 2 2 3 2 7" xfId="6274"/>
    <cellStyle name="Standard 2 2 3 2 8" xfId="6275"/>
    <cellStyle name="Standard 2 2 3 2 9" xfId="6276"/>
    <cellStyle name="Standard 2 2 3 3" xfId="6277"/>
    <cellStyle name="Standard 2 2 3 3 2" xfId="6278"/>
    <cellStyle name="Standard 2 2 3 3 2 2" xfId="6279"/>
    <cellStyle name="Standard 2 2 3 3 2 2 2" xfId="6280"/>
    <cellStyle name="Standard 2 2 3 3 2 3" xfId="6281"/>
    <cellStyle name="Standard 2 2 3 3 2 4" xfId="6282"/>
    <cellStyle name="Standard 2 2 3 3 2 5" xfId="6283"/>
    <cellStyle name="Standard 2 2 3 3 3" xfId="6284"/>
    <cellStyle name="Standard 2 2 3 3 3 2" xfId="6285"/>
    <cellStyle name="Standard 2 2 3 3 3 2 2" xfId="6286"/>
    <cellStyle name="Standard 2 2 3 3 3 3" xfId="6287"/>
    <cellStyle name="Standard 2 2 3 3 3 4" xfId="6288"/>
    <cellStyle name="Standard 2 2 3 3 3 5" xfId="6289"/>
    <cellStyle name="Standard 2 2 3 3 4" xfId="6290"/>
    <cellStyle name="Standard 2 2 3 3 4 2" xfId="6291"/>
    <cellStyle name="Standard 2 2 3 3 4 2 2" xfId="6292"/>
    <cellStyle name="Standard 2 2 3 3 4 3" xfId="6293"/>
    <cellStyle name="Standard 2 2 3 3 4 4" xfId="6294"/>
    <cellStyle name="Standard 2 2 3 3 5" xfId="6295"/>
    <cellStyle name="Standard 2 2 3 3 5 2" xfId="6296"/>
    <cellStyle name="Standard 2 2 3 3 6" xfId="6297"/>
    <cellStyle name="Standard 2 2 3 3 7" xfId="6298"/>
    <cellStyle name="Standard 2 2 3 3 8" xfId="6299"/>
    <cellStyle name="Standard 2 2 3 3 9" xfId="6300"/>
    <cellStyle name="Standard 2 2 3 4" xfId="6301"/>
    <cellStyle name="Standard 2 2 3 4 2" xfId="6302"/>
    <cellStyle name="Standard 2 2 3 4 2 2" xfId="6303"/>
    <cellStyle name="Standard 2 2 3 4 3" xfId="6304"/>
    <cellStyle name="Standard 2 2 3 4 4" xfId="6305"/>
    <cellStyle name="Standard 2 2 3 4 5" xfId="6306"/>
    <cellStyle name="Standard 2 2 3 5" xfId="6307"/>
    <cellStyle name="Standard 2 2 3 5 2" xfId="6308"/>
    <cellStyle name="Standard 2 2 3 5 2 2" xfId="6309"/>
    <cellStyle name="Standard 2 2 3 5 3" xfId="6310"/>
    <cellStyle name="Standard 2 2 3 5 4" xfId="6311"/>
    <cellStyle name="Standard 2 2 3 5 5" xfId="6312"/>
    <cellStyle name="Standard 2 2 3 6" xfId="6313"/>
    <cellStyle name="Standard 2 2 3 6 2" xfId="6314"/>
    <cellStyle name="Standard 2 2 3 6 2 2" xfId="6315"/>
    <cellStyle name="Standard 2 2 3 6 3" xfId="6316"/>
    <cellStyle name="Standard 2 2 3 6 4" xfId="6317"/>
    <cellStyle name="Standard 2 2 3 7" xfId="6318"/>
    <cellStyle name="Standard 2 2 3 7 2" xfId="6319"/>
    <cellStyle name="Standard 2 2 3 8" xfId="6320"/>
    <cellStyle name="Standard 2 2 3 9" xfId="6321"/>
    <cellStyle name="Standard 2 2 4" xfId="6322"/>
    <cellStyle name="Standard 2 2 4 10" xfId="6323"/>
    <cellStyle name="Standard 2 2 4 11" xfId="6324"/>
    <cellStyle name="Standard 2 2 4 2" xfId="6325"/>
    <cellStyle name="Standard 2 2 4 2 10" xfId="6326"/>
    <cellStyle name="Standard 2 2 4 2 2" xfId="6327"/>
    <cellStyle name="Standard 2 2 4 2 2 2" xfId="6328"/>
    <cellStyle name="Standard 2 2 4 2 2 2 2" xfId="6329"/>
    <cellStyle name="Standard 2 2 4 2 2 2 2 2" xfId="6330"/>
    <cellStyle name="Standard 2 2 4 2 2 2 3" xfId="6331"/>
    <cellStyle name="Standard 2 2 4 2 2 2 4" xfId="6332"/>
    <cellStyle name="Standard 2 2 4 2 2 2 5" xfId="6333"/>
    <cellStyle name="Standard 2 2 4 2 2 3" xfId="6334"/>
    <cellStyle name="Standard 2 2 4 2 2 3 2" xfId="6335"/>
    <cellStyle name="Standard 2 2 4 2 2 3 2 2" xfId="6336"/>
    <cellStyle name="Standard 2 2 4 2 2 3 3" xfId="6337"/>
    <cellStyle name="Standard 2 2 4 2 2 3 4" xfId="6338"/>
    <cellStyle name="Standard 2 2 4 2 2 3 5" xfId="6339"/>
    <cellStyle name="Standard 2 2 4 2 2 4" xfId="6340"/>
    <cellStyle name="Standard 2 2 4 2 2 4 2" xfId="6341"/>
    <cellStyle name="Standard 2 2 4 2 2 4 2 2" xfId="6342"/>
    <cellStyle name="Standard 2 2 4 2 2 4 3" xfId="6343"/>
    <cellStyle name="Standard 2 2 4 2 2 4 4" xfId="6344"/>
    <cellStyle name="Standard 2 2 4 2 2 5" xfId="6345"/>
    <cellStyle name="Standard 2 2 4 2 2 5 2" xfId="6346"/>
    <cellStyle name="Standard 2 2 4 2 2 6" xfId="6347"/>
    <cellStyle name="Standard 2 2 4 2 2 7" xfId="6348"/>
    <cellStyle name="Standard 2 2 4 2 2 8" xfId="6349"/>
    <cellStyle name="Standard 2 2 4 2 2 9" xfId="6350"/>
    <cellStyle name="Standard 2 2 4 2 3" xfId="6351"/>
    <cellStyle name="Standard 2 2 4 2 3 2" xfId="6352"/>
    <cellStyle name="Standard 2 2 4 2 3 2 2" xfId="6353"/>
    <cellStyle name="Standard 2 2 4 2 3 3" xfId="6354"/>
    <cellStyle name="Standard 2 2 4 2 3 4" xfId="6355"/>
    <cellStyle name="Standard 2 2 4 2 3 5" xfId="6356"/>
    <cellStyle name="Standard 2 2 4 2 4" xfId="6357"/>
    <cellStyle name="Standard 2 2 4 2 4 2" xfId="6358"/>
    <cellStyle name="Standard 2 2 4 2 4 2 2" xfId="6359"/>
    <cellStyle name="Standard 2 2 4 2 4 3" xfId="6360"/>
    <cellStyle name="Standard 2 2 4 2 4 4" xfId="6361"/>
    <cellStyle name="Standard 2 2 4 2 4 5" xfId="6362"/>
    <cellStyle name="Standard 2 2 4 2 5" xfId="6363"/>
    <cellStyle name="Standard 2 2 4 2 5 2" xfId="6364"/>
    <cellStyle name="Standard 2 2 4 2 5 2 2" xfId="6365"/>
    <cellStyle name="Standard 2 2 4 2 5 3" xfId="6366"/>
    <cellStyle name="Standard 2 2 4 2 5 4" xfId="6367"/>
    <cellStyle name="Standard 2 2 4 2 6" xfId="6368"/>
    <cellStyle name="Standard 2 2 4 2 6 2" xfId="6369"/>
    <cellStyle name="Standard 2 2 4 2 7" xfId="6370"/>
    <cellStyle name="Standard 2 2 4 2 8" xfId="6371"/>
    <cellStyle name="Standard 2 2 4 2 9" xfId="6372"/>
    <cellStyle name="Standard 2 2 4 3" xfId="6373"/>
    <cellStyle name="Standard 2 2 4 3 2" xfId="6374"/>
    <cellStyle name="Standard 2 2 4 3 2 2" xfId="6375"/>
    <cellStyle name="Standard 2 2 4 3 2 2 2" xfId="6376"/>
    <cellStyle name="Standard 2 2 4 3 2 3" xfId="6377"/>
    <cellStyle name="Standard 2 2 4 3 2 4" xfId="6378"/>
    <cellStyle name="Standard 2 2 4 3 2 5" xfId="6379"/>
    <cellStyle name="Standard 2 2 4 3 3" xfId="6380"/>
    <cellStyle name="Standard 2 2 4 3 3 2" xfId="6381"/>
    <cellStyle name="Standard 2 2 4 3 3 2 2" xfId="6382"/>
    <cellStyle name="Standard 2 2 4 3 3 3" xfId="6383"/>
    <cellStyle name="Standard 2 2 4 3 3 4" xfId="6384"/>
    <cellStyle name="Standard 2 2 4 3 3 5" xfId="6385"/>
    <cellStyle name="Standard 2 2 4 3 4" xfId="6386"/>
    <cellStyle name="Standard 2 2 4 3 4 2" xfId="6387"/>
    <cellStyle name="Standard 2 2 4 3 4 2 2" xfId="6388"/>
    <cellStyle name="Standard 2 2 4 3 4 3" xfId="6389"/>
    <cellStyle name="Standard 2 2 4 3 4 4" xfId="6390"/>
    <cellStyle name="Standard 2 2 4 3 5" xfId="6391"/>
    <cellStyle name="Standard 2 2 4 3 5 2" xfId="6392"/>
    <cellStyle name="Standard 2 2 4 3 6" xfId="6393"/>
    <cellStyle name="Standard 2 2 4 3 7" xfId="6394"/>
    <cellStyle name="Standard 2 2 4 3 8" xfId="6395"/>
    <cellStyle name="Standard 2 2 4 3 9" xfId="6396"/>
    <cellStyle name="Standard 2 2 4 4" xfId="6397"/>
    <cellStyle name="Standard 2 2 4 4 2" xfId="6398"/>
    <cellStyle name="Standard 2 2 4 4 2 2" xfId="6399"/>
    <cellStyle name="Standard 2 2 4 4 3" xfId="6400"/>
    <cellStyle name="Standard 2 2 4 4 4" xfId="6401"/>
    <cellStyle name="Standard 2 2 4 4 5" xfId="6402"/>
    <cellStyle name="Standard 2 2 4 5" xfId="6403"/>
    <cellStyle name="Standard 2 2 4 5 2" xfId="6404"/>
    <cellStyle name="Standard 2 2 4 5 2 2" xfId="6405"/>
    <cellStyle name="Standard 2 2 4 5 3" xfId="6406"/>
    <cellStyle name="Standard 2 2 4 5 4" xfId="6407"/>
    <cellStyle name="Standard 2 2 4 5 5" xfId="6408"/>
    <cellStyle name="Standard 2 2 4 6" xfId="6409"/>
    <cellStyle name="Standard 2 2 4 6 2" xfId="6410"/>
    <cellStyle name="Standard 2 2 4 6 2 2" xfId="6411"/>
    <cellStyle name="Standard 2 2 4 6 3" xfId="6412"/>
    <cellStyle name="Standard 2 2 4 6 4" xfId="6413"/>
    <cellStyle name="Standard 2 2 4 7" xfId="6414"/>
    <cellStyle name="Standard 2 2 4 7 2" xfId="6415"/>
    <cellStyle name="Standard 2 2 4 8" xfId="6416"/>
    <cellStyle name="Standard 2 2 4 9" xfId="6417"/>
    <cellStyle name="Standard 2 2 5" xfId="6418"/>
    <cellStyle name="Standard 2 2 5 10" xfId="6419"/>
    <cellStyle name="Standard 2 2 5 2" xfId="6420"/>
    <cellStyle name="Standard 2 2 5 2 2" xfId="6421"/>
    <cellStyle name="Standard 2 2 5 2 2 2" xfId="6422"/>
    <cellStyle name="Standard 2 2 5 2 2 2 2" xfId="6423"/>
    <cellStyle name="Standard 2 2 5 2 2 3" xfId="6424"/>
    <cellStyle name="Standard 2 2 5 2 2 4" xfId="6425"/>
    <cellStyle name="Standard 2 2 5 2 2 5" xfId="6426"/>
    <cellStyle name="Standard 2 2 5 2 3" xfId="6427"/>
    <cellStyle name="Standard 2 2 5 2 3 2" xfId="6428"/>
    <cellStyle name="Standard 2 2 5 2 3 2 2" xfId="6429"/>
    <cellStyle name="Standard 2 2 5 2 3 3" xfId="6430"/>
    <cellStyle name="Standard 2 2 5 2 3 4" xfId="6431"/>
    <cellStyle name="Standard 2 2 5 2 3 5" xfId="6432"/>
    <cellStyle name="Standard 2 2 5 2 4" xfId="6433"/>
    <cellStyle name="Standard 2 2 5 2 4 2" xfId="6434"/>
    <cellStyle name="Standard 2 2 5 2 4 2 2" xfId="6435"/>
    <cellStyle name="Standard 2 2 5 2 4 3" xfId="6436"/>
    <cellStyle name="Standard 2 2 5 2 4 4" xfId="6437"/>
    <cellStyle name="Standard 2 2 5 2 5" xfId="6438"/>
    <cellStyle name="Standard 2 2 5 2 5 2" xfId="6439"/>
    <cellStyle name="Standard 2 2 5 2 6" xfId="6440"/>
    <cellStyle name="Standard 2 2 5 2 7" xfId="6441"/>
    <cellStyle name="Standard 2 2 5 2 8" xfId="6442"/>
    <cellStyle name="Standard 2 2 5 2 9" xfId="6443"/>
    <cellStyle name="Standard 2 2 5 3" xfId="6444"/>
    <cellStyle name="Standard 2 2 5 3 2" xfId="6445"/>
    <cellStyle name="Standard 2 2 5 3 2 2" xfId="6446"/>
    <cellStyle name="Standard 2 2 5 3 3" xfId="6447"/>
    <cellStyle name="Standard 2 2 5 3 4" xfId="6448"/>
    <cellStyle name="Standard 2 2 5 3 5" xfId="6449"/>
    <cellStyle name="Standard 2 2 5 4" xfId="6450"/>
    <cellStyle name="Standard 2 2 5 4 2" xfId="6451"/>
    <cellStyle name="Standard 2 2 5 4 2 2" xfId="6452"/>
    <cellStyle name="Standard 2 2 5 4 3" xfId="6453"/>
    <cellStyle name="Standard 2 2 5 4 4" xfId="6454"/>
    <cellStyle name="Standard 2 2 5 4 5" xfId="6455"/>
    <cellStyle name="Standard 2 2 5 5" xfId="6456"/>
    <cellStyle name="Standard 2 2 5 5 2" xfId="6457"/>
    <cellStyle name="Standard 2 2 5 5 2 2" xfId="6458"/>
    <cellStyle name="Standard 2 2 5 5 3" xfId="6459"/>
    <cellStyle name="Standard 2 2 5 5 4" xfId="6460"/>
    <cellStyle name="Standard 2 2 5 6" xfId="6461"/>
    <cellStyle name="Standard 2 2 5 6 2" xfId="6462"/>
    <cellStyle name="Standard 2 2 5 7" xfId="6463"/>
    <cellStyle name="Standard 2 2 5 8" xfId="6464"/>
    <cellStyle name="Standard 2 2 5 9" xfId="6465"/>
    <cellStyle name="Standard 2 2 6" xfId="6466"/>
    <cellStyle name="Standard 2 2 6 10" xfId="6467"/>
    <cellStyle name="Standard 2 2 6 2" xfId="6468"/>
    <cellStyle name="Standard 2 2 6 2 2" xfId="6469"/>
    <cellStyle name="Standard 2 2 6 2 2 2" xfId="6470"/>
    <cellStyle name="Standard 2 2 6 2 2 2 2" xfId="6471"/>
    <cellStyle name="Standard 2 2 6 2 2 3" xfId="6472"/>
    <cellStyle name="Standard 2 2 6 2 2 4" xfId="6473"/>
    <cellStyle name="Standard 2 2 6 2 2 5" xfId="6474"/>
    <cellStyle name="Standard 2 2 6 2 3" xfId="6475"/>
    <cellStyle name="Standard 2 2 6 2 3 2" xfId="6476"/>
    <cellStyle name="Standard 2 2 6 2 3 2 2" xfId="6477"/>
    <cellStyle name="Standard 2 2 6 2 3 3" xfId="6478"/>
    <cellStyle name="Standard 2 2 6 2 3 4" xfId="6479"/>
    <cellStyle name="Standard 2 2 6 2 3 5" xfId="6480"/>
    <cellStyle name="Standard 2 2 6 2 4" xfId="6481"/>
    <cellStyle name="Standard 2 2 6 2 4 2" xfId="6482"/>
    <cellStyle name="Standard 2 2 6 2 4 2 2" xfId="6483"/>
    <cellStyle name="Standard 2 2 6 2 4 3" xfId="6484"/>
    <cellStyle name="Standard 2 2 6 2 4 4" xfId="6485"/>
    <cellStyle name="Standard 2 2 6 2 5" xfId="6486"/>
    <cellStyle name="Standard 2 2 6 2 5 2" xfId="6487"/>
    <cellStyle name="Standard 2 2 6 2 6" xfId="6488"/>
    <cellStyle name="Standard 2 2 6 2 7" xfId="6489"/>
    <cellStyle name="Standard 2 2 6 2 8" xfId="6490"/>
    <cellStyle name="Standard 2 2 6 2 9" xfId="6491"/>
    <cellStyle name="Standard 2 2 6 3" xfId="6492"/>
    <cellStyle name="Standard 2 2 6 3 2" xfId="6493"/>
    <cellStyle name="Standard 2 2 6 3 2 2" xfId="6494"/>
    <cellStyle name="Standard 2 2 6 3 3" xfId="6495"/>
    <cellStyle name="Standard 2 2 6 3 4" xfId="6496"/>
    <cellStyle name="Standard 2 2 6 3 5" xfId="6497"/>
    <cellStyle name="Standard 2 2 6 4" xfId="6498"/>
    <cellStyle name="Standard 2 2 6 4 2" xfId="6499"/>
    <cellStyle name="Standard 2 2 6 4 2 2" xfId="6500"/>
    <cellStyle name="Standard 2 2 6 4 3" xfId="6501"/>
    <cellStyle name="Standard 2 2 6 4 4" xfId="6502"/>
    <cellStyle name="Standard 2 2 6 4 5" xfId="6503"/>
    <cellStyle name="Standard 2 2 6 5" xfId="6504"/>
    <cellStyle name="Standard 2 2 6 5 2" xfId="6505"/>
    <cellStyle name="Standard 2 2 6 5 2 2" xfId="6506"/>
    <cellStyle name="Standard 2 2 6 5 3" xfId="6507"/>
    <cellStyle name="Standard 2 2 6 5 4" xfId="6508"/>
    <cellStyle name="Standard 2 2 6 6" xfId="6509"/>
    <cellStyle name="Standard 2 2 6 6 2" xfId="6510"/>
    <cellStyle name="Standard 2 2 6 7" xfId="6511"/>
    <cellStyle name="Standard 2 2 6 8" xfId="6512"/>
    <cellStyle name="Standard 2 2 6 9" xfId="6513"/>
    <cellStyle name="Standard 2 2 7" xfId="6514"/>
    <cellStyle name="Standard 2 2 7 2" xfId="6515"/>
    <cellStyle name="Standard 2 2 7 2 2" xfId="6516"/>
    <cellStyle name="Standard 2 2 7 2 2 2" xfId="6517"/>
    <cellStyle name="Standard 2 2 7 2 3" xfId="6518"/>
    <cellStyle name="Standard 2 2 7 2 4" xfId="6519"/>
    <cellStyle name="Standard 2 2 7 2 5" xfId="6520"/>
    <cellStyle name="Standard 2 2 7 3" xfId="6521"/>
    <cellStyle name="Standard 2 2 7 3 2" xfId="6522"/>
    <cellStyle name="Standard 2 2 7 3 2 2" xfId="6523"/>
    <cellStyle name="Standard 2 2 7 3 3" xfId="6524"/>
    <cellStyle name="Standard 2 2 7 3 4" xfId="6525"/>
    <cellStyle name="Standard 2 2 7 3 5" xfId="6526"/>
    <cellStyle name="Standard 2 2 7 4" xfId="6527"/>
    <cellStyle name="Standard 2 2 7 4 2" xfId="6528"/>
    <cellStyle name="Standard 2 2 7 4 2 2" xfId="6529"/>
    <cellStyle name="Standard 2 2 7 4 3" xfId="6530"/>
    <cellStyle name="Standard 2 2 7 4 4" xfId="6531"/>
    <cellStyle name="Standard 2 2 7 5" xfId="6532"/>
    <cellStyle name="Standard 2 2 7 5 2" xfId="6533"/>
    <cellStyle name="Standard 2 2 7 6" xfId="6534"/>
    <cellStyle name="Standard 2 2 7 7" xfId="6535"/>
    <cellStyle name="Standard 2 2 7 8" xfId="6536"/>
    <cellStyle name="Standard 2 2 7 9" xfId="6537"/>
    <cellStyle name="Standard 2 2 8" xfId="6538"/>
    <cellStyle name="Standard 2 2 8 2" xfId="6539"/>
    <cellStyle name="Standard 2 2 8 2 2" xfId="6540"/>
    <cellStyle name="Standard 2 2 8 3" xfId="6541"/>
    <cellStyle name="Standard 2 2 8 4" xfId="6542"/>
    <cellStyle name="Standard 2 2 8 5" xfId="6543"/>
    <cellStyle name="Standard 2 2 9" xfId="6544"/>
    <cellStyle name="Standard 2 2 9 2" xfId="6545"/>
    <cellStyle name="Standard 2 2 9 2 2" xfId="6546"/>
    <cellStyle name="Standard 2 2 9 3" xfId="6547"/>
    <cellStyle name="Standard 2 2 9 4" xfId="6548"/>
    <cellStyle name="Standard 2 2 9 5" xfId="6549"/>
    <cellStyle name="Standard 2 3" xfId="6550"/>
    <cellStyle name="Standard 2 3 2" xfId="6551"/>
    <cellStyle name="Standard 2 4" xfId="6552"/>
    <cellStyle name="Standard 3" xfId="6553"/>
    <cellStyle name="Standard 3 10" xfId="6554"/>
    <cellStyle name="Standard 3 10 2" xfId="6555"/>
    <cellStyle name="Standard 3 10 2 2" xfId="6556"/>
    <cellStyle name="Standard 3 10 3" xfId="6557"/>
    <cellStyle name="Standard 3 10 4" xfId="6558"/>
    <cellStyle name="Standard 3 10 5" xfId="6559"/>
    <cellStyle name="Standard 3 11" xfId="6560"/>
    <cellStyle name="Standard 3 11 2" xfId="6561"/>
    <cellStyle name="Standard 3 11 2 2" xfId="6562"/>
    <cellStyle name="Standard 3 11 3" xfId="6563"/>
    <cellStyle name="Standard 3 11 4" xfId="6564"/>
    <cellStyle name="Standard 3 12" xfId="6565"/>
    <cellStyle name="Standard 3 12 2" xfId="6566"/>
    <cellStyle name="Standard 3 13" xfId="6567"/>
    <cellStyle name="Standard 3 14" xfId="6568"/>
    <cellStyle name="Standard 3 15" xfId="6569"/>
    <cellStyle name="Standard 3 16" xfId="6570"/>
    <cellStyle name="Standard 3 2" xfId="6571"/>
    <cellStyle name="Standard 3 3" xfId="6572"/>
    <cellStyle name="Standard 3 3 10" xfId="6573"/>
    <cellStyle name="Standard 3 3 11" xfId="6574"/>
    <cellStyle name="Standard 3 3 2" xfId="6575"/>
    <cellStyle name="Standard 3 3 2 10" xfId="6576"/>
    <cellStyle name="Standard 3 3 2 2" xfId="6577"/>
    <cellStyle name="Standard 3 3 2 2 2" xfId="6578"/>
    <cellStyle name="Standard 3 3 2 2 2 2" xfId="6579"/>
    <cellStyle name="Standard 3 3 2 2 2 2 2" xfId="6580"/>
    <cellStyle name="Standard 3 3 2 2 2 3" xfId="6581"/>
    <cellStyle name="Standard 3 3 2 2 2 4" xfId="6582"/>
    <cellStyle name="Standard 3 3 2 2 2 5" xfId="6583"/>
    <cellStyle name="Standard 3 3 2 2 3" xfId="6584"/>
    <cellStyle name="Standard 3 3 2 2 3 2" xfId="6585"/>
    <cellStyle name="Standard 3 3 2 2 3 2 2" xfId="6586"/>
    <cellStyle name="Standard 3 3 2 2 3 3" xfId="6587"/>
    <cellStyle name="Standard 3 3 2 2 3 4" xfId="6588"/>
    <cellStyle name="Standard 3 3 2 2 3 5" xfId="6589"/>
    <cellStyle name="Standard 3 3 2 2 4" xfId="6590"/>
    <cellStyle name="Standard 3 3 2 2 4 2" xfId="6591"/>
    <cellStyle name="Standard 3 3 2 2 4 2 2" xfId="6592"/>
    <cellStyle name="Standard 3 3 2 2 4 3" xfId="6593"/>
    <cellStyle name="Standard 3 3 2 2 4 4" xfId="6594"/>
    <cellStyle name="Standard 3 3 2 2 5" xfId="6595"/>
    <cellStyle name="Standard 3 3 2 2 5 2" xfId="6596"/>
    <cellStyle name="Standard 3 3 2 2 6" xfId="6597"/>
    <cellStyle name="Standard 3 3 2 2 7" xfId="6598"/>
    <cellStyle name="Standard 3 3 2 2 8" xfId="6599"/>
    <cellStyle name="Standard 3 3 2 2 9" xfId="6600"/>
    <cellStyle name="Standard 3 3 2 3" xfId="6601"/>
    <cellStyle name="Standard 3 3 2 3 2" xfId="6602"/>
    <cellStyle name="Standard 3 3 2 3 2 2" xfId="6603"/>
    <cellStyle name="Standard 3 3 2 3 3" xfId="6604"/>
    <cellStyle name="Standard 3 3 2 3 4" xfId="6605"/>
    <cellStyle name="Standard 3 3 2 3 5" xfId="6606"/>
    <cellStyle name="Standard 3 3 2 4" xfId="6607"/>
    <cellStyle name="Standard 3 3 2 4 2" xfId="6608"/>
    <cellStyle name="Standard 3 3 2 4 2 2" xfId="6609"/>
    <cellStyle name="Standard 3 3 2 4 3" xfId="6610"/>
    <cellStyle name="Standard 3 3 2 4 4" xfId="6611"/>
    <cellStyle name="Standard 3 3 2 4 5" xfId="6612"/>
    <cellStyle name="Standard 3 3 2 5" xfId="6613"/>
    <cellStyle name="Standard 3 3 2 5 2" xfId="6614"/>
    <cellStyle name="Standard 3 3 2 5 2 2" xfId="6615"/>
    <cellStyle name="Standard 3 3 2 5 3" xfId="6616"/>
    <cellStyle name="Standard 3 3 2 5 4" xfId="6617"/>
    <cellStyle name="Standard 3 3 2 6" xfId="6618"/>
    <cellStyle name="Standard 3 3 2 6 2" xfId="6619"/>
    <cellStyle name="Standard 3 3 2 7" xfId="6620"/>
    <cellStyle name="Standard 3 3 2 8" xfId="6621"/>
    <cellStyle name="Standard 3 3 2 9" xfId="6622"/>
    <cellStyle name="Standard 3 3 3" xfId="6623"/>
    <cellStyle name="Standard 3 3 3 2" xfId="6624"/>
    <cellStyle name="Standard 3 3 3 2 2" xfId="6625"/>
    <cellStyle name="Standard 3 3 3 2 2 2" xfId="6626"/>
    <cellStyle name="Standard 3 3 3 2 3" xfId="6627"/>
    <cellStyle name="Standard 3 3 3 2 4" xfId="6628"/>
    <cellStyle name="Standard 3 3 3 2 5" xfId="6629"/>
    <cellStyle name="Standard 3 3 3 3" xfId="6630"/>
    <cellStyle name="Standard 3 3 3 3 2" xfId="6631"/>
    <cellStyle name="Standard 3 3 3 3 2 2" xfId="6632"/>
    <cellStyle name="Standard 3 3 3 3 3" xfId="6633"/>
    <cellStyle name="Standard 3 3 3 3 4" xfId="6634"/>
    <cellStyle name="Standard 3 3 3 3 5" xfId="6635"/>
    <cellStyle name="Standard 3 3 3 4" xfId="6636"/>
    <cellStyle name="Standard 3 3 3 4 2" xfId="6637"/>
    <cellStyle name="Standard 3 3 3 4 2 2" xfId="6638"/>
    <cellStyle name="Standard 3 3 3 4 3" xfId="6639"/>
    <cellStyle name="Standard 3 3 3 4 4" xfId="6640"/>
    <cellStyle name="Standard 3 3 3 5" xfId="6641"/>
    <cellStyle name="Standard 3 3 3 5 2" xfId="6642"/>
    <cellStyle name="Standard 3 3 3 6" xfId="6643"/>
    <cellStyle name="Standard 3 3 3 7" xfId="6644"/>
    <cellStyle name="Standard 3 3 3 8" xfId="6645"/>
    <cellStyle name="Standard 3 3 3 9" xfId="6646"/>
    <cellStyle name="Standard 3 3 4" xfId="6647"/>
    <cellStyle name="Standard 3 3 4 2" xfId="6648"/>
    <cellStyle name="Standard 3 3 4 2 2" xfId="6649"/>
    <cellStyle name="Standard 3 3 4 3" xfId="6650"/>
    <cellStyle name="Standard 3 3 4 4" xfId="6651"/>
    <cellStyle name="Standard 3 3 4 5" xfId="6652"/>
    <cellStyle name="Standard 3 3 5" xfId="6653"/>
    <cellStyle name="Standard 3 3 5 2" xfId="6654"/>
    <cellStyle name="Standard 3 3 5 2 2" xfId="6655"/>
    <cellStyle name="Standard 3 3 5 3" xfId="6656"/>
    <cellStyle name="Standard 3 3 5 4" xfId="6657"/>
    <cellStyle name="Standard 3 3 5 5" xfId="6658"/>
    <cellStyle name="Standard 3 3 6" xfId="6659"/>
    <cellStyle name="Standard 3 3 6 2" xfId="6660"/>
    <cellStyle name="Standard 3 3 6 2 2" xfId="6661"/>
    <cellStyle name="Standard 3 3 6 3" xfId="6662"/>
    <cellStyle name="Standard 3 3 6 4" xfId="6663"/>
    <cellStyle name="Standard 3 3 7" xfId="6664"/>
    <cellStyle name="Standard 3 3 7 2" xfId="6665"/>
    <cellStyle name="Standard 3 3 8" xfId="6666"/>
    <cellStyle name="Standard 3 3 9" xfId="6667"/>
    <cellStyle name="Standard 3 4" xfId="6668"/>
    <cellStyle name="Standard 3 4 10" xfId="6669"/>
    <cellStyle name="Standard 3 4 11" xfId="6670"/>
    <cellStyle name="Standard 3 4 2" xfId="6671"/>
    <cellStyle name="Standard 3 4 2 10" xfId="6672"/>
    <cellStyle name="Standard 3 4 2 2" xfId="6673"/>
    <cellStyle name="Standard 3 4 2 2 2" xfId="6674"/>
    <cellStyle name="Standard 3 4 2 2 2 2" xfId="6675"/>
    <cellStyle name="Standard 3 4 2 2 2 2 2" xfId="6676"/>
    <cellStyle name="Standard 3 4 2 2 2 3" xfId="6677"/>
    <cellStyle name="Standard 3 4 2 2 2 4" xfId="6678"/>
    <cellStyle name="Standard 3 4 2 2 2 5" xfId="6679"/>
    <cellStyle name="Standard 3 4 2 2 3" xfId="6680"/>
    <cellStyle name="Standard 3 4 2 2 3 2" xfId="6681"/>
    <cellStyle name="Standard 3 4 2 2 3 2 2" xfId="6682"/>
    <cellStyle name="Standard 3 4 2 2 3 3" xfId="6683"/>
    <cellStyle name="Standard 3 4 2 2 3 4" xfId="6684"/>
    <cellStyle name="Standard 3 4 2 2 3 5" xfId="6685"/>
    <cellStyle name="Standard 3 4 2 2 4" xfId="6686"/>
    <cellStyle name="Standard 3 4 2 2 4 2" xfId="6687"/>
    <cellStyle name="Standard 3 4 2 2 4 2 2" xfId="6688"/>
    <cellStyle name="Standard 3 4 2 2 4 3" xfId="6689"/>
    <cellStyle name="Standard 3 4 2 2 4 4" xfId="6690"/>
    <cellStyle name="Standard 3 4 2 2 5" xfId="6691"/>
    <cellStyle name="Standard 3 4 2 2 5 2" xfId="6692"/>
    <cellStyle name="Standard 3 4 2 2 6" xfId="6693"/>
    <cellStyle name="Standard 3 4 2 2 7" xfId="6694"/>
    <cellStyle name="Standard 3 4 2 2 8" xfId="6695"/>
    <cellStyle name="Standard 3 4 2 2 9" xfId="6696"/>
    <cellStyle name="Standard 3 4 2 3" xfId="6697"/>
    <cellStyle name="Standard 3 4 2 3 2" xfId="6698"/>
    <cellStyle name="Standard 3 4 2 3 2 2" xfId="6699"/>
    <cellStyle name="Standard 3 4 2 3 3" xfId="6700"/>
    <cellStyle name="Standard 3 4 2 3 4" xfId="6701"/>
    <cellStyle name="Standard 3 4 2 3 5" xfId="6702"/>
    <cellStyle name="Standard 3 4 2 4" xfId="6703"/>
    <cellStyle name="Standard 3 4 2 4 2" xfId="6704"/>
    <cellStyle name="Standard 3 4 2 4 2 2" xfId="6705"/>
    <cellStyle name="Standard 3 4 2 4 3" xfId="6706"/>
    <cellStyle name="Standard 3 4 2 4 4" xfId="6707"/>
    <cellStyle name="Standard 3 4 2 4 5" xfId="6708"/>
    <cellStyle name="Standard 3 4 2 5" xfId="6709"/>
    <cellStyle name="Standard 3 4 2 5 2" xfId="6710"/>
    <cellStyle name="Standard 3 4 2 5 2 2" xfId="6711"/>
    <cellStyle name="Standard 3 4 2 5 3" xfId="6712"/>
    <cellStyle name="Standard 3 4 2 5 4" xfId="6713"/>
    <cellStyle name="Standard 3 4 2 6" xfId="6714"/>
    <cellStyle name="Standard 3 4 2 6 2" xfId="6715"/>
    <cellStyle name="Standard 3 4 2 7" xfId="6716"/>
    <cellStyle name="Standard 3 4 2 8" xfId="6717"/>
    <cellStyle name="Standard 3 4 2 9" xfId="6718"/>
    <cellStyle name="Standard 3 4 3" xfId="6719"/>
    <cellStyle name="Standard 3 4 3 2" xfId="6720"/>
    <cellStyle name="Standard 3 4 3 2 2" xfId="6721"/>
    <cellStyle name="Standard 3 4 3 2 2 2" xfId="6722"/>
    <cellStyle name="Standard 3 4 3 2 3" xfId="6723"/>
    <cellStyle name="Standard 3 4 3 2 4" xfId="6724"/>
    <cellStyle name="Standard 3 4 3 2 5" xfId="6725"/>
    <cellStyle name="Standard 3 4 3 3" xfId="6726"/>
    <cellStyle name="Standard 3 4 3 3 2" xfId="6727"/>
    <cellStyle name="Standard 3 4 3 3 2 2" xfId="6728"/>
    <cellStyle name="Standard 3 4 3 3 3" xfId="6729"/>
    <cellStyle name="Standard 3 4 3 3 4" xfId="6730"/>
    <cellStyle name="Standard 3 4 3 3 5" xfId="6731"/>
    <cellStyle name="Standard 3 4 3 4" xfId="6732"/>
    <cellStyle name="Standard 3 4 3 4 2" xfId="6733"/>
    <cellStyle name="Standard 3 4 3 4 2 2" xfId="6734"/>
    <cellStyle name="Standard 3 4 3 4 3" xfId="6735"/>
    <cellStyle name="Standard 3 4 3 4 4" xfId="6736"/>
    <cellStyle name="Standard 3 4 3 5" xfId="6737"/>
    <cellStyle name="Standard 3 4 3 5 2" xfId="6738"/>
    <cellStyle name="Standard 3 4 3 6" xfId="6739"/>
    <cellStyle name="Standard 3 4 3 7" xfId="6740"/>
    <cellStyle name="Standard 3 4 3 8" xfId="6741"/>
    <cellStyle name="Standard 3 4 3 9" xfId="6742"/>
    <cellStyle name="Standard 3 4 4" xfId="6743"/>
    <cellStyle name="Standard 3 4 4 2" xfId="6744"/>
    <cellStyle name="Standard 3 4 4 2 2" xfId="6745"/>
    <cellStyle name="Standard 3 4 4 3" xfId="6746"/>
    <cellStyle name="Standard 3 4 4 4" xfId="6747"/>
    <cellStyle name="Standard 3 4 4 5" xfId="6748"/>
    <cellStyle name="Standard 3 4 5" xfId="6749"/>
    <cellStyle name="Standard 3 4 5 2" xfId="6750"/>
    <cellStyle name="Standard 3 4 5 2 2" xfId="6751"/>
    <cellStyle name="Standard 3 4 5 3" xfId="6752"/>
    <cellStyle name="Standard 3 4 5 4" xfId="6753"/>
    <cellStyle name="Standard 3 4 5 5" xfId="6754"/>
    <cellStyle name="Standard 3 4 6" xfId="6755"/>
    <cellStyle name="Standard 3 4 6 2" xfId="6756"/>
    <cellStyle name="Standard 3 4 6 2 2" xfId="6757"/>
    <cellStyle name="Standard 3 4 6 3" xfId="6758"/>
    <cellStyle name="Standard 3 4 6 4" xfId="6759"/>
    <cellStyle name="Standard 3 4 7" xfId="6760"/>
    <cellStyle name="Standard 3 4 7 2" xfId="6761"/>
    <cellStyle name="Standard 3 4 8" xfId="6762"/>
    <cellStyle name="Standard 3 4 9" xfId="6763"/>
    <cellStyle name="Standard 3 5" xfId="6764"/>
    <cellStyle name="Standard 3 5 10" xfId="6765"/>
    <cellStyle name="Standard 3 5 11" xfId="6766"/>
    <cellStyle name="Standard 3 5 2" xfId="6767"/>
    <cellStyle name="Standard 3 5 2 10" xfId="6768"/>
    <cellStyle name="Standard 3 5 2 2" xfId="6769"/>
    <cellStyle name="Standard 3 5 2 2 2" xfId="6770"/>
    <cellStyle name="Standard 3 5 2 2 2 2" xfId="6771"/>
    <cellStyle name="Standard 3 5 2 2 2 2 2" xfId="6772"/>
    <cellStyle name="Standard 3 5 2 2 2 3" xfId="6773"/>
    <cellStyle name="Standard 3 5 2 2 2 4" xfId="6774"/>
    <cellStyle name="Standard 3 5 2 2 2 5" xfId="6775"/>
    <cellStyle name="Standard 3 5 2 2 3" xfId="6776"/>
    <cellStyle name="Standard 3 5 2 2 3 2" xfId="6777"/>
    <cellStyle name="Standard 3 5 2 2 3 2 2" xfId="6778"/>
    <cellStyle name="Standard 3 5 2 2 3 3" xfId="6779"/>
    <cellStyle name="Standard 3 5 2 2 3 4" xfId="6780"/>
    <cellStyle name="Standard 3 5 2 2 3 5" xfId="6781"/>
    <cellStyle name="Standard 3 5 2 2 4" xfId="6782"/>
    <cellStyle name="Standard 3 5 2 2 4 2" xfId="6783"/>
    <cellStyle name="Standard 3 5 2 2 4 2 2" xfId="6784"/>
    <cellStyle name="Standard 3 5 2 2 4 3" xfId="6785"/>
    <cellStyle name="Standard 3 5 2 2 4 4" xfId="6786"/>
    <cellStyle name="Standard 3 5 2 2 5" xfId="6787"/>
    <cellStyle name="Standard 3 5 2 2 5 2" xfId="6788"/>
    <cellStyle name="Standard 3 5 2 2 6" xfId="6789"/>
    <cellStyle name="Standard 3 5 2 2 7" xfId="6790"/>
    <cellStyle name="Standard 3 5 2 2 8" xfId="6791"/>
    <cellStyle name="Standard 3 5 2 2 9" xfId="6792"/>
    <cellStyle name="Standard 3 5 2 3" xfId="6793"/>
    <cellStyle name="Standard 3 5 2 3 2" xfId="6794"/>
    <cellStyle name="Standard 3 5 2 3 2 2" xfId="6795"/>
    <cellStyle name="Standard 3 5 2 3 3" xfId="6796"/>
    <cellStyle name="Standard 3 5 2 3 4" xfId="6797"/>
    <cellStyle name="Standard 3 5 2 3 5" xfId="6798"/>
    <cellStyle name="Standard 3 5 2 4" xfId="6799"/>
    <cellStyle name="Standard 3 5 2 4 2" xfId="6800"/>
    <cellStyle name="Standard 3 5 2 4 2 2" xfId="6801"/>
    <cellStyle name="Standard 3 5 2 4 3" xfId="6802"/>
    <cellStyle name="Standard 3 5 2 4 4" xfId="6803"/>
    <cellStyle name="Standard 3 5 2 4 5" xfId="6804"/>
    <cellStyle name="Standard 3 5 2 5" xfId="6805"/>
    <cellStyle name="Standard 3 5 2 5 2" xfId="6806"/>
    <cellStyle name="Standard 3 5 2 5 2 2" xfId="6807"/>
    <cellStyle name="Standard 3 5 2 5 3" xfId="6808"/>
    <cellStyle name="Standard 3 5 2 5 4" xfId="6809"/>
    <cellStyle name="Standard 3 5 2 6" xfId="6810"/>
    <cellStyle name="Standard 3 5 2 6 2" xfId="6811"/>
    <cellStyle name="Standard 3 5 2 7" xfId="6812"/>
    <cellStyle name="Standard 3 5 2 8" xfId="6813"/>
    <cellStyle name="Standard 3 5 2 9" xfId="6814"/>
    <cellStyle name="Standard 3 5 3" xfId="6815"/>
    <cellStyle name="Standard 3 5 3 2" xfId="6816"/>
    <cellStyle name="Standard 3 5 3 2 2" xfId="6817"/>
    <cellStyle name="Standard 3 5 3 2 2 2" xfId="6818"/>
    <cellStyle name="Standard 3 5 3 2 3" xfId="6819"/>
    <cellStyle name="Standard 3 5 3 2 4" xfId="6820"/>
    <cellStyle name="Standard 3 5 3 2 5" xfId="6821"/>
    <cellStyle name="Standard 3 5 3 3" xfId="6822"/>
    <cellStyle name="Standard 3 5 3 3 2" xfId="6823"/>
    <cellStyle name="Standard 3 5 3 3 2 2" xfId="6824"/>
    <cellStyle name="Standard 3 5 3 3 3" xfId="6825"/>
    <cellStyle name="Standard 3 5 3 3 4" xfId="6826"/>
    <cellStyle name="Standard 3 5 3 3 5" xfId="6827"/>
    <cellStyle name="Standard 3 5 3 4" xfId="6828"/>
    <cellStyle name="Standard 3 5 3 4 2" xfId="6829"/>
    <cellStyle name="Standard 3 5 3 4 2 2" xfId="6830"/>
    <cellStyle name="Standard 3 5 3 4 3" xfId="6831"/>
    <cellStyle name="Standard 3 5 3 4 4" xfId="6832"/>
    <cellStyle name="Standard 3 5 3 5" xfId="6833"/>
    <cellStyle name="Standard 3 5 3 5 2" xfId="6834"/>
    <cellStyle name="Standard 3 5 3 6" xfId="6835"/>
    <cellStyle name="Standard 3 5 3 7" xfId="6836"/>
    <cellStyle name="Standard 3 5 3 8" xfId="6837"/>
    <cellStyle name="Standard 3 5 3 9" xfId="6838"/>
    <cellStyle name="Standard 3 5 4" xfId="6839"/>
    <cellStyle name="Standard 3 5 4 2" xfId="6840"/>
    <cellStyle name="Standard 3 5 4 2 2" xfId="6841"/>
    <cellStyle name="Standard 3 5 4 3" xfId="6842"/>
    <cellStyle name="Standard 3 5 4 4" xfId="6843"/>
    <cellStyle name="Standard 3 5 4 5" xfId="6844"/>
    <cellStyle name="Standard 3 5 5" xfId="6845"/>
    <cellStyle name="Standard 3 5 5 2" xfId="6846"/>
    <cellStyle name="Standard 3 5 5 2 2" xfId="6847"/>
    <cellStyle name="Standard 3 5 5 3" xfId="6848"/>
    <cellStyle name="Standard 3 5 5 4" xfId="6849"/>
    <cellStyle name="Standard 3 5 5 5" xfId="6850"/>
    <cellStyle name="Standard 3 5 6" xfId="6851"/>
    <cellStyle name="Standard 3 5 6 2" xfId="6852"/>
    <cellStyle name="Standard 3 5 6 2 2" xfId="6853"/>
    <cellStyle name="Standard 3 5 6 3" xfId="6854"/>
    <cellStyle name="Standard 3 5 6 4" xfId="6855"/>
    <cellStyle name="Standard 3 5 7" xfId="6856"/>
    <cellStyle name="Standard 3 5 7 2" xfId="6857"/>
    <cellStyle name="Standard 3 5 8" xfId="6858"/>
    <cellStyle name="Standard 3 5 9" xfId="6859"/>
    <cellStyle name="Standard 3 6" xfId="6860"/>
    <cellStyle name="Standard 3 6 10" xfId="6861"/>
    <cellStyle name="Standard 3 6 2" xfId="6862"/>
    <cellStyle name="Standard 3 6 2 2" xfId="6863"/>
    <cellStyle name="Standard 3 6 2 2 2" xfId="6864"/>
    <cellStyle name="Standard 3 6 2 2 2 2" xfId="6865"/>
    <cellStyle name="Standard 3 6 2 2 3" xfId="6866"/>
    <cellStyle name="Standard 3 6 2 2 4" xfId="6867"/>
    <cellStyle name="Standard 3 6 2 2 5" xfId="6868"/>
    <cellStyle name="Standard 3 6 2 3" xfId="6869"/>
    <cellStyle name="Standard 3 6 2 3 2" xfId="6870"/>
    <cellStyle name="Standard 3 6 2 3 2 2" xfId="6871"/>
    <cellStyle name="Standard 3 6 2 3 3" xfId="6872"/>
    <cellStyle name="Standard 3 6 2 3 4" xfId="6873"/>
    <cellStyle name="Standard 3 6 2 3 5" xfId="6874"/>
    <cellStyle name="Standard 3 6 2 4" xfId="6875"/>
    <cellStyle name="Standard 3 6 2 4 2" xfId="6876"/>
    <cellStyle name="Standard 3 6 2 4 2 2" xfId="6877"/>
    <cellStyle name="Standard 3 6 2 4 3" xfId="6878"/>
    <cellStyle name="Standard 3 6 2 4 4" xfId="6879"/>
    <cellStyle name="Standard 3 6 2 5" xfId="6880"/>
    <cellStyle name="Standard 3 6 2 5 2" xfId="6881"/>
    <cellStyle name="Standard 3 6 2 6" xfId="6882"/>
    <cellStyle name="Standard 3 6 2 7" xfId="6883"/>
    <cellStyle name="Standard 3 6 2 8" xfId="6884"/>
    <cellStyle name="Standard 3 6 2 9" xfId="6885"/>
    <cellStyle name="Standard 3 6 3" xfId="6886"/>
    <cellStyle name="Standard 3 6 3 2" xfId="6887"/>
    <cellStyle name="Standard 3 6 3 2 2" xfId="6888"/>
    <cellStyle name="Standard 3 6 3 3" xfId="6889"/>
    <cellStyle name="Standard 3 6 3 4" xfId="6890"/>
    <cellStyle name="Standard 3 6 3 5" xfId="6891"/>
    <cellStyle name="Standard 3 6 4" xfId="6892"/>
    <cellStyle name="Standard 3 6 4 2" xfId="6893"/>
    <cellStyle name="Standard 3 6 4 2 2" xfId="6894"/>
    <cellStyle name="Standard 3 6 4 3" xfId="6895"/>
    <cellStyle name="Standard 3 6 4 4" xfId="6896"/>
    <cellStyle name="Standard 3 6 4 5" xfId="6897"/>
    <cellStyle name="Standard 3 6 5" xfId="6898"/>
    <cellStyle name="Standard 3 6 5 2" xfId="6899"/>
    <cellStyle name="Standard 3 6 5 2 2" xfId="6900"/>
    <cellStyle name="Standard 3 6 5 3" xfId="6901"/>
    <cellStyle name="Standard 3 6 5 4" xfId="6902"/>
    <cellStyle name="Standard 3 6 6" xfId="6903"/>
    <cellStyle name="Standard 3 6 6 2" xfId="6904"/>
    <cellStyle name="Standard 3 6 7" xfId="6905"/>
    <cellStyle name="Standard 3 6 8" xfId="6906"/>
    <cellStyle name="Standard 3 6 9" xfId="6907"/>
    <cellStyle name="Standard 3 7" xfId="6908"/>
    <cellStyle name="Standard 3 7 10" xfId="6909"/>
    <cellStyle name="Standard 3 7 2" xfId="6910"/>
    <cellStyle name="Standard 3 7 2 2" xfId="6911"/>
    <cellStyle name="Standard 3 7 2 2 2" xfId="6912"/>
    <cellStyle name="Standard 3 7 2 2 2 2" xfId="6913"/>
    <cellStyle name="Standard 3 7 2 2 3" xfId="6914"/>
    <cellStyle name="Standard 3 7 2 2 4" xfId="6915"/>
    <cellStyle name="Standard 3 7 2 2 5" xfId="6916"/>
    <cellStyle name="Standard 3 7 2 3" xfId="6917"/>
    <cellStyle name="Standard 3 7 2 3 2" xfId="6918"/>
    <cellStyle name="Standard 3 7 2 3 2 2" xfId="6919"/>
    <cellStyle name="Standard 3 7 2 3 3" xfId="6920"/>
    <cellStyle name="Standard 3 7 2 3 4" xfId="6921"/>
    <cellStyle name="Standard 3 7 2 3 5" xfId="6922"/>
    <cellStyle name="Standard 3 7 2 4" xfId="6923"/>
    <cellStyle name="Standard 3 7 2 4 2" xfId="6924"/>
    <cellStyle name="Standard 3 7 2 4 2 2" xfId="6925"/>
    <cellStyle name="Standard 3 7 2 4 3" xfId="6926"/>
    <cellStyle name="Standard 3 7 2 4 4" xfId="6927"/>
    <cellStyle name="Standard 3 7 2 5" xfId="6928"/>
    <cellStyle name="Standard 3 7 2 5 2" xfId="6929"/>
    <cellStyle name="Standard 3 7 2 6" xfId="6930"/>
    <cellStyle name="Standard 3 7 2 7" xfId="6931"/>
    <cellStyle name="Standard 3 7 2 8" xfId="6932"/>
    <cellStyle name="Standard 3 7 2 9" xfId="6933"/>
    <cellStyle name="Standard 3 7 3" xfId="6934"/>
    <cellStyle name="Standard 3 7 3 2" xfId="6935"/>
    <cellStyle name="Standard 3 7 3 2 2" xfId="6936"/>
    <cellStyle name="Standard 3 7 3 3" xfId="6937"/>
    <cellStyle name="Standard 3 7 3 4" xfId="6938"/>
    <cellStyle name="Standard 3 7 3 5" xfId="6939"/>
    <cellStyle name="Standard 3 7 4" xfId="6940"/>
    <cellStyle name="Standard 3 7 4 2" xfId="6941"/>
    <cellStyle name="Standard 3 7 4 2 2" xfId="6942"/>
    <cellStyle name="Standard 3 7 4 3" xfId="6943"/>
    <cellStyle name="Standard 3 7 4 4" xfId="6944"/>
    <cellStyle name="Standard 3 7 4 5" xfId="6945"/>
    <cellStyle name="Standard 3 7 5" xfId="6946"/>
    <cellStyle name="Standard 3 7 5 2" xfId="6947"/>
    <cellStyle name="Standard 3 7 5 2 2" xfId="6948"/>
    <cellStyle name="Standard 3 7 5 3" xfId="6949"/>
    <cellStyle name="Standard 3 7 5 4" xfId="6950"/>
    <cellStyle name="Standard 3 7 6" xfId="6951"/>
    <cellStyle name="Standard 3 7 6 2" xfId="6952"/>
    <cellStyle name="Standard 3 7 7" xfId="6953"/>
    <cellStyle name="Standard 3 7 8" xfId="6954"/>
    <cellStyle name="Standard 3 7 9" xfId="6955"/>
    <cellStyle name="Standard 3 8" xfId="6956"/>
    <cellStyle name="Standard 3 8 2" xfId="6957"/>
    <cellStyle name="Standard 3 8 2 2" xfId="6958"/>
    <cellStyle name="Standard 3 8 2 2 2" xfId="6959"/>
    <cellStyle name="Standard 3 8 2 3" xfId="6960"/>
    <cellStyle name="Standard 3 8 2 4" xfId="6961"/>
    <cellStyle name="Standard 3 8 2 5" xfId="6962"/>
    <cellStyle name="Standard 3 8 3" xfId="6963"/>
    <cellStyle name="Standard 3 8 3 2" xfId="6964"/>
    <cellStyle name="Standard 3 8 3 2 2" xfId="6965"/>
    <cellStyle name="Standard 3 8 3 3" xfId="6966"/>
    <cellStyle name="Standard 3 8 3 4" xfId="6967"/>
    <cellStyle name="Standard 3 8 3 5" xfId="6968"/>
    <cellStyle name="Standard 3 8 4" xfId="6969"/>
    <cellStyle name="Standard 3 8 4 2" xfId="6970"/>
    <cellStyle name="Standard 3 8 4 2 2" xfId="6971"/>
    <cellStyle name="Standard 3 8 4 3" xfId="6972"/>
    <cellStyle name="Standard 3 8 4 4" xfId="6973"/>
    <cellStyle name="Standard 3 8 5" xfId="6974"/>
    <cellStyle name="Standard 3 8 5 2" xfId="6975"/>
    <cellStyle name="Standard 3 8 6" xfId="6976"/>
    <cellStyle name="Standard 3 8 7" xfId="6977"/>
    <cellStyle name="Standard 3 8 8" xfId="6978"/>
    <cellStyle name="Standard 3 8 9" xfId="6979"/>
    <cellStyle name="Standard 3 9" xfId="6980"/>
    <cellStyle name="Standard 3 9 2" xfId="6981"/>
    <cellStyle name="Standard 3 9 2 2" xfId="6982"/>
    <cellStyle name="Standard 3 9 3" xfId="6983"/>
    <cellStyle name="Standard 3 9 4" xfId="6984"/>
    <cellStyle name="Standard 3 9 5" xfId="6985"/>
    <cellStyle name="Standard 4" xfId="6986"/>
    <cellStyle name="Standard 4 10" xfId="6987"/>
    <cellStyle name="Standard 4 10 2" xfId="6988"/>
    <cellStyle name="Standard 4 10 2 2" xfId="6989"/>
    <cellStyle name="Standard 4 10 3" xfId="6990"/>
    <cellStyle name="Standard 4 10 4" xfId="6991"/>
    <cellStyle name="Standard 4 11" xfId="6992"/>
    <cellStyle name="Standard 4 11 2" xfId="6993"/>
    <cellStyle name="Standard 4 12" xfId="6994"/>
    <cellStyle name="Standard 4 13" xfId="6995"/>
    <cellStyle name="Standard 4 14" xfId="6996"/>
    <cellStyle name="Standard 4 15" xfId="6997"/>
    <cellStyle name="Standard 4 2" xfId="6998"/>
    <cellStyle name="Standard 4 2 10" xfId="6999"/>
    <cellStyle name="Standard 4 2 11" xfId="7000"/>
    <cellStyle name="Standard 4 2 2" xfId="7001"/>
    <cellStyle name="Standard 4 2 2 10" xfId="7002"/>
    <cellStyle name="Standard 4 2 2 2" xfId="7003"/>
    <cellStyle name="Standard 4 2 2 2 2" xfId="7004"/>
    <cellStyle name="Standard 4 2 2 2 2 2" xfId="7005"/>
    <cellStyle name="Standard 4 2 2 2 2 2 2" xfId="7006"/>
    <cellStyle name="Standard 4 2 2 2 2 3" xfId="7007"/>
    <cellStyle name="Standard 4 2 2 2 2 4" xfId="7008"/>
    <cellStyle name="Standard 4 2 2 2 2 5" xfId="7009"/>
    <cellStyle name="Standard 4 2 2 2 3" xfId="7010"/>
    <cellStyle name="Standard 4 2 2 2 3 2" xfId="7011"/>
    <cellStyle name="Standard 4 2 2 2 3 2 2" xfId="7012"/>
    <cellStyle name="Standard 4 2 2 2 3 3" xfId="7013"/>
    <cellStyle name="Standard 4 2 2 2 3 4" xfId="7014"/>
    <cellStyle name="Standard 4 2 2 2 3 5" xfId="7015"/>
    <cellStyle name="Standard 4 2 2 2 4" xfId="7016"/>
    <cellStyle name="Standard 4 2 2 2 4 2" xfId="7017"/>
    <cellStyle name="Standard 4 2 2 2 4 2 2" xfId="7018"/>
    <cellStyle name="Standard 4 2 2 2 4 3" xfId="7019"/>
    <cellStyle name="Standard 4 2 2 2 4 4" xfId="7020"/>
    <cellStyle name="Standard 4 2 2 2 5" xfId="7021"/>
    <cellStyle name="Standard 4 2 2 2 5 2" xfId="7022"/>
    <cellStyle name="Standard 4 2 2 2 6" xfId="7023"/>
    <cellStyle name="Standard 4 2 2 2 7" xfId="7024"/>
    <cellStyle name="Standard 4 2 2 2 8" xfId="7025"/>
    <cellStyle name="Standard 4 2 2 2 9" xfId="7026"/>
    <cellStyle name="Standard 4 2 2 3" xfId="7027"/>
    <cellStyle name="Standard 4 2 2 3 2" xfId="7028"/>
    <cellStyle name="Standard 4 2 2 3 2 2" xfId="7029"/>
    <cellStyle name="Standard 4 2 2 3 3" xfId="7030"/>
    <cellStyle name="Standard 4 2 2 3 4" xfId="7031"/>
    <cellStyle name="Standard 4 2 2 3 5" xfId="7032"/>
    <cellStyle name="Standard 4 2 2 4" xfId="7033"/>
    <cellStyle name="Standard 4 2 2 4 2" xfId="7034"/>
    <cellStyle name="Standard 4 2 2 4 2 2" xfId="7035"/>
    <cellStyle name="Standard 4 2 2 4 3" xfId="7036"/>
    <cellStyle name="Standard 4 2 2 4 4" xfId="7037"/>
    <cellStyle name="Standard 4 2 2 4 5" xfId="7038"/>
    <cellStyle name="Standard 4 2 2 5" xfId="7039"/>
    <cellStyle name="Standard 4 2 2 5 2" xfId="7040"/>
    <cellStyle name="Standard 4 2 2 5 2 2" xfId="7041"/>
    <cellStyle name="Standard 4 2 2 5 3" xfId="7042"/>
    <cellStyle name="Standard 4 2 2 5 4" xfId="7043"/>
    <cellStyle name="Standard 4 2 2 6" xfId="7044"/>
    <cellStyle name="Standard 4 2 2 6 2" xfId="7045"/>
    <cellStyle name="Standard 4 2 2 7" xfId="7046"/>
    <cellStyle name="Standard 4 2 2 8" xfId="7047"/>
    <cellStyle name="Standard 4 2 2 9" xfId="7048"/>
    <cellStyle name="Standard 4 2 3" xfId="7049"/>
    <cellStyle name="Standard 4 2 3 2" xfId="7050"/>
    <cellStyle name="Standard 4 2 3 2 2" xfId="7051"/>
    <cellStyle name="Standard 4 2 3 2 2 2" xfId="7052"/>
    <cellStyle name="Standard 4 2 3 2 3" xfId="7053"/>
    <cellStyle name="Standard 4 2 3 2 4" xfId="7054"/>
    <cellStyle name="Standard 4 2 3 2 5" xfId="7055"/>
    <cellStyle name="Standard 4 2 3 3" xfId="7056"/>
    <cellStyle name="Standard 4 2 3 3 2" xfId="7057"/>
    <cellStyle name="Standard 4 2 3 3 2 2" xfId="7058"/>
    <cellStyle name="Standard 4 2 3 3 3" xfId="7059"/>
    <cellStyle name="Standard 4 2 3 3 4" xfId="7060"/>
    <cellStyle name="Standard 4 2 3 3 5" xfId="7061"/>
    <cellStyle name="Standard 4 2 3 4" xfId="7062"/>
    <cellStyle name="Standard 4 2 3 4 2" xfId="7063"/>
    <cellStyle name="Standard 4 2 3 4 2 2" xfId="7064"/>
    <cellStyle name="Standard 4 2 3 4 3" xfId="7065"/>
    <cellStyle name="Standard 4 2 3 4 4" xfId="7066"/>
    <cellStyle name="Standard 4 2 3 5" xfId="7067"/>
    <cellStyle name="Standard 4 2 3 5 2" xfId="7068"/>
    <cellStyle name="Standard 4 2 3 6" xfId="7069"/>
    <cellStyle name="Standard 4 2 3 7" xfId="7070"/>
    <cellStyle name="Standard 4 2 3 8" xfId="7071"/>
    <cellStyle name="Standard 4 2 3 9" xfId="7072"/>
    <cellStyle name="Standard 4 2 4" xfId="7073"/>
    <cellStyle name="Standard 4 2 4 2" xfId="7074"/>
    <cellStyle name="Standard 4 2 4 2 2" xfId="7075"/>
    <cellStyle name="Standard 4 2 4 3" xfId="7076"/>
    <cellStyle name="Standard 4 2 4 4" xfId="7077"/>
    <cellStyle name="Standard 4 2 4 5" xfId="7078"/>
    <cellStyle name="Standard 4 2 5" xfId="7079"/>
    <cellStyle name="Standard 4 2 5 2" xfId="7080"/>
    <cellStyle name="Standard 4 2 5 2 2" xfId="7081"/>
    <cellStyle name="Standard 4 2 5 3" xfId="7082"/>
    <cellStyle name="Standard 4 2 5 4" xfId="7083"/>
    <cellStyle name="Standard 4 2 5 5" xfId="7084"/>
    <cellStyle name="Standard 4 2 6" xfId="7085"/>
    <cellStyle name="Standard 4 2 6 2" xfId="7086"/>
    <cellStyle name="Standard 4 2 6 2 2" xfId="7087"/>
    <cellStyle name="Standard 4 2 6 3" xfId="7088"/>
    <cellStyle name="Standard 4 2 6 4" xfId="7089"/>
    <cellStyle name="Standard 4 2 7" xfId="7090"/>
    <cellStyle name="Standard 4 2 7 2" xfId="7091"/>
    <cellStyle name="Standard 4 2 8" xfId="7092"/>
    <cellStyle name="Standard 4 2 9" xfId="7093"/>
    <cellStyle name="Standard 4 3" xfId="7094"/>
    <cellStyle name="Standard 4 3 10" xfId="7095"/>
    <cellStyle name="Standard 4 3 11" xfId="7096"/>
    <cellStyle name="Standard 4 3 2" xfId="7097"/>
    <cellStyle name="Standard 4 3 2 10" xfId="7098"/>
    <cellStyle name="Standard 4 3 2 2" xfId="7099"/>
    <cellStyle name="Standard 4 3 2 2 2" xfId="7100"/>
    <cellStyle name="Standard 4 3 2 2 2 2" xfId="7101"/>
    <cellStyle name="Standard 4 3 2 2 2 2 2" xfId="7102"/>
    <cellStyle name="Standard 4 3 2 2 2 3" xfId="7103"/>
    <cellStyle name="Standard 4 3 2 2 2 4" xfId="7104"/>
    <cellStyle name="Standard 4 3 2 2 2 5" xfId="7105"/>
    <cellStyle name="Standard 4 3 2 2 3" xfId="7106"/>
    <cellStyle name="Standard 4 3 2 2 3 2" xfId="7107"/>
    <cellStyle name="Standard 4 3 2 2 3 2 2" xfId="7108"/>
    <cellStyle name="Standard 4 3 2 2 3 3" xfId="7109"/>
    <cellStyle name="Standard 4 3 2 2 3 4" xfId="7110"/>
    <cellStyle name="Standard 4 3 2 2 3 5" xfId="7111"/>
    <cellStyle name="Standard 4 3 2 2 4" xfId="7112"/>
    <cellStyle name="Standard 4 3 2 2 4 2" xfId="7113"/>
    <cellStyle name="Standard 4 3 2 2 4 2 2" xfId="7114"/>
    <cellStyle name="Standard 4 3 2 2 4 3" xfId="7115"/>
    <cellStyle name="Standard 4 3 2 2 4 4" xfId="7116"/>
    <cellStyle name="Standard 4 3 2 2 5" xfId="7117"/>
    <cellStyle name="Standard 4 3 2 2 5 2" xfId="7118"/>
    <cellStyle name="Standard 4 3 2 2 6" xfId="7119"/>
    <cellStyle name="Standard 4 3 2 2 7" xfId="7120"/>
    <cellStyle name="Standard 4 3 2 2 8" xfId="7121"/>
    <cellStyle name="Standard 4 3 2 2 9" xfId="7122"/>
    <cellStyle name="Standard 4 3 2 3" xfId="7123"/>
    <cellStyle name="Standard 4 3 2 3 2" xfId="7124"/>
    <cellStyle name="Standard 4 3 2 3 2 2" xfId="7125"/>
    <cellStyle name="Standard 4 3 2 3 3" xfId="7126"/>
    <cellStyle name="Standard 4 3 2 3 4" xfId="7127"/>
    <cellStyle name="Standard 4 3 2 3 5" xfId="7128"/>
    <cellStyle name="Standard 4 3 2 4" xfId="7129"/>
    <cellStyle name="Standard 4 3 2 4 2" xfId="7130"/>
    <cellStyle name="Standard 4 3 2 4 2 2" xfId="7131"/>
    <cellStyle name="Standard 4 3 2 4 3" xfId="7132"/>
    <cellStyle name="Standard 4 3 2 4 4" xfId="7133"/>
    <cellStyle name="Standard 4 3 2 4 5" xfId="7134"/>
    <cellStyle name="Standard 4 3 2 5" xfId="7135"/>
    <cellStyle name="Standard 4 3 2 5 2" xfId="7136"/>
    <cellStyle name="Standard 4 3 2 5 2 2" xfId="7137"/>
    <cellStyle name="Standard 4 3 2 5 3" xfId="7138"/>
    <cellStyle name="Standard 4 3 2 5 4" xfId="7139"/>
    <cellStyle name="Standard 4 3 2 6" xfId="7140"/>
    <cellStyle name="Standard 4 3 2 6 2" xfId="7141"/>
    <cellStyle name="Standard 4 3 2 7" xfId="7142"/>
    <cellStyle name="Standard 4 3 2 8" xfId="7143"/>
    <cellStyle name="Standard 4 3 2 9" xfId="7144"/>
    <cellStyle name="Standard 4 3 3" xfId="7145"/>
    <cellStyle name="Standard 4 3 3 2" xfId="7146"/>
    <cellStyle name="Standard 4 3 3 2 2" xfId="7147"/>
    <cellStyle name="Standard 4 3 3 2 2 2" xfId="7148"/>
    <cellStyle name="Standard 4 3 3 2 3" xfId="7149"/>
    <cellStyle name="Standard 4 3 3 2 4" xfId="7150"/>
    <cellStyle name="Standard 4 3 3 2 5" xfId="7151"/>
    <cellStyle name="Standard 4 3 3 3" xfId="7152"/>
    <cellStyle name="Standard 4 3 3 3 2" xfId="7153"/>
    <cellStyle name="Standard 4 3 3 3 2 2" xfId="7154"/>
    <cellStyle name="Standard 4 3 3 3 3" xfId="7155"/>
    <cellStyle name="Standard 4 3 3 3 4" xfId="7156"/>
    <cellStyle name="Standard 4 3 3 3 5" xfId="7157"/>
    <cellStyle name="Standard 4 3 3 4" xfId="7158"/>
    <cellStyle name="Standard 4 3 3 4 2" xfId="7159"/>
    <cellStyle name="Standard 4 3 3 4 2 2" xfId="7160"/>
    <cellStyle name="Standard 4 3 3 4 3" xfId="7161"/>
    <cellStyle name="Standard 4 3 3 4 4" xfId="7162"/>
    <cellStyle name="Standard 4 3 3 5" xfId="7163"/>
    <cellStyle name="Standard 4 3 3 5 2" xfId="7164"/>
    <cellStyle name="Standard 4 3 3 6" xfId="7165"/>
    <cellStyle name="Standard 4 3 3 7" xfId="7166"/>
    <cellStyle name="Standard 4 3 3 8" xfId="7167"/>
    <cellStyle name="Standard 4 3 3 9" xfId="7168"/>
    <cellStyle name="Standard 4 3 4" xfId="7169"/>
    <cellStyle name="Standard 4 3 4 2" xfId="7170"/>
    <cellStyle name="Standard 4 3 4 2 2" xfId="7171"/>
    <cellStyle name="Standard 4 3 4 3" xfId="7172"/>
    <cellStyle name="Standard 4 3 4 4" xfId="7173"/>
    <cellStyle name="Standard 4 3 4 5" xfId="7174"/>
    <cellStyle name="Standard 4 3 5" xfId="7175"/>
    <cellStyle name="Standard 4 3 5 2" xfId="7176"/>
    <cellStyle name="Standard 4 3 5 2 2" xfId="7177"/>
    <cellStyle name="Standard 4 3 5 3" xfId="7178"/>
    <cellStyle name="Standard 4 3 5 4" xfId="7179"/>
    <cellStyle name="Standard 4 3 5 5" xfId="7180"/>
    <cellStyle name="Standard 4 3 6" xfId="7181"/>
    <cellStyle name="Standard 4 3 6 2" xfId="7182"/>
    <cellStyle name="Standard 4 3 6 2 2" xfId="7183"/>
    <cellStyle name="Standard 4 3 6 3" xfId="7184"/>
    <cellStyle name="Standard 4 3 6 4" xfId="7185"/>
    <cellStyle name="Standard 4 3 7" xfId="7186"/>
    <cellStyle name="Standard 4 3 7 2" xfId="7187"/>
    <cellStyle name="Standard 4 3 8" xfId="7188"/>
    <cellStyle name="Standard 4 3 9" xfId="7189"/>
    <cellStyle name="Standard 4 4" xfId="7190"/>
    <cellStyle name="Standard 4 4 10" xfId="7191"/>
    <cellStyle name="Standard 4 4 11" xfId="7192"/>
    <cellStyle name="Standard 4 4 2" xfId="7193"/>
    <cellStyle name="Standard 4 4 2 10" xfId="7194"/>
    <cellStyle name="Standard 4 4 2 2" xfId="7195"/>
    <cellStyle name="Standard 4 4 2 2 2" xfId="7196"/>
    <cellStyle name="Standard 4 4 2 2 2 2" xfId="7197"/>
    <cellStyle name="Standard 4 4 2 2 2 2 2" xfId="7198"/>
    <cellStyle name="Standard 4 4 2 2 2 3" xfId="7199"/>
    <cellStyle name="Standard 4 4 2 2 2 4" xfId="7200"/>
    <cellStyle name="Standard 4 4 2 2 2 5" xfId="7201"/>
    <cellStyle name="Standard 4 4 2 2 3" xfId="7202"/>
    <cellStyle name="Standard 4 4 2 2 3 2" xfId="7203"/>
    <cellStyle name="Standard 4 4 2 2 3 2 2" xfId="7204"/>
    <cellStyle name="Standard 4 4 2 2 3 3" xfId="7205"/>
    <cellStyle name="Standard 4 4 2 2 3 4" xfId="7206"/>
    <cellStyle name="Standard 4 4 2 2 3 5" xfId="7207"/>
    <cellStyle name="Standard 4 4 2 2 4" xfId="7208"/>
    <cellStyle name="Standard 4 4 2 2 4 2" xfId="7209"/>
    <cellStyle name="Standard 4 4 2 2 4 2 2" xfId="7210"/>
    <cellStyle name="Standard 4 4 2 2 4 3" xfId="7211"/>
    <cellStyle name="Standard 4 4 2 2 4 4" xfId="7212"/>
    <cellStyle name="Standard 4 4 2 2 5" xfId="7213"/>
    <cellStyle name="Standard 4 4 2 2 5 2" xfId="7214"/>
    <cellStyle name="Standard 4 4 2 2 6" xfId="7215"/>
    <cellStyle name="Standard 4 4 2 2 7" xfId="7216"/>
    <cellStyle name="Standard 4 4 2 2 8" xfId="7217"/>
    <cellStyle name="Standard 4 4 2 2 9" xfId="7218"/>
    <cellStyle name="Standard 4 4 2 3" xfId="7219"/>
    <cellStyle name="Standard 4 4 2 3 2" xfId="7220"/>
    <cellStyle name="Standard 4 4 2 3 2 2" xfId="7221"/>
    <cellStyle name="Standard 4 4 2 3 3" xfId="7222"/>
    <cellStyle name="Standard 4 4 2 3 4" xfId="7223"/>
    <cellStyle name="Standard 4 4 2 3 5" xfId="7224"/>
    <cellStyle name="Standard 4 4 2 4" xfId="7225"/>
    <cellStyle name="Standard 4 4 2 4 2" xfId="7226"/>
    <cellStyle name="Standard 4 4 2 4 2 2" xfId="7227"/>
    <cellStyle name="Standard 4 4 2 4 3" xfId="7228"/>
    <cellStyle name="Standard 4 4 2 4 4" xfId="7229"/>
    <cellStyle name="Standard 4 4 2 4 5" xfId="7230"/>
    <cellStyle name="Standard 4 4 2 5" xfId="7231"/>
    <cellStyle name="Standard 4 4 2 5 2" xfId="7232"/>
    <cellStyle name="Standard 4 4 2 5 2 2" xfId="7233"/>
    <cellStyle name="Standard 4 4 2 5 3" xfId="7234"/>
    <cellStyle name="Standard 4 4 2 5 4" xfId="7235"/>
    <cellStyle name="Standard 4 4 2 6" xfId="7236"/>
    <cellStyle name="Standard 4 4 2 6 2" xfId="7237"/>
    <cellStyle name="Standard 4 4 2 7" xfId="7238"/>
    <cellStyle name="Standard 4 4 2 8" xfId="7239"/>
    <cellStyle name="Standard 4 4 2 9" xfId="7240"/>
    <cellStyle name="Standard 4 4 3" xfId="7241"/>
    <cellStyle name="Standard 4 4 3 2" xfId="7242"/>
    <cellStyle name="Standard 4 4 3 2 2" xfId="7243"/>
    <cellStyle name="Standard 4 4 3 2 2 2" xfId="7244"/>
    <cellStyle name="Standard 4 4 3 2 3" xfId="7245"/>
    <cellStyle name="Standard 4 4 3 2 4" xfId="7246"/>
    <cellStyle name="Standard 4 4 3 2 5" xfId="7247"/>
    <cellStyle name="Standard 4 4 3 3" xfId="7248"/>
    <cellStyle name="Standard 4 4 3 3 2" xfId="7249"/>
    <cellStyle name="Standard 4 4 3 3 2 2" xfId="7250"/>
    <cellStyle name="Standard 4 4 3 3 3" xfId="7251"/>
    <cellStyle name="Standard 4 4 3 3 4" xfId="7252"/>
    <cellStyle name="Standard 4 4 3 3 5" xfId="7253"/>
    <cellStyle name="Standard 4 4 3 4" xfId="7254"/>
    <cellStyle name="Standard 4 4 3 4 2" xfId="7255"/>
    <cellStyle name="Standard 4 4 3 4 2 2" xfId="7256"/>
    <cellStyle name="Standard 4 4 3 4 3" xfId="7257"/>
    <cellStyle name="Standard 4 4 3 4 4" xfId="7258"/>
    <cellStyle name="Standard 4 4 3 5" xfId="7259"/>
    <cellStyle name="Standard 4 4 3 5 2" xfId="7260"/>
    <cellStyle name="Standard 4 4 3 6" xfId="7261"/>
    <cellStyle name="Standard 4 4 3 7" xfId="7262"/>
    <cellStyle name="Standard 4 4 3 8" xfId="7263"/>
    <cellStyle name="Standard 4 4 3 9" xfId="7264"/>
    <cellStyle name="Standard 4 4 4" xfId="7265"/>
    <cellStyle name="Standard 4 4 4 2" xfId="7266"/>
    <cellStyle name="Standard 4 4 4 2 2" xfId="7267"/>
    <cellStyle name="Standard 4 4 4 3" xfId="7268"/>
    <cellStyle name="Standard 4 4 4 4" xfId="7269"/>
    <cellStyle name="Standard 4 4 4 5" xfId="7270"/>
    <cellStyle name="Standard 4 4 5" xfId="7271"/>
    <cellStyle name="Standard 4 4 5 2" xfId="7272"/>
    <cellStyle name="Standard 4 4 5 2 2" xfId="7273"/>
    <cellStyle name="Standard 4 4 5 3" xfId="7274"/>
    <cellStyle name="Standard 4 4 5 4" xfId="7275"/>
    <cellStyle name="Standard 4 4 5 5" xfId="7276"/>
    <cellStyle name="Standard 4 4 6" xfId="7277"/>
    <cellStyle name="Standard 4 4 6 2" xfId="7278"/>
    <cellStyle name="Standard 4 4 6 2 2" xfId="7279"/>
    <cellStyle name="Standard 4 4 6 3" xfId="7280"/>
    <cellStyle name="Standard 4 4 6 4" xfId="7281"/>
    <cellStyle name="Standard 4 4 7" xfId="7282"/>
    <cellStyle name="Standard 4 4 7 2" xfId="7283"/>
    <cellStyle name="Standard 4 4 8" xfId="7284"/>
    <cellStyle name="Standard 4 4 9" xfId="7285"/>
    <cellStyle name="Standard 4 5" xfId="7286"/>
    <cellStyle name="Standard 4 5 10" xfId="7287"/>
    <cellStyle name="Standard 4 5 2" xfId="7288"/>
    <cellStyle name="Standard 4 5 2 2" xfId="7289"/>
    <cellStyle name="Standard 4 5 2 2 2" xfId="7290"/>
    <cellStyle name="Standard 4 5 2 2 2 2" xfId="7291"/>
    <cellStyle name="Standard 4 5 2 2 3" xfId="7292"/>
    <cellStyle name="Standard 4 5 2 2 4" xfId="7293"/>
    <cellStyle name="Standard 4 5 2 2 5" xfId="7294"/>
    <cellStyle name="Standard 4 5 2 3" xfId="7295"/>
    <cellStyle name="Standard 4 5 2 3 2" xfId="7296"/>
    <cellStyle name="Standard 4 5 2 3 2 2" xfId="7297"/>
    <cellStyle name="Standard 4 5 2 3 3" xfId="7298"/>
    <cellStyle name="Standard 4 5 2 3 4" xfId="7299"/>
    <cellStyle name="Standard 4 5 2 3 5" xfId="7300"/>
    <cellStyle name="Standard 4 5 2 4" xfId="7301"/>
    <cellStyle name="Standard 4 5 2 4 2" xfId="7302"/>
    <cellStyle name="Standard 4 5 2 4 2 2" xfId="7303"/>
    <cellStyle name="Standard 4 5 2 4 3" xfId="7304"/>
    <cellStyle name="Standard 4 5 2 4 4" xfId="7305"/>
    <cellStyle name="Standard 4 5 2 5" xfId="7306"/>
    <cellStyle name="Standard 4 5 2 5 2" xfId="7307"/>
    <cellStyle name="Standard 4 5 2 6" xfId="7308"/>
    <cellStyle name="Standard 4 5 2 7" xfId="7309"/>
    <cellStyle name="Standard 4 5 2 8" xfId="7310"/>
    <cellStyle name="Standard 4 5 2 9" xfId="7311"/>
    <cellStyle name="Standard 4 5 3" xfId="7312"/>
    <cellStyle name="Standard 4 5 3 2" xfId="7313"/>
    <cellStyle name="Standard 4 5 3 2 2" xfId="7314"/>
    <cellStyle name="Standard 4 5 3 3" xfId="7315"/>
    <cellStyle name="Standard 4 5 3 4" xfId="7316"/>
    <cellStyle name="Standard 4 5 3 5" xfId="7317"/>
    <cellStyle name="Standard 4 5 4" xfId="7318"/>
    <cellStyle name="Standard 4 5 4 2" xfId="7319"/>
    <cellStyle name="Standard 4 5 4 2 2" xfId="7320"/>
    <cellStyle name="Standard 4 5 4 3" xfId="7321"/>
    <cellStyle name="Standard 4 5 4 4" xfId="7322"/>
    <cellStyle name="Standard 4 5 4 5" xfId="7323"/>
    <cellStyle name="Standard 4 5 5" xfId="7324"/>
    <cellStyle name="Standard 4 5 5 2" xfId="7325"/>
    <cellStyle name="Standard 4 5 5 2 2" xfId="7326"/>
    <cellStyle name="Standard 4 5 5 3" xfId="7327"/>
    <cellStyle name="Standard 4 5 5 4" xfId="7328"/>
    <cellStyle name="Standard 4 5 6" xfId="7329"/>
    <cellStyle name="Standard 4 5 6 2" xfId="7330"/>
    <cellStyle name="Standard 4 5 7" xfId="7331"/>
    <cellStyle name="Standard 4 5 8" xfId="7332"/>
    <cellStyle name="Standard 4 5 9" xfId="7333"/>
    <cellStyle name="Standard 4 6" xfId="7334"/>
    <cellStyle name="Standard 4 6 10" xfId="7335"/>
    <cellStyle name="Standard 4 6 2" xfId="7336"/>
    <cellStyle name="Standard 4 6 2 2" xfId="7337"/>
    <cellStyle name="Standard 4 6 2 2 2" xfId="7338"/>
    <cellStyle name="Standard 4 6 2 2 2 2" xfId="7339"/>
    <cellStyle name="Standard 4 6 2 2 3" xfId="7340"/>
    <cellStyle name="Standard 4 6 2 2 4" xfId="7341"/>
    <cellStyle name="Standard 4 6 2 2 5" xfId="7342"/>
    <cellStyle name="Standard 4 6 2 3" xfId="7343"/>
    <cellStyle name="Standard 4 6 2 3 2" xfId="7344"/>
    <cellStyle name="Standard 4 6 2 3 2 2" xfId="7345"/>
    <cellStyle name="Standard 4 6 2 3 3" xfId="7346"/>
    <cellStyle name="Standard 4 6 2 3 4" xfId="7347"/>
    <cellStyle name="Standard 4 6 2 3 5" xfId="7348"/>
    <cellStyle name="Standard 4 6 2 4" xfId="7349"/>
    <cellStyle name="Standard 4 6 2 4 2" xfId="7350"/>
    <cellStyle name="Standard 4 6 2 4 2 2" xfId="7351"/>
    <cellStyle name="Standard 4 6 2 4 3" xfId="7352"/>
    <cellStyle name="Standard 4 6 2 4 4" xfId="7353"/>
    <cellStyle name="Standard 4 6 2 5" xfId="7354"/>
    <cellStyle name="Standard 4 6 2 5 2" xfId="7355"/>
    <cellStyle name="Standard 4 6 2 6" xfId="7356"/>
    <cellStyle name="Standard 4 6 2 7" xfId="7357"/>
    <cellStyle name="Standard 4 6 2 8" xfId="7358"/>
    <cellStyle name="Standard 4 6 2 9" xfId="7359"/>
    <cellStyle name="Standard 4 6 3" xfId="7360"/>
    <cellStyle name="Standard 4 6 3 2" xfId="7361"/>
    <cellStyle name="Standard 4 6 3 2 2" xfId="7362"/>
    <cellStyle name="Standard 4 6 3 3" xfId="7363"/>
    <cellStyle name="Standard 4 6 3 4" xfId="7364"/>
    <cellStyle name="Standard 4 6 3 5" xfId="7365"/>
    <cellStyle name="Standard 4 6 4" xfId="7366"/>
    <cellStyle name="Standard 4 6 4 2" xfId="7367"/>
    <cellStyle name="Standard 4 6 4 2 2" xfId="7368"/>
    <cellStyle name="Standard 4 6 4 3" xfId="7369"/>
    <cellStyle name="Standard 4 6 4 4" xfId="7370"/>
    <cellStyle name="Standard 4 6 4 5" xfId="7371"/>
    <cellStyle name="Standard 4 6 5" xfId="7372"/>
    <cellStyle name="Standard 4 6 5 2" xfId="7373"/>
    <cellStyle name="Standard 4 6 5 2 2" xfId="7374"/>
    <cellStyle name="Standard 4 6 5 3" xfId="7375"/>
    <cellStyle name="Standard 4 6 5 4" xfId="7376"/>
    <cellStyle name="Standard 4 6 6" xfId="7377"/>
    <cellStyle name="Standard 4 6 6 2" xfId="7378"/>
    <cellStyle name="Standard 4 6 7" xfId="7379"/>
    <cellStyle name="Standard 4 6 8" xfId="7380"/>
    <cellStyle name="Standard 4 6 9" xfId="7381"/>
    <cellStyle name="Standard 4 7" xfId="7382"/>
    <cellStyle name="Standard 4 7 2" xfId="7383"/>
    <cellStyle name="Standard 4 7 2 2" xfId="7384"/>
    <cellStyle name="Standard 4 7 2 2 2" xfId="7385"/>
    <cellStyle name="Standard 4 7 2 3" xfId="7386"/>
    <cellStyle name="Standard 4 7 2 4" xfId="7387"/>
    <cellStyle name="Standard 4 7 2 5" xfId="7388"/>
    <cellStyle name="Standard 4 7 3" xfId="7389"/>
    <cellStyle name="Standard 4 7 3 2" xfId="7390"/>
    <cellStyle name="Standard 4 7 3 2 2" xfId="7391"/>
    <cellStyle name="Standard 4 7 3 3" xfId="7392"/>
    <cellStyle name="Standard 4 7 3 4" xfId="7393"/>
    <cellStyle name="Standard 4 7 3 5" xfId="7394"/>
    <cellStyle name="Standard 4 7 4" xfId="7395"/>
    <cellStyle name="Standard 4 7 4 2" xfId="7396"/>
    <cellStyle name="Standard 4 7 4 2 2" xfId="7397"/>
    <cellStyle name="Standard 4 7 4 3" xfId="7398"/>
    <cellStyle name="Standard 4 7 4 4" xfId="7399"/>
    <cellStyle name="Standard 4 7 5" xfId="7400"/>
    <cellStyle name="Standard 4 7 5 2" xfId="7401"/>
    <cellStyle name="Standard 4 7 6" xfId="7402"/>
    <cellStyle name="Standard 4 7 7" xfId="7403"/>
    <cellStyle name="Standard 4 7 8" xfId="7404"/>
    <cellStyle name="Standard 4 7 9" xfId="7405"/>
    <cellStyle name="Standard 4 8" xfId="7406"/>
    <cellStyle name="Standard 4 8 2" xfId="7407"/>
    <cellStyle name="Standard 4 8 2 2" xfId="7408"/>
    <cellStyle name="Standard 4 8 3" xfId="7409"/>
    <cellStyle name="Standard 4 8 4" xfId="7410"/>
    <cellStyle name="Standard 4 8 5" xfId="7411"/>
    <cellStyle name="Standard 4 9" xfId="7412"/>
    <cellStyle name="Standard 4 9 2" xfId="7413"/>
    <cellStyle name="Standard 4 9 2 2" xfId="7414"/>
    <cellStyle name="Standard 4 9 3" xfId="7415"/>
    <cellStyle name="Standard 4 9 4" xfId="7416"/>
    <cellStyle name="Standard 4 9 5" xfId="7417"/>
    <cellStyle name="Standard 5" xfId="7418"/>
    <cellStyle name="Standard 6" xfId="7419"/>
    <cellStyle name="Standard 6 2" xfId="7420"/>
    <cellStyle name="Standard 7" xfId="7421"/>
    <cellStyle name="Standard 8" xfId="7422"/>
    <cellStyle name="Standard 9" xfId="7423"/>
    <cellStyle name="Standard 9 2" xfId="7424"/>
    <cellStyle name="Standard 9 2 2" xfId="7425"/>
    <cellStyle name="Standard 9 3" xfId="7426"/>
    <cellStyle name="Standard 9 4" xfId="7427"/>
    <cellStyle name="Standard 9 5" xfId="7428"/>
    <cellStyle name="Texto de advertencia 2" xfId="7429"/>
    <cellStyle name="Título 1 2" xfId="7430"/>
    <cellStyle name="Título 2 2" xfId="7431"/>
    <cellStyle name="Título 3 2" xfId="7432"/>
    <cellStyle name="Título 4" xfId="7433"/>
    <cellStyle name="Total 2" xfId="7434"/>
    <cellStyle name="Überschrift 1 2" xfId="7435"/>
    <cellStyle name="Überschrift 1 2 2" xfId="7436"/>
    <cellStyle name="Überschrift 1 3" xfId="7437"/>
    <cellStyle name="Überschrift 1 4" xfId="7438"/>
    <cellStyle name="Überschrift 1 5" xfId="7439"/>
    <cellStyle name="Überschrift 2 2" xfId="7440"/>
    <cellStyle name="Überschrift 2 2 2" xfId="7441"/>
    <cellStyle name="Überschrift 2 3" xfId="7442"/>
    <cellStyle name="Überschrift 2 4" xfId="7443"/>
    <cellStyle name="Überschrift 2 5" xfId="7444"/>
    <cellStyle name="Überschrift 3 2" xfId="7445"/>
    <cellStyle name="Überschrift 3 2 2" xfId="7446"/>
    <cellStyle name="Überschrift 3 3" xfId="7447"/>
    <cellStyle name="Überschrift 3 4" xfId="7448"/>
    <cellStyle name="Überschrift 3 5" xfId="7449"/>
    <cellStyle name="Überschrift 4 2" xfId="7450"/>
    <cellStyle name="Überschrift 4 2 2" xfId="7451"/>
    <cellStyle name="Überschrift 4 3" xfId="7452"/>
    <cellStyle name="Überschrift 4 4" xfId="7453"/>
    <cellStyle name="Überschrift 4 5" xfId="7454"/>
    <cellStyle name="Überschrift 5" xfId="7455"/>
    <cellStyle name="Überschrift 5 2" xfId="7456"/>
    <cellStyle name="Überschrift 6" xfId="7457"/>
    <cellStyle name="Überschrift 7" xfId="7458"/>
    <cellStyle name="Überschrift 8" xfId="7459"/>
    <cellStyle name="Verknüpfte Zelle 2" xfId="7460"/>
    <cellStyle name="Verknüpfte Zelle 2 2" xfId="7461"/>
    <cellStyle name="Verknüpfte Zelle 3" xfId="7462"/>
    <cellStyle name="Verknüpfte Zelle 3 2" xfId="7463"/>
    <cellStyle name="Verknüpfte Zelle 4" xfId="7464"/>
    <cellStyle name="Verknüpfte Zelle 5" xfId="7465"/>
    <cellStyle name="Verknüpfte Zelle 6" xfId="7466"/>
    <cellStyle name="Währung 2" xfId="7467"/>
    <cellStyle name="Währung 3" xfId="7468"/>
    <cellStyle name="Währung 3 2" xfId="7469"/>
    <cellStyle name="Warnender Text 2" xfId="7470"/>
    <cellStyle name="Warnender Text 2 2" xfId="7471"/>
    <cellStyle name="Zelle überprüfen 2" xfId="7472"/>
    <cellStyle name="Zelle überprüfen 2 2" xfId="747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26" Type="http://schemas.openxmlformats.org/officeDocument/2006/relationships/worksheet" Target="worksheets/sheet2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34" Type="http://schemas.openxmlformats.org/officeDocument/2006/relationships/externalLink" Target="externalLinks/externalLink8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worksheet" Target="worksheets/sheet24.xml"/><Relationship Id="rId33" Type="http://schemas.openxmlformats.org/officeDocument/2006/relationships/externalLink" Target="externalLinks/externalLink7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worksheet" Target="worksheets/sheet10.xml"/><Relationship Id="rId24" Type="http://schemas.openxmlformats.org/officeDocument/2006/relationships/worksheet" Target="worksheets/sheet23.xml"/><Relationship Id="rId32" Type="http://schemas.openxmlformats.org/officeDocument/2006/relationships/externalLink" Target="externalLinks/externalLink6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externalLink" Target="externalLinks/externalLink2.xml"/><Relationship Id="rId36" Type="http://schemas.openxmlformats.org/officeDocument/2006/relationships/styles" Target="style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31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1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Matching Chart</a:t>
            </a:r>
          </a:p>
        </c:rich>
      </c:tx>
      <c:layout>
        <c:manualLayout>
          <c:xMode val="edge"/>
          <c:yMode val="edge"/>
          <c:x val="0.43698350012349813"/>
          <c:y val="2.030463988611593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19212489855521"/>
          <c:y val="0.10998300636149298"/>
          <c:w val="0.78202479338843001"/>
          <c:h val="0.77834179357022015"/>
        </c:manualLayout>
      </c:layout>
      <c:scatterChart>
        <c:scatterStyle val="lineMarker"/>
        <c:ser>
          <c:idx val="0"/>
          <c:order val="0"/>
          <c:tx>
            <c:v>2. Segment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'3.) Preliminary Sizing II'!$F$32:$F$58</c:f>
              <c:numCache>
                <c:formatCode>0</c:formatCode>
                <c:ptCount val="27"/>
                <c:pt idx="0">
                  <c:v>2558.2103738515402</c:v>
                </c:pt>
                <c:pt idx="1">
                  <c:v>2410.147366528317</c:v>
                </c:pt>
                <c:pt idx="2">
                  <c:v>2269.1011388401039</c:v>
                </c:pt>
                <c:pt idx="3">
                  <c:v>2134.8144143823442</c:v>
                </c:pt>
                <c:pt idx="4">
                  <c:v>2007.0365276046912</c:v>
                </c:pt>
                <c:pt idx="5">
                  <c:v>1885.5233281461005</c:v>
                </c:pt>
                <c:pt idx="6">
                  <c:v>1770.0370854553025</c:v>
                </c:pt>
                <c:pt idx="7">
                  <c:v>1660.34639369913</c:v>
                </c:pt>
                <c:pt idx="8">
                  <c:v>1556.2260769612876</c:v>
                </c:pt>
                <c:pt idx="9">
                  <c:v>1457.4570947341419</c:v>
                </c:pt>
                <c:pt idx="10">
                  <c:v>1363.8264477062287</c:v>
                </c:pt>
                <c:pt idx="11">
                  <c:v>1275.1270838481826</c:v>
                </c:pt>
                <c:pt idx="12">
                  <c:v>1191.1578047998726</c:v>
                </c:pt>
                <c:pt idx="13">
                  <c:v>1111.7231725616041</c:v>
                </c:pt>
                <c:pt idx="14">
                  <c:v>1036.6334164922855</c:v>
                </c:pt>
                <c:pt idx="15">
                  <c:v>965.70434061752803</c:v>
                </c:pt>
                <c:pt idx="16">
                  <c:v>898.75723125073648</c:v>
                </c:pt>
                <c:pt idx="17">
                  <c:v>835.61876493030309</c:v>
                </c:pt>
                <c:pt idx="18">
                  <c:v>776.12091667607956</c:v>
                </c:pt>
                <c:pt idx="19">
                  <c:v>720.10086856841235</c:v>
                </c:pt>
                <c:pt idx="20">
                  <c:v>667.40091865306852</c:v>
                </c:pt>
                <c:pt idx="21">
                  <c:v>617.86839017548539</c:v>
                </c:pt>
                <c:pt idx="22">
                  <c:v>571.35554114785953</c:v>
                </c:pt>
                <c:pt idx="23">
                  <c:v>528.08163409670624</c:v>
                </c:pt>
                <c:pt idx="24">
                  <c:v>488.0446423014489</c:v>
                </c:pt>
                <c:pt idx="25">
                  <c:v>451.04309163596201</c:v>
                </c:pt>
                <c:pt idx="26">
                  <c:v>416.84684735637114</c:v>
                </c:pt>
              </c:numCache>
            </c:numRef>
          </c:xVal>
          <c:yVal>
            <c:numRef>
              <c:f>'3.) Preliminary Sizing II'!$J$32:$J$58</c:f>
              <c:numCache>
                <c:formatCode>0.0</c:formatCode>
                <c:ptCount val="27"/>
                <c:pt idx="0">
                  <c:v>246.60037113873466</c:v>
                </c:pt>
                <c:pt idx="1">
                  <c:v>246.60037113873466</c:v>
                </c:pt>
                <c:pt idx="2">
                  <c:v>246.60037113873466</c:v>
                </c:pt>
                <c:pt idx="3">
                  <c:v>246.60037113873466</c:v>
                </c:pt>
                <c:pt idx="4">
                  <c:v>246.60037113873466</c:v>
                </c:pt>
                <c:pt idx="5">
                  <c:v>246.60037113873466</c:v>
                </c:pt>
                <c:pt idx="6">
                  <c:v>246.60037113873466</c:v>
                </c:pt>
                <c:pt idx="7">
                  <c:v>246.60037113873466</c:v>
                </c:pt>
                <c:pt idx="8">
                  <c:v>246.60037113873466</c:v>
                </c:pt>
                <c:pt idx="9">
                  <c:v>246.60037113873466</c:v>
                </c:pt>
                <c:pt idx="10">
                  <c:v>246.60037113873466</c:v>
                </c:pt>
                <c:pt idx="11">
                  <c:v>246.60037113873466</c:v>
                </c:pt>
                <c:pt idx="12">
                  <c:v>246.60037113873466</c:v>
                </c:pt>
                <c:pt idx="13">
                  <c:v>246.60037113873466</c:v>
                </c:pt>
                <c:pt idx="14">
                  <c:v>246.60037113873466</c:v>
                </c:pt>
                <c:pt idx="15">
                  <c:v>246.60037113873466</c:v>
                </c:pt>
                <c:pt idx="16">
                  <c:v>246.60037113873466</c:v>
                </c:pt>
                <c:pt idx="17">
                  <c:v>246.60037113873466</c:v>
                </c:pt>
                <c:pt idx="18">
                  <c:v>246.60037113873466</c:v>
                </c:pt>
                <c:pt idx="19">
                  <c:v>246.60037113873466</c:v>
                </c:pt>
                <c:pt idx="20">
                  <c:v>246.60037113873466</c:v>
                </c:pt>
                <c:pt idx="21">
                  <c:v>246.60037113873466</c:v>
                </c:pt>
                <c:pt idx="22">
                  <c:v>246.60037113873466</c:v>
                </c:pt>
                <c:pt idx="23">
                  <c:v>246.60037113873466</c:v>
                </c:pt>
                <c:pt idx="24">
                  <c:v>246.60037113873466</c:v>
                </c:pt>
                <c:pt idx="25">
                  <c:v>246.60037113873466</c:v>
                </c:pt>
                <c:pt idx="26">
                  <c:v>246.60037113873466</c:v>
                </c:pt>
              </c:numCache>
            </c:numRef>
          </c:yVal>
        </c:ser>
        <c:ser>
          <c:idx val="1"/>
          <c:order val="1"/>
          <c:tx>
            <c:v>Missed Approach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'3.) Preliminary Sizing II'!$F$32:$F$58</c:f>
              <c:numCache>
                <c:formatCode>0</c:formatCode>
                <c:ptCount val="27"/>
                <c:pt idx="0">
                  <c:v>2558.2103738515402</c:v>
                </c:pt>
                <c:pt idx="1">
                  <c:v>2410.147366528317</c:v>
                </c:pt>
                <c:pt idx="2">
                  <c:v>2269.1011388401039</c:v>
                </c:pt>
                <c:pt idx="3">
                  <c:v>2134.8144143823442</c:v>
                </c:pt>
                <c:pt idx="4">
                  <c:v>2007.0365276046912</c:v>
                </c:pt>
                <c:pt idx="5">
                  <c:v>1885.5233281461005</c:v>
                </c:pt>
                <c:pt idx="6">
                  <c:v>1770.0370854553025</c:v>
                </c:pt>
                <c:pt idx="7">
                  <c:v>1660.34639369913</c:v>
                </c:pt>
                <c:pt idx="8">
                  <c:v>1556.2260769612876</c:v>
                </c:pt>
                <c:pt idx="9">
                  <c:v>1457.4570947341419</c:v>
                </c:pt>
                <c:pt idx="10">
                  <c:v>1363.8264477062287</c:v>
                </c:pt>
                <c:pt idx="11">
                  <c:v>1275.1270838481826</c:v>
                </c:pt>
                <c:pt idx="12">
                  <c:v>1191.1578047998726</c:v>
                </c:pt>
                <c:pt idx="13">
                  <c:v>1111.7231725616041</c:v>
                </c:pt>
                <c:pt idx="14">
                  <c:v>1036.6334164922855</c:v>
                </c:pt>
                <c:pt idx="15">
                  <c:v>965.70434061752803</c:v>
                </c:pt>
                <c:pt idx="16">
                  <c:v>898.75723125073648</c:v>
                </c:pt>
                <c:pt idx="17">
                  <c:v>835.61876493030309</c:v>
                </c:pt>
                <c:pt idx="18">
                  <c:v>776.12091667607956</c:v>
                </c:pt>
                <c:pt idx="19">
                  <c:v>720.10086856841235</c:v>
                </c:pt>
                <c:pt idx="20">
                  <c:v>667.40091865306852</c:v>
                </c:pt>
                <c:pt idx="21">
                  <c:v>617.86839017548539</c:v>
                </c:pt>
                <c:pt idx="22">
                  <c:v>571.35554114785953</c:v>
                </c:pt>
                <c:pt idx="23">
                  <c:v>528.08163409670624</c:v>
                </c:pt>
                <c:pt idx="24">
                  <c:v>488.0446423014489</c:v>
                </c:pt>
                <c:pt idx="25">
                  <c:v>451.04309163596201</c:v>
                </c:pt>
                <c:pt idx="26">
                  <c:v>416.84684735637114</c:v>
                </c:pt>
              </c:numCache>
            </c:numRef>
          </c:xVal>
          <c:yVal>
            <c:numRef>
              <c:f>'3.) Preliminary Sizing II'!$K$32:$K$58</c:f>
              <c:numCache>
                <c:formatCode>0.0</c:formatCode>
                <c:ptCount val="27"/>
                <c:pt idx="0">
                  <c:v>247.41898464885219</c:v>
                </c:pt>
                <c:pt idx="1">
                  <c:v>247.41898464885219</c:v>
                </c:pt>
                <c:pt idx="2">
                  <c:v>247.41898464885219</c:v>
                </c:pt>
                <c:pt idx="3">
                  <c:v>247.41898464885219</c:v>
                </c:pt>
                <c:pt idx="4">
                  <c:v>247.41898464885219</c:v>
                </c:pt>
                <c:pt idx="5">
                  <c:v>247.41898464885219</c:v>
                </c:pt>
                <c:pt idx="6">
                  <c:v>247.41898464885219</c:v>
                </c:pt>
                <c:pt idx="7">
                  <c:v>247.41898464885219</c:v>
                </c:pt>
                <c:pt idx="8">
                  <c:v>247.41898464885219</c:v>
                </c:pt>
                <c:pt idx="9">
                  <c:v>247.41898464885219</c:v>
                </c:pt>
                <c:pt idx="10">
                  <c:v>247.41898464885219</c:v>
                </c:pt>
                <c:pt idx="11">
                  <c:v>247.41898464885219</c:v>
                </c:pt>
                <c:pt idx="12">
                  <c:v>247.41898464885219</c:v>
                </c:pt>
                <c:pt idx="13">
                  <c:v>247.41898464885219</c:v>
                </c:pt>
                <c:pt idx="14">
                  <c:v>247.41898464885219</c:v>
                </c:pt>
                <c:pt idx="15">
                  <c:v>247.41898464885219</c:v>
                </c:pt>
                <c:pt idx="16">
                  <c:v>247.41898464885219</c:v>
                </c:pt>
                <c:pt idx="17">
                  <c:v>247.41898464885219</c:v>
                </c:pt>
                <c:pt idx="18">
                  <c:v>247.41898464885219</c:v>
                </c:pt>
                <c:pt idx="19">
                  <c:v>247.41898464885219</c:v>
                </c:pt>
                <c:pt idx="20">
                  <c:v>247.41898464885219</c:v>
                </c:pt>
                <c:pt idx="21">
                  <c:v>247.41898464885219</c:v>
                </c:pt>
                <c:pt idx="22">
                  <c:v>247.41898464885219</c:v>
                </c:pt>
                <c:pt idx="23">
                  <c:v>247.41898464885219</c:v>
                </c:pt>
                <c:pt idx="24">
                  <c:v>247.41898464885219</c:v>
                </c:pt>
                <c:pt idx="25">
                  <c:v>247.41898464885219</c:v>
                </c:pt>
                <c:pt idx="26">
                  <c:v>247.41898464885219</c:v>
                </c:pt>
              </c:numCache>
            </c:numRef>
          </c:yVal>
        </c:ser>
        <c:ser>
          <c:idx val="2"/>
          <c:order val="2"/>
          <c:tx>
            <c:v>Take off</c:v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'3.) Preliminary Sizing II'!$F$32:$F$58</c:f>
              <c:numCache>
                <c:formatCode>0</c:formatCode>
                <c:ptCount val="27"/>
                <c:pt idx="0">
                  <c:v>2558.2103738515402</c:v>
                </c:pt>
                <c:pt idx="1">
                  <c:v>2410.147366528317</c:v>
                </c:pt>
                <c:pt idx="2">
                  <c:v>2269.1011388401039</c:v>
                </c:pt>
                <c:pt idx="3">
                  <c:v>2134.8144143823442</c:v>
                </c:pt>
                <c:pt idx="4">
                  <c:v>2007.0365276046912</c:v>
                </c:pt>
                <c:pt idx="5">
                  <c:v>1885.5233281461005</c:v>
                </c:pt>
                <c:pt idx="6">
                  <c:v>1770.0370854553025</c:v>
                </c:pt>
                <c:pt idx="7">
                  <c:v>1660.34639369913</c:v>
                </c:pt>
                <c:pt idx="8">
                  <c:v>1556.2260769612876</c:v>
                </c:pt>
                <c:pt idx="9">
                  <c:v>1457.4570947341419</c:v>
                </c:pt>
                <c:pt idx="10">
                  <c:v>1363.8264477062287</c:v>
                </c:pt>
                <c:pt idx="11">
                  <c:v>1275.1270838481826</c:v>
                </c:pt>
                <c:pt idx="12">
                  <c:v>1191.1578047998726</c:v>
                </c:pt>
                <c:pt idx="13">
                  <c:v>1111.7231725616041</c:v>
                </c:pt>
                <c:pt idx="14">
                  <c:v>1036.6334164922855</c:v>
                </c:pt>
                <c:pt idx="15">
                  <c:v>965.70434061752803</c:v>
                </c:pt>
                <c:pt idx="16">
                  <c:v>898.75723125073648</c:v>
                </c:pt>
                <c:pt idx="17">
                  <c:v>835.61876493030309</c:v>
                </c:pt>
                <c:pt idx="18">
                  <c:v>776.12091667607956</c:v>
                </c:pt>
                <c:pt idx="19">
                  <c:v>720.10086856841235</c:v>
                </c:pt>
                <c:pt idx="20">
                  <c:v>667.40091865306852</c:v>
                </c:pt>
                <c:pt idx="21">
                  <c:v>617.86839017548539</c:v>
                </c:pt>
                <c:pt idx="22">
                  <c:v>571.35554114785953</c:v>
                </c:pt>
                <c:pt idx="23">
                  <c:v>528.08163409670624</c:v>
                </c:pt>
                <c:pt idx="24">
                  <c:v>488.0446423014489</c:v>
                </c:pt>
                <c:pt idx="25">
                  <c:v>451.04309163596201</c:v>
                </c:pt>
                <c:pt idx="26">
                  <c:v>416.84684735637114</c:v>
                </c:pt>
              </c:numCache>
            </c:numRef>
          </c:xVal>
          <c:yVal>
            <c:numRef>
              <c:f>'3.) Preliminary Sizing II'!$L$32:$L$58</c:f>
              <c:numCache>
                <c:formatCode>0.0</c:formatCode>
                <c:ptCount val="27"/>
                <c:pt idx="0">
                  <c:v>963.87288405255936</c:v>
                </c:pt>
                <c:pt idx="1">
                  <c:v>908.0862609707109</c:v>
                </c:pt>
                <c:pt idx="2">
                  <c:v>854.94339373188802</c:v>
                </c:pt>
                <c:pt idx="3">
                  <c:v>804.34734669991565</c:v>
                </c:pt>
                <c:pt idx="4">
                  <c:v>756.20367505140666</c:v>
                </c:pt>
                <c:pt idx="5">
                  <c:v>710.42038873149806</c:v>
                </c:pt>
                <c:pt idx="6">
                  <c:v>666.90791651711038</c:v>
                </c:pt>
                <c:pt idx="7">
                  <c:v>625.57907018866615</c:v>
                </c:pt>
                <c:pt idx="8">
                  <c:v>586.3490088112377</c:v>
                </c:pt>
                <c:pt idx="9">
                  <c:v>549.1352031260999</c:v>
                </c:pt>
                <c:pt idx="10">
                  <c:v>513.85740005370133</c:v>
                </c:pt>
                <c:pt idx="11">
                  <c:v>480.43758730907365</c:v>
                </c:pt>
                <c:pt idx="12">
                  <c:v>448.79995813072929</c:v>
                </c:pt>
                <c:pt idx="13">
                  <c:v>418.87087612412279</c:v>
                </c:pt>
                <c:pt idx="14">
                  <c:v>390.57884022077002</c:v>
                </c:pt>
                <c:pt idx="15">
                  <c:v>363.85444975414271</c:v>
                </c:pt>
                <c:pt idx="16">
                  <c:v>338.63036965349016</c:v>
                </c:pt>
                <c:pt idx="17">
                  <c:v>314.84129575676178</c:v>
                </c:pt>
                <c:pt idx="18">
                  <c:v>292.42392024382514</c:v>
                </c:pt>
                <c:pt idx="19">
                  <c:v>271.31689719121914</c:v>
                </c:pt>
                <c:pt idx="20">
                  <c:v>251.4608082496942</c:v>
                </c:pt>
                <c:pt idx="21">
                  <c:v>232.79812844583449</c:v>
                </c:pt>
                <c:pt idx="22">
                  <c:v>215.2731921090855</c:v>
                </c:pt>
                <c:pt idx="23">
                  <c:v>198.96861214961183</c:v>
                </c:pt>
                <c:pt idx="24">
                  <c:v>183.88362494725641</c:v>
                </c:pt>
                <c:pt idx="25">
                  <c:v>169.94231983845717</c:v>
                </c:pt>
                <c:pt idx="26">
                  <c:v>157.05798751987987</c:v>
                </c:pt>
              </c:numCache>
            </c:numRef>
          </c:yVal>
        </c:ser>
        <c:ser>
          <c:idx val="3"/>
          <c:order val="3"/>
          <c:tx>
            <c:v>Landing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('3.) Preliminary Sizing II'!$N$32,'3.) Preliminary Sizing II'!$N$50)</c:f>
              <c:numCache>
                <c:formatCode>0</c:formatCode>
                <c:ptCount val="2"/>
                <c:pt idx="0">
                  <c:v>726.88805935483867</c:v>
                </c:pt>
                <c:pt idx="1">
                  <c:v>726.88805935483867</c:v>
                </c:pt>
              </c:numCache>
            </c:numRef>
          </c:xVal>
          <c:yVal>
            <c:numRef>
              <c:f>('3.) Preliminary Sizing II'!$O$32,'3.) Preliminary Sizing II'!$O$50)</c:f>
              <c:numCache>
                <c:formatCode>General</c:formatCode>
                <c:ptCount val="2"/>
                <c:pt idx="0">
                  <c:v>0</c:v>
                </c:pt>
                <c:pt idx="1">
                  <c:v>350</c:v>
                </c:pt>
              </c:numCache>
            </c:numRef>
          </c:yVal>
        </c:ser>
        <c:ser>
          <c:idx val="4"/>
          <c:order val="4"/>
          <c:tx>
            <c:v>Cruise</c:v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'3.) Preliminary Sizing II'!$F$32:$F$58</c:f>
              <c:numCache>
                <c:formatCode>0</c:formatCode>
                <c:ptCount val="27"/>
                <c:pt idx="0">
                  <c:v>2558.2103738515402</c:v>
                </c:pt>
                <c:pt idx="1">
                  <c:v>2410.147366528317</c:v>
                </c:pt>
                <c:pt idx="2">
                  <c:v>2269.1011388401039</c:v>
                </c:pt>
                <c:pt idx="3">
                  <c:v>2134.8144143823442</c:v>
                </c:pt>
                <c:pt idx="4">
                  <c:v>2007.0365276046912</c:v>
                </c:pt>
                <c:pt idx="5">
                  <c:v>1885.5233281461005</c:v>
                </c:pt>
                <c:pt idx="6">
                  <c:v>1770.0370854553025</c:v>
                </c:pt>
                <c:pt idx="7">
                  <c:v>1660.34639369913</c:v>
                </c:pt>
                <c:pt idx="8">
                  <c:v>1556.2260769612876</c:v>
                </c:pt>
                <c:pt idx="9">
                  <c:v>1457.4570947341419</c:v>
                </c:pt>
                <c:pt idx="10">
                  <c:v>1363.8264477062287</c:v>
                </c:pt>
                <c:pt idx="11">
                  <c:v>1275.1270838481826</c:v>
                </c:pt>
                <c:pt idx="12">
                  <c:v>1191.1578047998726</c:v>
                </c:pt>
                <c:pt idx="13">
                  <c:v>1111.7231725616041</c:v>
                </c:pt>
                <c:pt idx="14">
                  <c:v>1036.6334164922855</c:v>
                </c:pt>
                <c:pt idx="15">
                  <c:v>965.70434061752803</c:v>
                </c:pt>
                <c:pt idx="16">
                  <c:v>898.75723125073648</c:v>
                </c:pt>
                <c:pt idx="17">
                  <c:v>835.61876493030309</c:v>
                </c:pt>
                <c:pt idx="18">
                  <c:v>776.12091667607956</c:v>
                </c:pt>
                <c:pt idx="19">
                  <c:v>720.10086856841235</c:v>
                </c:pt>
                <c:pt idx="20">
                  <c:v>667.40091865306852</c:v>
                </c:pt>
                <c:pt idx="21">
                  <c:v>617.86839017548539</c:v>
                </c:pt>
                <c:pt idx="22">
                  <c:v>571.35554114785953</c:v>
                </c:pt>
                <c:pt idx="23">
                  <c:v>528.08163409670624</c:v>
                </c:pt>
                <c:pt idx="24">
                  <c:v>488.0446423014489</c:v>
                </c:pt>
                <c:pt idx="25">
                  <c:v>451.04309163596201</c:v>
                </c:pt>
                <c:pt idx="26">
                  <c:v>416.84684735637114</c:v>
                </c:pt>
              </c:numCache>
            </c:numRef>
          </c:xVal>
          <c:yVal>
            <c:numRef>
              <c:f>'3.) Preliminary Sizing II'!$H$32:$H$58</c:f>
              <c:numCache>
                <c:formatCode>0.0</c:formatCode>
                <c:ptCount val="27"/>
                <c:pt idx="0">
                  <c:v>308.700588252172</c:v>
                </c:pt>
                <c:pt idx="1">
                  <c:v>306.95475807563395</c:v>
                </c:pt>
                <c:pt idx="2">
                  <c:v>305.19894138627831</c:v>
                </c:pt>
                <c:pt idx="3">
                  <c:v>303.43296482310359</c:v>
                </c:pt>
                <c:pt idx="4">
                  <c:v>301.65664995052379</c:v>
                </c:pt>
                <c:pt idx="5">
                  <c:v>299.86981304794045</c:v>
                </c:pt>
                <c:pt idx="6">
                  <c:v>298.0722648879642</c:v>
                </c:pt>
                <c:pt idx="7">
                  <c:v>296.26381050252257</c:v>
                </c:pt>
                <c:pt idx="8">
                  <c:v>294.44424893603974</c:v>
                </c:pt>
                <c:pt idx="9">
                  <c:v>292.6133729848014</c:v>
                </c:pt>
                <c:pt idx="10">
                  <c:v>290.77096892154901</c:v>
                </c:pt>
                <c:pt idx="11">
                  <c:v>288.91681620426732</c:v>
                </c:pt>
                <c:pt idx="12">
                  <c:v>287.05068716804055</c:v>
                </c:pt>
                <c:pt idx="13">
                  <c:v>285.17234669876086</c:v>
                </c:pt>
                <c:pt idx="14">
                  <c:v>283.28155188736201</c:v>
                </c:pt>
                <c:pt idx="15">
                  <c:v>281.37805166314257</c:v>
                </c:pt>
                <c:pt idx="16">
                  <c:v>279.46158640460783</c:v>
                </c:pt>
                <c:pt idx="17">
                  <c:v>277.5318875261255</c:v>
                </c:pt>
                <c:pt idx="18">
                  <c:v>275.58867703853139</c:v>
                </c:pt>
                <c:pt idx="19">
                  <c:v>273.63166708164806</c:v>
                </c:pt>
                <c:pt idx="20">
                  <c:v>271.66055942649427</c:v>
                </c:pt>
                <c:pt idx="21">
                  <c:v>269.67504494474417</c:v>
                </c:pt>
                <c:pt idx="22">
                  <c:v>267.67480304276626</c:v>
                </c:pt>
                <c:pt idx="23">
                  <c:v>267.67480304276626</c:v>
                </c:pt>
                <c:pt idx="24">
                  <c:v>267.67480304276626</c:v>
                </c:pt>
                <c:pt idx="25">
                  <c:v>267.67480304276626</c:v>
                </c:pt>
                <c:pt idx="26">
                  <c:v>267.67480304276626</c:v>
                </c:pt>
              </c:numCache>
            </c:numRef>
          </c:yVal>
        </c:ser>
        <c:axId val="260288512"/>
        <c:axId val="260290432"/>
      </c:scatterChart>
      <c:valAx>
        <c:axId val="260288512"/>
        <c:scaling>
          <c:orientation val="minMax"/>
          <c:max val="1000"/>
          <c:min val="40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Wing loading [kg/m²]</a:t>
                </a:r>
              </a:p>
            </c:rich>
          </c:tx>
          <c:layout>
            <c:manualLayout>
              <c:xMode val="edge"/>
              <c:yMode val="edge"/>
              <c:x val="0.40495870280951196"/>
              <c:y val="0.94077832643800918"/>
            </c:manualLayout>
          </c:layout>
          <c:spPr>
            <a:noFill/>
            <a:ln w="25400">
              <a:noFill/>
            </a:ln>
          </c:spPr>
        </c:title>
        <c:numFmt formatCode="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0290432"/>
        <c:crosses val="autoZero"/>
        <c:crossBetween val="midCat"/>
      </c:valAx>
      <c:valAx>
        <c:axId val="260290432"/>
        <c:scaling>
          <c:orientation val="minMax"/>
          <c:max val="5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Power to weight ratio [W/kg]</a:t>
                </a:r>
              </a:p>
            </c:rich>
          </c:tx>
          <c:layout>
            <c:manualLayout>
              <c:xMode val="edge"/>
              <c:yMode val="edge"/>
              <c:x val="3.0991756847353752E-2"/>
              <c:y val="0.4382403131811912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02885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950204518127057"/>
          <c:y val="0.12372881355932204"/>
          <c:w val="0.14522822703004934"/>
          <c:h val="0.213559322033898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4921259845" footer="0.4921259845"/>
  <pageSetup paperSize="9" orientation="landscape" horizontalDpi="96" verticalDpi="96" r:id="rId1"/>
  <headerFooter alignWithMargins="0"/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8.emf"/><Relationship Id="rId3" Type="http://schemas.openxmlformats.org/officeDocument/2006/relationships/image" Target="../media/image13.emf"/><Relationship Id="rId7" Type="http://schemas.openxmlformats.org/officeDocument/2006/relationships/image" Target="../media/image17.emf"/><Relationship Id="rId2" Type="http://schemas.openxmlformats.org/officeDocument/2006/relationships/image" Target="../media/image12.emf"/><Relationship Id="rId1" Type="http://schemas.openxmlformats.org/officeDocument/2006/relationships/image" Target="../media/image11.emf"/><Relationship Id="rId6" Type="http://schemas.openxmlformats.org/officeDocument/2006/relationships/image" Target="../media/image16.emf"/><Relationship Id="rId11" Type="http://schemas.openxmlformats.org/officeDocument/2006/relationships/image" Target="../media/image21.emf"/><Relationship Id="rId5" Type="http://schemas.openxmlformats.org/officeDocument/2006/relationships/image" Target="../media/image15.emf"/><Relationship Id="rId10" Type="http://schemas.openxmlformats.org/officeDocument/2006/relationships/image" Target="../media/image20.emf"/><Relationship Id="rId4" Type="http://schemas.openxmlformats.org/officeDocument/2006/relationships/image" Target="../media/image14.emf"/><Relationship Id="rId9" Type="http://schemas.openxmlformats.org/officeDocument/2006/relationships/image" Target="../media/image1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26</xdr:row>
      <xdr:rowOff>161925</xdr:rowOff>
    </xdr:from>
    <xdr:to>
      <xdr:col>4</xdr:col>
      <xdr:colOff>123825</xdr:colOff>
      <xdr:row>29</xdr:row>
      <xdr:rowOff>104775</xdr:rowOff>
    </xdr:to>
    <xdr:sp macro="" textlink="">
      <xdr:nvSpPr>
        <xdr:cNvPr id="2771" name="Line 63"/>
        <xdr:cNvSpPr>
          <a:spLocks noChangeShapeType="1"/>
        </xdr:cNvSpPr>
      </xdr:nvSpPr>
      <xdr:spPr bwMode="auto">
        <a:xfrm flipH="1">
          <a:off x="5667375" y="4781550"/>
          <a:ext cx="476250" cy="504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27</xdr:row>
      <xdr:rowOff>57150</xdr:rowOff>
    </xdr:from>
    <xdr:to>
      <xdr:col>5</xdr:col>
      <xdr:colOff>219075</xdr:colOff>
      <xdr:row>29</xdr:row>
      <xdr:rowOff>133350</xdr:rowOff>
    </xdr:to>
    <xdr:sp macro="" textlink="">
      <xdr:nvSpPr>
        <xdr:cNvPr id="6460413" name="Line 12"/>
        <xdr:cNvSpPr>
          <a:spLocks noChangeShapeType="1"/>
        </xdr:cNvSpPr>
      </xdr:nvSpPr>
      <xdr:spPr bwMode="auto">
        <a:xfrm flipH="1">
          <a:off x="6553200" y="4829175"/>
          <a:ext cx="47625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9525</xdr:colOff>
      <xdr:row>82</xdr:row>
      <xdr:rowOff>9525</xdr:rowOff>
    </xdr:from>
    <xdr:to>
      <xdr:col>5</xdr:col>
      <xdr:colOff>628650</xdr:colOff>
      <xdr:row>83</xdr:row>
      <xdr:rowOff>152400</xdr:rowOff>
    </xdr:to>
    <xdr:sp macro="" textlink="">
      <xdr:nvSpPr>
        <xdr:cNvPr id="6460414" name="Line 16"/>
        <xdr:cNvSpPr>
          <a:spLocks noChangeShapeType="1"/>
        </xdr:cNvSpPr>
      </xdr:nvSpPr>
      <xdr:spPr bwMode="auto">
        <a:xfrm flipH="1">
          <a:off x="4533900" y="14354175"/>
          <a:ext cx="247650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19050</xdr:colOff>
      <xdr:row>89</xdr:row>
      <xdr:rowOff>9525</xdr:rowOff>
    </xdr:from>
    <xdr:to>
      <xdr:col>5</xdr:col>
      <xdr:colOff>714375</xdr:colOff>
      <xdr:row>91</xdr:row>
      <xdr:rowOff>28575</xdr:rowOff>
    </xdr:to>
    <xdr:sp macro="" textlink="">
      <xdr:nvSpPr>
        <xdr:cNvPr id="6460415" name="Line 18"/>
        <xdr:cNvSpPr>
          <a:spLocks noChangeShapeType="1"/>
        </xdr:cNvSpPr>
      </xdr:nvSpPr>
      <xdr:spPr bwMode="auto">
        <a:xfrm flipH="1">
          <a:off x="4543425" y="15640050"/>
          <a:ext cx="255270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590550</xdr:colOff>
      <xdr:row>27</xdr:row>
      <xdr:rowOff>57150</xdr:rowOff>
    </xdr:from>
    <xdr:to>
      <xdr:col>7</xdr:col>
      <xdr:colOff>762000</xdr:colOff>
      <xdr:row>29</xdr:row>
      <xdr:rowOff>142875</xdr:rowOff>
    </xdr:to>
    <xdr:sp macro="" textlink="">
      <xdr:nvSpPr>
        <xdr:cNvPr id="6460416" name="Line 44"/>
        <xdr:cNvSpPr>
          <a:spLocks noChangeShapeType="1"/>
        </xdr:cNvSpPr>
      </xdr:nvSpPr>
      <xdr:spPr bwMode="auto">
        <a:xfrm flipH="1">
          <a:off x="8886825" y="4829175"/>
          <a:ext cx="171450" cy="447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733425</xdr:colOff>
      <xdr:row>128</xdr:row>
      <xdr:rowOff>171450</xdr:rowOff>
    </xdr:from>
    <xdr:to>
      <xdr:col>5</xdr:col>
      <xdr:colOff>228600</xdr:colOff>
      <xdr:row>128</xdr:row>
      <xdr:rowOff>171450</xdr:rowOff>
    </xdr:to>
    <xdr:sp macro="" textlink="">
      <xdr:nvSpPr>
        <xdr:cNvPr id="6460417" name="Line 1587"/>
        <xdr:cNvSpPr>
          <a:spLocks noChangeShapeType="1"/>
        </xdr:cNvSpPr>
      </xdr:nvSpPr>
      <xdr:spPr bwMode="auto">
        <a:xfrm>
          <a:off x="5257800" y="23060025"/>
          <a:ext cx="1352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2505075</xdr:colOff>
      <xdr:row>38</xdr:row>
      <xdr:rowOff>9525</xdr:rowOff>
    </xdr:from>
    <xdr:ext cx="65" cy="172227"/>
    <xdr:sp macro="" textlink="">
      <xdr:nvSpPr>
        <xdr:cNvPr id="3" name="Textfeld 2"/>
        <xdr:cNvSpPr txBox="1"/>
      </xdr:nvSpPr>
      <xdr:spPr>
        <a:xfrm>
          <a:off x="7162800" y="5915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xmlns="" id="{F39C21B6-D183-4B15-BCC1-122B52388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HAW/Arbeiten/Nita/Lover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Krull/Final2/SAS-Part25-Prop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BuildingFinalThesis/Calculating_the_Power_of_a_Wind_Turbin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WindTurbine_new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resTo-Classic-hydrogen_final_future_technology_SLZ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Krull/Final2/PreSTo-Classic-Prop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 refreshError="1">
        <row r="17">
          <cell r="B17">
            <v>35245</v>
          </cell>
        </row>
        <row r="18">
          <cell r="B18">
            <v>21781</v>
          </cell>
        </row>
        <row r="19">
          <cell r="B19">
            <v>3380</v>
          </cell>
        </row>
        <row r="23">
          <cell r="B23">
            <v>1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DP"/>
      <sheetName val="PS I"/>
      <sheetName val="Emax Cr"/>
      <sheetName val="PS II"/>
      <sheetName val="SFC"/>
      <sheetName val="MC (Power)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Const."/>
      <sheetName val="Results DE"/>
      <sheetName val="Res. DOE Diag."/>
      <sheetName val="(c)"/>
    </sheetNames>
    <sheetDataSet>
      <sheetData sheetId="0"/>
      <sheetData sheetId="1" refreshError="1"/>
      <sheetData sheetId="2">
        <row r="65">
          <cell r="C65">
            <v>2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7">
          <cell r="C7">
            <v>287.053</v>
          </cell>
        </row>
        <row r="8">
          <cell r="C8">
            <v>1.2250000000000001</v>
          </cell>
        </row>
        <row r="12">
          <cell r="C12">
            <v>3.280839895013123</v>
          </cell>
        </row>
        <row r="14">
          <cell r="C14">
            <v>0.51444444444444448</v>
          </cell>
        </row>
        <row r="15">
          <cell r="C15">
            <v>1852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itle Page"/>
      <sheetName val="Input Data"/>
      <sheetName val="Results"/>
      <sheetName val="cP"/>
      <sheetName val="Subroutine Xi"/>
      <sheetName val="Twist, Pitch &amp; Chord"/>
      <sheetName val="Wind speed"/>
      <sheetName val="cP wind speed"/>
      <sheetName val="Subroutine Xi wind speed"/>
      <sheetName val="Twist, Pitch &amp; Chord wind speed"/>
      <sheetName val="Airfoils"/>
      <sheetName val="(c)"/>
    </sheetNames>
    <sheetDataSet>
      <sheetData sheetId="0"/>
      <sheetData sheetId="1">
        <row r="4">
          <cell r="H4">
            <v>1.0471975511965976</v>
          </cell>
          <cell r="R4">
            <v>0.03</v>
          </cell>
        </row>
        <row r="6">
          <cell r="H6">
            <v>0.52359877559829882</v>
          </cell>
          <cell r="M6">
            <v>0.06</v>
          </cell>
        </row>
        <row r="8">
          <cell r="E8">
            <v>10</v>
          </cell>
        </row>
        <row r="10">
          <cell r="E10">
            <v>1</v>
          </cell>
          <cell r="M10">
            <v>0</v>
          </cell>
        </row>
        <row r="12">
          <cell r="E12">
            <v>3</v>
          </cell>
          <cell r="M12">
            <v>40</v>
          </cell>
        </row>
        <row r="14">
          <cell r="H14">
            <v>10.471975511965978</v>
          </cell>
          <cell r="M14">
            <v>0</v>
          </cell>
        </row>
        <row r="20">
          <cell r="E20">
            <v>20</v>
          </cell>
        </row>
        <row r="22">
          <cell r="E22">
            <v>6.4285714285714293E-2</v>
          </cell>
        </row>
        <row r="27">
          <cell r="I27" t="str">
            <v>NACA 0015</v>
          </cell>
        </row>
        <row r="30">
          <cell r="F30" t="str">
            <v>NACA 0018</v>
          </cell>
        </row>
        <row r="31">
          <cell r="F31" t="str">
            <v>NACA 0015</v>
          </cell>
        </row>
        <row r="32">
          <cell r="F32" t="str">
            <v>NACA 0012</v>
          </cell>
        </row>
        <row r="37">
          <cell r="E37">
            <v>0.1</v>
          </cell>
        </row>
        <row r="39">
          <cell r="E39">
            <v>-44.444444444444443</v>
          </cell>
        </row>
        <row r="41">
          <cell r="E41">
            <v>8.6602540378443855</v>
          </cell>
        </row>
        <row r="43">
          <cell r="E43">
            <v>3.4641016151377546E-2</v>
          </cell>
        </row>
        <row r="45">
          <cell r="E45">
            <v>3.849001794597505E-2</v>
          </cell>
        </row>
        <row r="47">
          <cell r="E47">
            <v>3.6275987284684361</v>
          </cell>
        </row>
      </sheetData>
      <sheetData sheetId="2"/>
      <sheetData sheetId="3"/>
      <sheetData sheetId="4">
        <row r="3">
          <cell r="B3">
            <v>0</v>
          </cell>
        </row>
      </sheetData>
      <sheetData sheetId="5"/>
      <sheetData sheetId="6"/>
      <sheetData sheetId="7"/>
      <sheetData sheetId="8"/>
      <sheetData sheetId="9"/>
      <sheetData sheetId="10">
        <row r="5">
          <cell r="D5">
            <v>8</v>
          </cell>
          <cell r="L5">
            <v>7</v>
          </cell>
          <cell r="T5">
            <v>8</v>
          </cell>
        </row>
        <row r="46">
          <cell r="AB46">
            <v>40000</v>
          </cell>
        </row>
        <row r="47">
          <cell r="AB47">
            <v>360000</v>
          </cell>
        </row>
        <row r="48">
          <cell r="AB48">
            <v>10000</v>
          </cell>
        </row>
        <row r="50">
          <cell r="AB50" t="str">
            <v>ON</v>
          </cell>
        </row>
        <row r="51">
          <cell r="AB51" t="str">
            <v>OFF</v>
          </cell>
        </row>
      </sheetData>
      <sheetData sheetId="1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F4">
            <v>120000</v>
          </cell>
          <cell r="J4">
            <v>41010.49868766404</v>
          </cell>
        </row>
        <row r="5">
          <cell r="F5">
            <v>32.6</v>
          </cell>
          <cell r="J5">
            <v>295.06956032434113</v>
          </cell>
        </row>
        <row r="6">
          <cell r="B6">
            <v>60500</v>
          </cell>
          <cell r="F6">
            <v>18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cP"/>
      <sheetName val="Subroutine Xi"/>
      <sheetName val="Airfoils"/>
    </sheetNames>
    <sheetDataSet>
      <sheetData sheetId="0">
        <row r="14">
          <cell r="Q14" t="str">
            <v>OFF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bstract"/>
      <sheetName val="1.) Preliminary Sizing I"/>
      <sheetName val="2.) Max. Glide Ratio in Cruise"/>
      <sheetName val="2.1.) Wetted Area"/>
      <sheetName val="3.) Preliminary Sizing II"/>
      <sheetName val="4.) Matching Chart"/>
      <sheetName val="5.) Fuel consumption"/>
      <sheetName val="6.) Fuel Containment System"/>
      <sheetName val="7.) Fuel cell"/>
      <sheetName val="7.1.) Heat Exchanger"/>
      <sheetName val="8.) Electric Propulsion System"/>
      <sheetName val="8.1.) Thrust Device"/>
      <sheetName val="9.) Mass H2 Powertrain"/>
      <sheetName val="(c)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7">
          <cell r="C7">
            <v>13.397940484616111</v>
          </cell>
        </row>
        <row r="9">
          <cell r="G9">
            <v>1.4688030898989564</v>
          </cell>
        </row>
        <row r="10">
          <cell r="G10">
            <v>13.397940484616111</v>
          </cell>
        </row>
        <row r="11">
          <cell r="C11">
            <v>1.4688030898989564</v>
          </cell>
        </row>
        <row r="12">
          <cell r="C12">
            <v>0.5</v>
          </cell>
        </row>
        <row r="16">
          <cell r="C16">
            <v>0.85995587957357167</v>
          </cell>
        </row>
        <row r="23">
          <cell r="C23">
            <v>1.4</v>
          </cell>
        </row>
        <row r="24">
          <cell r="C24">
            <v>9.81</v>
          </cell>
        </row>
        <row r="25">
          <cell r="C25">
            <v>101325</v>
          </cell>
        </row>
        <row r="26">
          <cell r="C26">
            <v>2.7182818281827998</v>
          </cell>
        </row>
        <row r="27">
          <cell r="C27">
            <v>6.5000000000000006E-3</v>
          </cell>
        </row>
        <row r="28">
          <cell r="C28">
            <v>287.053</v>
          </cell>
        </row>
        <row r="29">
          <cell r="C29">
            <v>288.14999999999998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bstract"/>
      <sheetName val="Preliminary Sizing I"/>
      <sheetName val="Max. Glide Ratio in Cruise"/>
      <sheetName val="Propeller Efficiency"/>
      <sheetName val="Preliminary Sizing II"/>
      <sheetName val="Matching Chart"/>
      <sheetName val="Parameters-Statistics"/>
      <sheetName val="Help"/>
      <sheetName val="(c)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>
        <row r="5">
          <cell r="C5" t="str">
            <v>Truckenbrodt2</v>
          </cell>
        </row>
      </sheetData>
      <sheetData sheetId="4">
        <row r="17">
          <cell r="C17">
            <v>0.85885119090987683</v>
          </cell>
        </row>
        <row r="19">
          <cell r="I19">
            <v>1.8828998790472999</v>
          </cell>
        </row>
        <row r="20">
          <cell r="I20">
            <v>0.74093011138974996</v>
          </cell>
        </row>
        <row r="21">
          <cell r="I21">
            <v>0.92866802165791495</v>
          </cell>
        </row>
        <row r="23">
          <cell r="C23">
            <v>2.7182818281827998</v>
          </cell>
        </row>
        <row r="25">
          <cell r="C25">
            <v>287.053</v>
          </cell>
        </row>
      </sheetData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aper.profscholz.de/" TargetMode="External"/><Relationship Id="rId7" Type="http://schemas.openxmlformats.org/officeDocument/2006/relationships/hyperlink" Target="http://library.profscholz.de/" TargetMode="External"/><Relationship Id="rId2" Type="http://schemas.openxmlformats.org/officeDocument/2006/relationships/hyperlink" Target="http://aero.profscholz.de/" TargetMode="External"/><Relationship Id="rId1" Type="http://schemas.openxmlformats.org/officeDocument/2006/relationships/hyperlink" Target="http://www.profscholz.de/" TargetMode="External"/><Relationship Id="rId6" Type="http://schemas.openxmlformats.org/officeDocument/2006/relationships/hyperlink" Target="http://library.profscholz.de/" TargetMode="External"/><Relationship Id="rId5" Type="http://schemas.openxmlformats.org/officeDocument/2006/relationships/hyperlink" Target="http://library.profscholz.de/" TargetMode="External"/><Relationship Id="rId4" Type="http://schemas.openxmlformats.org/officeDocument/2006/relationships/hyperlink" Target="http://library.profscholz.de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www.gnu.org/licenses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5.bin"/><Relationship Id="rId13" Type="http://schemas.openxmlformats.org/officeDocument/2006/relationships/oleObject" Target="../embeddings/oleObject20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14.bin"/><Relationship Id="rId12" Type="http://schemas.openxmlformats.org/officeDocument/2006/relationships/oleObject" Target="../embeddings/oleObject19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3.bin"/><Relationship Id="rId11" Type="http://schemas.openxmlformats.org/officeDocument/2006/relationships/oleObject" Target="../embeddings/oleObject18.bin"/><Relationship Id="rId5" Type="http://schemas.openxmlformats.org/officeDocument/2006/relationships/oleObject" Target="../embeddings/oleObject12.bin"/><Relationship Id="rId10" Type="http://schemas.openxmlformats.org/officeDocument/2006/relationships/oleObject" Target="../embeddings/oleObject17.bin"/><Relationship Id="rId4" Type="http://schemas.openxmlformats.org/officeDocument/2006/relationships/oleObject" Target="../embeddings/oleObject11.bin"/><Relationship Id="rId9" Type="http://schemas.openxmlformats.org/officeDocument/2006/relationships/oleObject" Target="../embeddings/oleObject16.bin"/><Relationship Id="rId14" Type="http://schemas.openxmlformats.org/officeDocument/2006/relationships/oleObject" Target="../embeddings/oleObject2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O26"/>
  <sheetViews>
    <sheetView tabSelected="1" workbookViewId="0">
      <selection activeCell="A29" sqref="A29"/>
    </sheetView>
  </sheetViews>
  <sheetFormatPr baseColWidth="10" defaultColWidth="9.140625" defaultRowHeight="12.75"/>
  <cols>
    <col min="1" max="2" width="9.140625" style="288" customWidth="1"/>
    <col min="3" max="3" width="15.85546875" style="288" customWidth="1"/>
    <col min="4" max="16384" width="9.140625" style="288"/>
  </cols>
  <sheetData>
    <row r="1" spans="1:15" ht="18">
      <c r="A1" s="116" t="s">
        <v>796</v>
      </c>
    </row>
    <row r="3" spans="1:15" ht="13.5" thickBot="1"/>
    <row r="4" spans="1:15">
      <c r="A4" s="289" t="s">
        <v>299</v>
      </c>
      <c r="B4" s="290"/>
      <c r="C4" s="291"/>
      <c r="E4" s="292" t="s">
        <v>299</v>
      </c>
      <c r="F4" s="290"/>
      <c r="G4" s="291"/>
      <c r="I4" s="292" t="s">
        <v>299</v>
      </c>
      <c r="J4" s="290"/>
      <c r="K4" s="291"/>
      <c r="M4" s="292" t="s">
        <v>299</v>
      </c>
      <c r="N4" s="290"/>
      <c r="O4" s="291"/>
    </row>
    <row r="5" spans="1:15">
      <c r="A5" s="293" t="s">
        <v>305</v>
      </c>
      <c r="B5" s="294"/>
      <c r="C5" s="295"/>
      <c r="E5" s="293" t="s">
        <v>301</v>
      </c>
      <c r="F5" s="294"/>
      <c r="G5" s="295"/>
      <c r="I5" s="293" t="s">
        <v>790</v>
      </c>
      <c r="J5" s="294"/>
      <c r="K5" s="295"/>
      <c r="M5" s="293" t="s">
        <v>791</v>
      </c>
      <c r="N5" s="294"/>
      <c r="O5" s="295"/>
    </row>
    <row r="6" spans="1:15">
      <c r="A6" s="293" t="s">
        <v>300</v>
      </c>
      <c r="B6" s="294"/>
      <c r="C6" s="295"/>
      <c r="E6" s="293" t="s">
        <v>300</v>
      </c>
      <c r="F6" s="294"/>
      <c r="G6" s="295"/>
      <c r="I6" s="293" t="s">
        <v>300</v>
      </c>
      <c r="J6" s="294"/>
      <c r="K6" s="295"/>
      <c r="M6" s="293" t="s">
        <v>300</v>
      </c>
      <c r="N6" s="294"/>
      <c r="O6" s="295"/>
    </row>
    <row r="7" spans="1:15" ht="13.5" thickBot="1">
      <c r="A7" s="115" t="s">
        <v>372</v>
      </c>
      <c r="B7" s="296"/>
      <c r="C7" s="297"/>
      <c r="E7" s="118" t="s">
        <v>304</v>
      </c>
      <c r="F7" s="296"/>
      <c r="G7" s="297"/>
      <c r="I7" s="298" t="s">
        <v>792</v>
      </c>
      <c r="J7" s="296"/>
      <c r="K7" s="297"/>
      <c r="M7" s="298" t="s">
        <v>792</v>
      </c>
      <c r="N7" s="296"/>
      <c r="O7" s="297"/>
    </row>
    <row r="8" spans="1:15">
      <c r="A8" s="294"/>
      <c r="B8" s="294"/>
      <c r="C8" s="294"/>
    </row>
    <row r="9" spans="1:15">
      <c r="A9" s="294"/>
      <c r="B9" s="294"/>
      <c r="C9" s="294"/>
    </row>
    <row r="10" spans="1:15" ht="15.75">
      <c r="A10" s="299" t="s">
        <v>371</v>
      </c>
    </row>
    <row r="11" spans="1:15" ht="15.75">
      <c r="A11" s="299" t="s">
        <v>373</v>
      </c>
    </row>
    <row r="12" spans="1:15" ht="15.75">
      <c r="A12" s="299"/>
    </row>
    <row r="13" spans="1:15" ht="15.75">
      <c r="A13" s="299" t="s">
        <v>599</v>
      </c>
    </row>
    <row r="14" spans="1:15" ht="15.75">
      <c r="A14" s="299" t="s">
        <v>795</v>
      </c>
    </row>
    <row r="15" spans="1:15" ht="15.75">
      <c r="A15" s="299" t="s">
        <v>600</v>
      </c>
    </row>
    <row r="16" spans="1:15" ht="15.75">
      <c r="A16" s="299"/>
    </row>
    <row r="17" spans="1:4" ht="15.75">
      <c r="A17" s="299"/>
    </row>
    <row r="18" spans="1:4" ht="15.75">
      <c r="A18" s="299" t="s">
        <v>598</v>
      </c>
    </row>
    <row r="19" spans="1:4" ht="15.75">
      <c r="A19" s="299"/>
    </row>
    <row r="20" spans="1:4" ht="15.75">
      <c r="A20" s="299" t="s">
        <v>302</v>
      </c>
    </row>
    <row r="22" spans="1:4">
      <c r="A22" s="117" t="s">
        <v>317</v>
      </c>
      <c r="D22" s="300" t="s">
        <v>303</v>
      </c>
    </row>
    <row r="24" spans="1:4">
      <c r="A24" s="130" t="s">
        <v>792</v>
      </c>
      <c r="D24" s="300" t="s">
        <v>793</v>
      </c>
    </row>
    <row r="26" spans="1:4">
      <c r="A26" s="130" t="s">
        <v>792</v>
      </c>
      <c r="D26" s="300" t="s">
        <v>794</v>
      </c>
    </row>
  </sheetData>
  <hyperlinks>
    <hyperlink ref="A7" r:id="rId1"/>
    <hyperlink ref="E7" r:id="rId2" display="http://aero.profscholz.de/"/>
    <hyperlink ref="A22" r:id="rId3"/>
    <hyperlink ref="A24" r:id="rId4"/>
    <hyperlink ref="I7" r:id="rId5"/>
    <hyperlink ref="M7" r:id="rId6"/>
    <hyperlink ref="A26" r:id="rId7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A2" sqref="A2"/>
    </sheetView>
  </sheetViews>
  <sheetFormatPr baseColWidth="10" defaultRowHeight="12.75"/>
  <cols>
    <col min="1" max="1" width="32.5703125" bestFit="1" customWidth="1"/>
    <col min="5" max="5" width="36.140625" bestFit="1" customWidth="1"/>
    <col min="7" max="7" width="7" customWidth="1"/>
  </cols>
  <sheetData>
    <row r="1" spans="1:9">
      <c r="A1" s="13" t="s">
        <v>396</v>
      </c>
      <c r="B1" s="13"/>
      <c r="C1" s="12"/>
      <c r="D1" s="38"/>
      <c r="G1" s="13"/>
      <c r="I1" s="212"/>
    </row>
    <row r="2" spans="1:9">
      <c r="A2" s="13"/>
      <c r="B2" s="13"/>
      <c r="C2" s="12"/>
      <c r="D2" s="38"/>
      <c r="G2" s="13"/>
      <c r="I2" s="212"/>
    </row>
    <row r="3" spans="1:9" ht="15.75">
      <c r="A3" s="13" t="s">
        <v>397</v>
      </c>
      <c r="B3" s="13" t="s">
        <v>747</v>
      </c>
      <c r="C3" s="211">
        <f ca="1">'5.) Fuel consumption'!C27/G4</f>
        <v>6655.1358947166909</v>
      </c>
      <c r="D3" s="38" t="s">
        <v>28</v>
      </c>
      <c r="E3" s="13" t="s">
        <v>449</v>
      </c>
      <c r="F3" s="214" t="s">
        <v>748</v>
      </c>
      <c r="G3" s="212">
        <v>10</v>
      </c>
      <c r="H3" s="212" t="s">
        <v>395</v>
      </c>
      <c r="I3" s="13" t="s">
        <v>515</v>
      </c>
    </row>
    <row r="4" spans="1:9" ht="14.25">
      <c r="A4" s="13"/>
      <c r="B4" s="13"/>
      <c r="C4" s="211"/>
      <c r="D4" s="38"/>
      <c r="E4" s="13" t="s">
        <v>450</v>
      </c>
      <c r="F4" s="214" t="s">
        <v>749</v>
      </c>
      <c r="G4" s="212">
        <v>5.2</v>
      </c>
      <c r="H4" s="212" t="s">
        <v>395</v>
      </c>
      <c r="I4" s="13" t="s">
        <v>515</v>
      </c>
    </row>
    <row r="5" spans="1:9" ht="15.75">
      <c r="A5" s="13" t="s">
        <v>398</v>
      </c>
      <c r="B5" s="13" t="s">
        <v>750</v>
      </c>
      <c r="C5" s="211">
        <f ca="1">'5.) Fuel consumption'!C27/G5</f>
        <v>2420.0494162606151</v>
      </c>
      <c r="D5" s="38" t="s">
        <v>28</v>
      </c>
      <c r="E5" s="13" t="s">
        <v>575</v>
      </c>
      <c r="F5" s="214" t="s">
        <v>755</v>
      </c>
      <c r="G5" s="212">
        <v>14.3</v>
      </c>
      <c r="H5" s="212" t="s">
        <v>395</v>
      </c>
      <c r="I5" s="13" t="s">
        <v>516</v>
      </c>
    </row>
    <row r="6" spans="1:9" ht="15.75">
      <c r="A6" s="13" t="s">
        <v>527</v>
      </c>
      <c r="B6" s="13" t="s">
        <v>751</v>
      </c>
      <c r="C6" s="211">
        <f ca="1">'5.) Fuel consumption'!C27/G6</f>
        <v>558.17268794398058</v>
      </c>
      <c r="D6" s="38" t="s">
        <v>28</v>
      </c>
      <c r="E6" s="13" t="s">
        <v>574</v>
      </c>
      <c r="F6" s="214" t="s">
        <v>754</v>
      </c>
      <c r="G6" s="212">
        <v>62</v>
      </c>
      <c r="H6" s="212" t="s">
        <v>395</v>
      </c>
      <c r="I6" s="13" t="s">
        <v>516</v>
      </c>
    </row>
    <row r="7" spans="1:9" ht="15.75">
      <c r="A7" s="13" t="s">
        <v>399</v>
      </c>
      <c r="B7" s="13" t="s">
        <v>752</v>
      </c>
      <c r="C7" s="211">
        <f ca="1">'5.) Fuel consumption'!C27/G7</f>
        <v>2307.1137768351196</v>
      </c>
      <c r="D7" s="38" t="s">
        <v>28</v>
      </c>
      <c r="E7" s="13" t="s">
        <v>573</v>
      </c>
      <c r="F7" s="214" t="s">
        <v>753</v>
      </c>
      <c r="G7" s="212">
        <v>15</v>
      </c>
      <c r="H7" s="212" t="s">
        <v>395</v>
      </c>
      <c r="I7" s="13" t="s">
        <v>516</v>
      </c>
    </row>
    <row r="8" spans="1:9">
      <c r="A8" s="13"/>
      <c r="B8" s="13"/>
      <c r="C8" s="211"/>
      <c r="D8" s="38"/>
      <c r="E8" s="13"/>
      <c r="G8" s="13"/>
    </row>
    <row r="9" spans="1:9" ht="15.75">
      <c r="A9" s="13" t="s">
        <v>400</v>
      </c>
      <c r="B9" s="13" t="s">
        <v>756</v>
      </c>
      <c r="C9" s="211">
        <f ca="1">C3+C5+C6+C7</f>
        <v>11940.471775756407</v>
      </c>
      <c r="D9" s="38" t="s">
        <v>28</v>
      </c>
      <c r="G9" s="13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38"/>
  <sheetViews>
    <sheetView workbookViewId="0">
      <selection activeCell="A2" sqref="A2"/>
    </sheetView>
  </sheetViews>
  <sheetFormatPr baseColWidth="10" defaultRowHeight="12.75"/>
  <cols>
    <col min="1" max="1" width="35.7109375" bestFit="1" customWidth="1"/>
  </cols>
  <sheetData>
    <row r="1" spans="1:9" ht="15.75">
      <c r="A1" s="101" t="s">
        <v>723</v>
      </c>
    </row>
    <row r="3" spans="1:9">
      <c r="A3" s="51"/>
      <c r="B3" s="7"/>
      <c r="C3" s="223"/>
      <c r="D3" s="223"/>
    </row>
    <row r="4" spans="1:9">
      <c r="A4" s="58" t="s">
        <v>721</v>
      </c>
      <c r="B4" s="7"/>
      <c r="C4" s="57"/>
      <c r="D4" s="57"/>
      <c r="F4" s="7"/>
      <c r="G4" s="7"/>
      <c r="H4" s="7"/>
    </row>
    <row r="5" spans="1:9">
      <c r="A5" s="7"/>
      <c r="B5" s="7"/>
      <c r="C5" s="223"/>
      <c r="D5" s="223"/>
      <c r="F5" s="7"/>
      <c r="G5" s="7"/>
      <c r="H5" s="7"/>
    </row>
    <row r="6" spans="1:9" ht="15.75">
      <c r="A6" s="13" t="s">
        <v>534</v>
      </c>
      <c r="B6" s="13" t="s">
        <v>347</v>
      </c>
      <c r="C6">
        <f ca="1">'3.) Preliminary Sizing II'!C133/'1.) Preliminary Sizing I'!C50/1.225</f>
        <v>28.294702363730369</v>
      </c>
      <c r="D6" s="211" t="s">
        <v>29</v>
      </c>
      <c r="F6" s="7"/>
      <c r="G6" s="7"/>
      <c r="H6" s="7"/>
    </row>
    <row r="7" spans="1:9" ht="15.75">
      <c r="A7" s="13" t="s">
        <v>533</v>
      </c>
      <c r="B7" s="13" t="s">
        <v>346</v>
      </c>
      <c r="C7">
        <f ca="1">SQRT(4*C6/PI())</f>
        <v>6.0021607739224203</v>
      </c>
      <c r="D7" s="211" t="s">
        <v>1</v>
      </c>
      <c r="F7" s="112"/>
      <c r="G7" s="112"/>
      <c r="H7" s="112"/>
      <c r="I7" s="84"/>
    </row>
    <row r="8" spans="1:9" ht="15.75">
      <c r="A8" s="7" t="s">
        <v>528</v>
      </c>
      <c r="B8" s="13" t="s">
        <v>611</v>
      </c>
      <c r="C8" s="222">
        <f ca="1">1986.8-1.3267*C7*'3.) Preliminary Sizing II'!C70</f>
        <v>784.76166779837035</v>
      </c>
      <c r="D8" s="222" t="s">
        <v>529</v>
      </c>
      <c r="F8" s="112"/>
      <c r="G8" s="112"/>
      <c r="H8" s="112"/>
      <c r="I8" s="84"/>
    </row>
    <row r="9" spans="1:9" ht="15.75">
      <c r="A9" s="13" t="s">
        <v>536</v>
      </c>
      <c r="B9" s="13" t="s">
        <v>613</v>
      </c>
      <c r="C9">
        <f>'1.) Preliminary Sizing I'!C70</f>
        <v>2</v>
      </c>
      <c r="D9" s="222"/>
      <c r="F9" s="112"/>
      <c r="G9" s="112"/>
      <c r="H9" s="112"/>
      <c r="I9" s="84"/>
    </row>
    <row r="10" spans="1:9">
      <c r="F10" s="112"/>
      <c r="G10" s="112"/>
      <c r="H10" s="112"/>
      <c r="I10" s="84"/>
    </row>
    <row r="11" spans="1:9">
      <c r="A11" s="13" t="s">
        <v>535</v>
      </c>
      <c r="B11" s="13" t="s">
        <v>248</v>
      </c>
      <c r="C11">
        <f ca="1">'3.) Preliminary Sizing II'!C132/('1.) Preliminary Sizing I'!C39*1.225*'8.1.) Thrust Device'!C6*1000*C9)</f>
        <v>499.21664512339419</v>
      </c>
      <c r="D11" s="13" t="s">
        <v>367</v>
      </c>
      <c r="F11" s="112"/>
      <c r="G11" s="112"/>
      <c r="H11" s="112"/>
      <c r="I11" s="84"/>
    </row>
    <row r="12" spans="1:9">
      <c r="F12" s="112"/>
      <c r="G12" s="112"/>
      <c r="H12" s="112"/>
      <c r="I12" s="84"/>
    </row>
    <row r="13" spans="1:9">
      <c r="F13" s="7"/>
      <c r="G13" s="7"/>
      <c r="H13" s="7"/>
    </row>
    <row r="14" spans="1:9">
      <c r="A14" s="12" t="s">
        <v>253</v>
      </c>
      <c r="F14" s="7"/>
      <c r="G14" s="7"/>
      <c r="H14" s="7"/>
    </row>
    <row r="15" spans="1:9">
      <c r="E15" s="7"/>
      <c r="F15" s="7"/>
      <c r="G15" s="7"/>
      <c r="H15" s="7"/>
    </row>
    <row r="16" spans="1:9" ht="15.75">
      <c r="A16" s="13" t="s">
        <v>537</v>
      </c>
      <c r="B16" s="13" t="s">
        <v>614</v>
      </c>
      <c r="C16">
        <f ca="1">G16-G16*euler^(-G17*'1.) Preliminary Sizing I'!C46)</f>
        <v>0.55243734238429787</v>
      </c>
      <c r="D16" s="13" t="s">
        <v>538</v>
      </c>
      <c r="F16" s="13" t="s">
        <v>542</v>
      </c>
      <c r="G16">
        <f>-0.0002*C13+0.9001</f>
        <v>0.90010000000000001</v>
      </c>
    </row>
    <row r="17" spans="1:7" ht="15.75">
      <c r="A17" s="13" t="s">
        <v>539</v>
      </c>
      <c r="B17" s="13" t="s">
        <v>615</v>
      </c>
      <c r="C17">
        <f ca="1">G16-G16*euler^(-G17*'1.) Preliminary Sizing I'!C71)</f>
        <v>0.66565937437389411</v>
      </c>
      <c r="D17" s="13" t="s">
        <v>538</v>
      </c>
      <c r="F17" s="13" t="s">
        <v>543</v>
      </c>
      <c r="G17">
        <f ca="1">0.134*C11^-0.3008</f>
        <v>2.0675663241571225E-2</v>
      </c>
    </row>
    <row r="18" spans="1:7" ht="15.75">
      <c r="A18" s="13" t="s">
        <v>540</v>
      </c>
      <c r="B18" s="13" t="s">
        <v>616</v>
      </c>
      <c r="C18">
        <f ca="1">G16-G16*euler^(-G17*'1.) Preliminary Sizing I'!C92)</f>
        <v>0.64161265070519125</v>
      </c>
      <c r="D18" s="13" t="s">
        <v>538</v>
      </c>
    </row>
    <row r="19" spans="1:7" ht="15.75">
      <c r="A19" s="13" t="s">
        <v>541</v>
      </c>
      <c r="B19" s="13" t="s">
        <v>617</v>
      </c>
      <c r="C19">
        <f ca="1">G16-G16*euler^(-G17*'3.) Preliminary Sizing II'!C73)</f>
        <v>0.86039489878601216</v>
      </c>
      <c r="D19" s="13" t="s">
        <v>538</v>
      </c>
    </row>
    <row r="21" spans="1:7">
      <c r="A21" s="58" t="s">
        <v>530</v>
      </c>
      <c r="B21" s="7"/>
      <c r="C21" s="7"/>
      <c r="D21" s="7"/>
    </row>
    <row r="22" spans="1:7">
      <c r="A22" s="7"/>
      <c r="B22" s="7"/>
      <c r="C22" s="7"/>
      <c r="D22" s="7"/>
    </row>
    <row r="23" spans="1:7">
      <c r="A23" s="7" t="s">
        <v>531</v>
      </c>
      <c r="B23" t="s">
        <v>532</v>
      </c>
      <c r="C23" s="222">
        <v>6</v>
      </c>
      <c r="D23" s="7"/>
      <c r="E23" s="13" t="s">
        <v>604</v>
      </c>
    </row>
    <row r="24" spans="1:7" ht="15.75">
      <c r="A24" s="89" t="s">
        <v>544</v>
      </c>
      <c r="B24" s="89" t="s">
        <v>618</v>
      </c>
      <c r="C24" s="223">
        <f ca="1">1.1*(C7*'3.) Preliminary Sizing II'!C133/C9*SQRT('8.1.) Thrust Device'!C23)/1000)^0.52</f>
        <v>496.27696843557362</v>
      </c>
      <c r="D24" s="223" t="s">
        <v>28</v>
      </c>
      <c r="E24" s="13" t="s">
        <v>610</v>
      </c>
    </row>
    <row r="25" spans="1:7" ht="15.75">
      <c r="A25" s="89" t="s">
        <v>545</v>
      </c>
      <c r="B25" s="89" t="s">
        <v>619</v>
      </c>
      <c r="C25" s="223">
        <f ca="1">C24*C9</f>
        <v>992.55393687114724</v>
      </c>
      <c r="D25" s="223" t="s">
        <v>28</v>
      </c>
      <c r="E25" s="13"/>
    </row>
    <row r="26" spans="1:7">
      <c r="A26" s="89"/>
      <c r="B26" s="89"/>
      <c r="C26" s="223"/>
      <c r="D26" s="223"/>
      <c r="E26" s="13"/>
    </row>
    <row r="27" spans="1:7" ht="15.75">
      <c r="A27" s="89" t="s">
        <v>624</v>
      </c>
      <c r="B27" s="89" t="s">
        <v>612</v>
      </c>
      <c r="C27" s="224">
        <v>15000</v>
      </c>
      <c r="D27" s="224" t="s">
        <v>529</v>
      </c>
      <c r="E27" s="13" t="s">
        <v>604</v>
      </c>
    </row>
    <row r="28" spans="1:7" ht="15.75">
      <c r="A28" s="89" t="s">
        <v>621</v>
      </c>
      <c r="B28" s="89" t="s">
        <v>622</v>
      </c>
      <c r="C28" s="223">
        <f ca="1">(95.7634*C9^0.38553*('3.) Preliminary Sizing II'!C133*1.34102/1000)^0.78137*(C27)^0.09899/((C8)^0.80686))*0.453592</f>
        <v>1748.9851567652786</v>
      </c>
      <c r="D28" s="223" t="s">
        <v>30</v>
      </c>
      <c r="E28" s="13" t="s">
        <v>609</v>
      </c>
    </row>
    <row r="29" spans="1:7" ht="15.75">
      <c r="A29" s="7" t="s">
        <v>621</v>
      </c>
      <c r="B29" s="89" t="s">
        <v>620</v>
      </c>
      <c r="C29" s="223">
        <f ca="1">C28*C9</f>
        <v>3497.9703135305572</v>
      </c>
      <c r="D29" s="223" t="s">
        <v>28</v>
      </c>
      <c r="E29" s="7"/>
    </row>
    <row r="30" spans="1:7">
      <c r="A30" s="89"/>
      <c r="B30" s="7"/>
      <c r="C30" s="89"/>
      <c r="D30" s="7"/>
    </row>
    <row r="31" spans="1:7" ht="15.75">
      <c r="A31" s="89" t="s">
        <v>774</v>
      </c>
      <c r="B31" s="89" t="s">
        <v>775</v>
      </c>
      <c r="C31" s="254">
        <f ca="1">C25+C29</f>
        <v>4490.5242504017042</v>
      </c>
      <c r="D31" s="253" t="s">
        <v>28</v>
      </c>
    </row>
    <row r="32" spans="1:7">
      <c r="B32" s="7"/>
      <c r="C32" s="89"/>
      <c r="D32" s="7"/>
    </row>
    <row r="33" spans="1:4">
      <c r="A33" s="89"/>
      <c r="B33" s="7"/>
      <c r="C33" s="89"/>
      <c r="D33" s="7"/>
    </row>
    <row r="35" spans="1:4">
      <c r="B35" s="13"/>
    </row>
    <row r="36" spans="1:4">
      <c r="B36" s="13"/>
    </row>
    <row r="38" spans="1:4">
      <c r="B38" s="13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A2" sqref="A2"/>
    </sheetView>
  </sheetViews>
  <sheetFormatPr baseColWidth="10" defaultRowHeight="12.75"/>
  <cols>
    <col min="1" max="1" width="76.42578125" bestFit="1" customWidth="1"/>
    <col min="2" max="2" width="13.7109375" bestFit="1" customWidth="1"/>
    <col min="3" max="3" width="12" bestFit="1" customWidth="1"/>
    <col min="5" max="5" width="72.42578125" bestFit="1" customWidth="1"/>
    <col min="6" max="6" width="11.7109375" bestFit="1" customWidth="1"/>
  </cols>
  <sheetData>
    <row r="1" spans="1:6" ht="15.75">
      <c r="A1" s="13" t="s">
        <v>426</v>
      </c>
      <c r="B1" s="13" t="s">
        <v>651</v>
      </c>
      <c r="C1" s="210">
        <f ca="1">'6.) Fuel Containment System'!C14+'7.) Fuel cell'!C59+'8.) Electric Propulsion System'!C9+'8.1.) Thrust Device'!C31</f>
        <v>48451.57122201733</v>
      </c>
      <c r="D1" s="211" t="s">
        <v>28</v>
      </c>
      <c r="E1" s="13" t="s">
        <v>593</v>
      </c>
    </row>
    <row r="3" spans="1:6">
      <c r="A3" s="13" t="s">
        <v>427</v>
      </c>
    </row>
    <row r="4" spans="1:6" ht="15.75">
      <c r="A4" s="13" t="s">
        <v>778</v>
      </c>
      <c r="B4" s="13" t="s">
        <v>718</v>
      </c>
      <c r="C4">
        <v>37.57</v>
      </c>
      <c r="D4" s="13" t="s">
        <v>1</v>
      </c>
      <c r="E4" s="13" t="s">
        <v>760</v>
      </c>
      <c r="F4" s="13" t="s">
        <v>758</v>
      </c>
    </row>
    <row r="5" spans="1:6" ht="15.75">
      <c r="A5" s="13" t="s">
        <v>762</v>
      </c>
      <c r="B5" s="13" t="s">
        <v>759</v>
      </c>
      <c r="C5">
        <v>78000</v>
      </c>
      <c r="D5" s="13" t="s">
        <v>28</v>
      </c>
      <c r="E5" s="13" t="s">
        <v>761</v>
      </c>
      <c r="F5" s="13" t="s">
        <v>758</v>
      </c>
    </row>
    <row r="6" spans="1:6" ht="15.75">
      <c r="A6" s="13" t="s">
        <v>716</v>
      </c>
      <c r="B6" s="13" t="s">
        <v>717</v>
      </c>
      <c r="C6" s="228">
        <v>42600</v>
      </c>
      <c r="D6" s="228" t="s">
        <v>28</v>
      </c>
      <c r="E6" s="13" t="s">
        <v>719</v>
      </c>
      <c r="F6" s="13" t="s">
        <v>758</v>
      </c>
    </row>
    <row r="7" spans="1:6" ht="15.75">
      <c r="A7" s="13" t="s">
        <v>763</v>
      </c>
      <c r="B7" s="13" t="s">
        <v>779</v>
      </c>
      <c r="C7">
        <v>12.1</v>
      </c>
      <c r="D7" s="13" t="s">
        <v>757</v>
      </c>
      <c r="E7" s="13"/>
      <c r="F7" s="13" t="s">
        <v>764</v>
      </c>
    </row>
    <row r="8" spans="1:6" ht="15.75">
      <c r="A8" s="13" t="s">
        <v>765</v>
      </c>
      <c r="B8" s="13" t="s">
        <v>780</v>
      </c>
      <c r="C8" s="215">
        <f>C7*C5/100</f>
        <v>9438</v>
      </c>
      <c r="D8" s="215" t="s">
        <v>28</v>
      </c>
      <c r="E8" s="13"/>
      <c r="F8" s="13"/>
    </row>
    <row r="9" spans="1:6" ht="15.75">
      <c r="A9" s="13" t="s">
        <v>767</v>
      </c>
      <c r="B9" s="13" t="s">
        <v>768</v>
      </c>
      <c r="C9" s="215">
        <f>C6-C8</f>
        <v>33162</v>
      </c>
      <c r="D9" s="215" t="s">
        <v>28</v>
      </c>
      <c r="E9" s="13" t="s">
        <v>769</v>
      </c>
      <c r="F9" s="13"/>
    </row>
    <row r="10" spans="1:6" ht="15.75">
      <c r="A10" s="13" t="s">
        <v>783</v>
      </c>
      <c r="B10" s="13" t="s">
        <v>781</v>
      </c>
      <c r="C10" s="215">
        <f ca="1">C4+'6.) Fuel Containment System'!C4*'6.) Fuel Containment System'!C7</f>
        <v>63.644012899077325</v>
      </c>
      <c r="D10" s="215" t="s">
        <v>1</v>
      </c>
      <c r="E10" s="13" t="s">
        <v>766</v>
      </c>
      <c r="F10" s="13"/>
    </row>
    <row r="11" spans="1:6" ht="15.75">
      <c r="A11" s="13" t="s">
        <v>772</v>
      </c>
      <c r="B11" s="13" t="s">
        <v>782</v>
      </c>
      <c r="C11" s="215">
        <f ca="1">C10*C8/C4</f>
        <v>15988.08074904157</v>
      </c>
      <c r="D11" s="215" t="s">
        <v>28</v>
      </c>
      <c r="E11" s="13"/>
      <c r="F11" s="13"/>
    </row>
    <row r="12" spans="1:6">
      <c r="A12" s="13"/>
      <c r="B12" s="13"/>
      <c r="D12" s="13"/>
      <c r="E12" s="13"/>
      <c r="F12" s="13"/>
    </row>
    <row r="13" spans="1:6" ht="15.75">
      <c r="A13" s="13" t="s">
        <v>771</v>
      </c>
      <c r="B13" s="13" t="s">
        <v>773</v>
      </c>
      <c r="C13" s="228">
        <f ca="1">C11+C9</f>
        <v>49150.080749041568</v>
      </c>
      <c r="D13" s="228"/>
      <c r="E13" s="13"/>
      <c r="F13" s="13"/>
    </row>
    <row r="14" spans="1:6">
      <c r="A14" s="13"/>
      <c r="B14" s="13"/>
      <c r="C14" s="228"/>
      <c r="D14" s="228"/>
      <c r="E14" s="13"/>
      <c r="F14" s="13"/>
    </row>
    <row r="15" spans="1:6" ht="15.75">
      <c r="A15" s="13" t="s">
        <v>519</v>
      </c>
      <c r="B15" s="13" t="s">
        <v>650</v>
      </c>
      <c r="C15" s="252">
        <v>2500</v>
      </c>
      <c r="D15" s="228" t="s">
        <v>28</v>
      </c>
      <c r="E15" s="13" t="s">
        <v>594</v>
      </c>
      <c r="F15" s="13" t="s">
        <v>758</v>
      </c>
    </row>
    <row r="16" spans="1:6" ht="15.75">
      <c r="A16" s="13" t="s">
        <v>648</v>
      </c>
      <c r="B16" s="13" t="s">
        <v>649</v>
      </c>
      <c r="C16" s="252">
        <v>2</v>
      </c>
      <c r="D16" s="228"/>
      <c r="E16" s="13"/>
      <c r="F16" s="13" t="s">
        <v>758</v>
      </c>
    </row>
    <row r="17" spans="1:5" ht="15.75">
      <c r="A17" s="13" t="s">
        <v>770</v>
      </c>
      <c r="B17" s="13" t="s">
        <v>784</v>
      </c>
      <c r="C17" s="211">
        <f ca="1">C13-C16*C15+C1</f>
        <v>92601.651971058891</v>
      </c>
      <c r="D17" s="211" t="s">
        <v>28</v>
      </c>
      <c r="E17" s="13" t="s">
        <v>595</v>
      </c>
    </row>
    <row r="18" spans="1:5">
      <c r="C18" s="211"/>
      <c r="D18" s="211"/>
    </row>
    <row r="19" spans="1:5" ht="15.75">
      <c r="A19" s="13" t="s">
        <v>428</v>
      </c>
      <c r="B19" s="13" t="s">
        <v>100</v>
      </c>
      <c r="C19" s="210">
        <f ca="1">C17+'3.) Preliminary Sizing II'!C119</f>
        <v>111857.65197105889</v>
      </c>
      <c r="D19" s="211" t="s">
        <v>28</v>
      </c>
    </row>
    <row r="20" spans="1:5" ht="15.75">
      <c r="A20" s="13" t="s">
        <v>623</v>
      </c>
      <c r="B20" s="13" t="s">
        <v>92</v>
      </c>
      <c r="C20" s="210">
        <f ca="1">C19+'3.) Preliminary Sizing II'!C137</f>
        <v>123974.76621348438</v>
      </c>
      <c r="D20" s="211" t="s">
        <v>28</v>
      </c>
    </row>
    <row r="21" spans="1:5">
      <c r="A21" s="13"/>
      <c r="C21" s="5"/>
    </row>
    <row r="22" spans="1:5" ht="15.75">
      <c r="B22" t="s">
        <v>86</v>
      </c>
      <c r="C22" s="211">
        <f ca="1">C17/C20</f>
        <v>0.74693951680133819</v>
      </c>
      <c r="E22" s="13" t="s">
        <v>523</v>
      </c>
    </row>
  </sheetData>
  <phoneticPr fontId="18" type="noConversion"/>
  <pageMargins left="0.7" right="0.7" top="0.78740157499999996" bottom="0.78740157499999996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6"/>
  <dimension ref="A1:G22"/>
  <sheetViews>
    <sheetView workbookViewId="0">
      <selection activeCell="A25" sqref="A25"/>
    </sheetView>
  </sheetViews>
  <sheetFormatPr baseColWidth="10" defaultRowHeight="15"/>
  <cols>
    <col min="1" max="16384" width="11.42578125" style="305"/>
  </cols>
  <sheetData>
    <row r="1" spans="1:7">
      <c r="A1" s="303" t="s">
        <v>799</v>
      </c>
      <c r="B1" s="304"/>
      <c r="C1" s="304"/>
      <c r="D1" s="304"/>
      <c r="E1" s="304"/>
      <c r="F1" s="304"/>
      <c r="G1" s="304"/>
    </row>
    <row r="2" spans="1:7">
      <c r="A2" s="303" t="s">
        <v>800</v>
      </c>
      <c r="B2" s="304"/>
      <c r="C2" s="304"/>
      <c r="D2" s="304"/>
      <c r="E2" s="304"/>
      <c r="F2" s="304"/>
      <c r="G2" s="304"/>
    </row>
    <row r="3" spans="1:7">
      <c r="A3" s="304"/>
      <c r="B3" s="304"/>
      <c r="C3" s="304"/>
      <c r="D3" s="304"/>
      <c r="E3" s="304"/>
      <c r="F3" s="304"/>
      <c r="G3" s="304"/>
    </row>
    <row r="4" spans="1:7">
      <c r="A4" s="304"/>
      <c r="B4" s="304"/>
      <c r="C4" s="304"/>
      <c r="D4" s="304"/>
      <c r="E4" s="304"/>
      <c r="F4" s="304"/>
      <c r="G4" s="304"/>
    </row>
    <row r="5" spans="1:7">
      <c r="A5" s="304"/>
      <c r="B5" s="304"/>
      <c r="C5" s="304"/>
      <c r="D5" s="304"/>
      <c r="E5" s="304"/>
      <c r="F5" s="304"/>
      <c r="G5" s="304"/>
    </row>
    <row r="6" spans="1:7">
      <c r="A6" s="304"/>
      <c r="B6" s="304"/>
      <c r="C6" s="304"/>
      <c r="D6" s="304"/>
      <c r="E6" s="304"/>
      <c r="F6" s="304"/>
      <c r="G6" s="304"/>
    </row>
    <row r="7" spans="1:7">
      <c r="A7" s="304"/>
      <c r="B7" s="304"/>
      <c r="C7" s="304"/>
      <c r="D7" s="304"/>
      <c r="E7" s="304"/>
      <c r="F7" s="304"/>
      <c r="G7" s="304"/>
    </row>
    <row r="8" spans="1:7">
      <c r="A8" s="304"/>
      <c r="B8" s="304"/>
      <c r="C8" s="304"/>
      <c r="D8" s="304"/>
      <c r="E8" s="304"/>
      <c r="F8" s="304"/>
      <c r="G8" s="304"/>
    </row>
    <row r="9" spans="1:7">
      <c r="A9" s="306" t="s">
        <v>801</v>
      </c>
      <c r="B9" s="304"/>
      <c r="C9" s="304"/>
      <c r="D9" s="304"/>
      <c r="E9" s="304"/>
      <c r="F9" s="304"/>
      <c r="G9" s="304"/>
    </row>
    <row r="10" spans="1:7">
      <c r="A10" s="307" t="s">
        <v>802</v>
      </c>
      <c r="B10" s="304"/>
      <c r="C10" s="304"/>
      <c r="D10" s="304"/>
      <c r="E10" s="304"/>
      <c r="F10" s="304"/>
      <c r="G10" s="304"/>
    </row>
    <row r="11" spans="1:7">
      <c r="A11" s="306"/>
      <c r="B11" s="304"/>
      <c r="C11" s="304"/>
      <c r="D11" s="304"/>
      <c r="E11" s="304"/>
      <c r="F11" s="304"/>
      <c r="G11" s="304"/>
    </row>
    <row r="12" spans="1:7">
      <c r="A12" s="306" t="s">
        <v>803</v>
      </c>
      <c r="B12" s="304"/>
      <c r="C12" s="304"/>
      <c r="D12" s="304"/>
      <c r="E12" s="304"/>
      <c r="F12" s="304"/>
      <c r="G12" s="304"/>
    </row>
    <row r="13" spans="1:7">
      <c r="A13" s="306" t="s">
        <v>804</v>
      </c>
      <c r="B13" s="304"/>
      <c r="C13" s="304"/>
      <c r="D13" s="304"/>
      <c r="E13" s="304"/>
      <c r="F13" s="304"/>
      <c r="G13" s="304"/>
    </row>
    <row r="14" spans="1:7">
      <c r="A14" s="306" t="s">
        <v>805</v>
      </c>
      <c r="B14" s="304"/>
      <c r="C14" s="304"/>
      <c r="D14" s="304"/>
      <c r="E14" s="304"/>
      <c r="F14" s="304"/>
      <c r="G14" s="304"/>
    </row>
    <row r="15" spans="1:7">
      <c r="A15" s="306"/>
      <c r="B15" s="304"/>
      <c r="C15" s="304"/>
      <c r="D15" s="304"/>
      <c r="E15" s="304"/>
      <c r="F15" s="304"/>
      <c r="G15" s="304"/>
    </row>
    <row r="16" spans="1:7">
      <c r="A16" s="306" t="s">
        <v>806</v>
      </c>
      <c r="B16" s="304"/>
      <c r="C16" s="304"/>
      <c r="D16" s="304"/>
      <c r="E16" s="304"/>
      <c r="F16" s="304"/>
      <c r="G16" s="304"/>
    </row>
    <row r="17" spans="1:7">
      <c r="A17" s="306" t="s">
        <v>807</v>
      </c>
      <c r="B17" s="304"/>
      <c r="C17" s="304"/>
      <c r="D17" s="304"/>
      <c r="E17" s="304"/>
      <c r="F17" s="304"/>
      <c r="G17" s="304"/>
    </row>
    <row r="18" spans="1:7">
      <c r="A18" s="306" t="s">
        <v>808</v>
      </c>
      <c r="B18" s="304"/>
      <c r="C18" s="304"/>
      <c r="D18" s="304"/>
      <c r="E18" s="304"/>
      <c r="F18" s="304"/>
      <c r="G18" s="304"/>
    </row>
    <row r="19" spans="1:7">
      <c r="A19" s="306" t="s">
        <v>809</v>
      </c>
      <c r="B19" s="304"/>
      <c r="C19" s="304"/>
      <c r="D19" s="304"/>
      <c r="E19" s="304"/>
      <c r="F19" s="304"/>
      <c r="G19" s="304"/>
    </row>
    <row r="20" spans="1:7">
      <c r="A20" s="304"/>
      <c r="B20" s="304"/>
      <c r="C20" s="304"/>
      <c r="D20" s="304"/>
      <c r="E20" s="304"/>
      <c r="F20" s="304"/>
      <c r="G20" s="304"/>
    </row>
    <row r="21" spans="1:7">
      <c r="A21" s="308" t="s">
        <v>810</v>
      </c>
      <c r="B21" s="304"/>
      <c r="C21" s="304"/>
      <c r="D21" s="304"/>
      <c r="E21" s="304"/>
      <c r="F21" s="304"/>
      <c r="G21" s="304"/>
    </row>
    <row r="22" spans="1:7">
      <c r="A22" s="304"/>
      <c r="B22" s="304"/>
      <c r="C22" s="304"/>
      <c r="D22" s="304"/>
      <c r="E22" s="304"/>
      <c r="F22" s="304"/>
      <c r="G22" s="304"/>
    </row>
  </sheetData>
  <hyperlinks>
    <hyperlink ref="A21" r:id="rId1"/>
  </hyperlinks>
  <pageMargins left="0.7" right="0.7" top="0.78740157499999996" bottom="0.78740157499999996" header="0.3" footer="0.3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4" sqref="C4"/>
    </sheetView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96"/>
  <sheetViews>
    <sheetView zoomScaleNormal="100" workbookViewId="0">
      <selection activeCell="A3" sqref="A3"/>
    </sheetView>
  </sheetViews>
  <sheetFormatPr baseColWidth="10" defaultColWidth="11.42578125" defaultRowHeight="12.75"/>
  <cols>
    <col min="1" max="1" width="39.28515625" customWidth="1"/>
    <col min="2" max="2" width="32.7109375" customWidth="1"/>
    <col min="3" max="3" width="10" customWidth="1"/>
    <col min="4" max="4" width="8.28515625" customWidth="1"/>
    <col min="5" max="5" width="12" bestFit="1" customWidth="1"/>
    <col min="6" max="6" width="11.5703125" bestFit="1" customWidth="1"/>
    <col min="7" max="9" width="11.42578125" customWidth="1"/>
    <col min="10" max="10" width="15.7109375" customWidth="1"/>
  </cols>
  <sheetData>
    <row r="1" spans="1:7" ht="15.75">
      <c r="A1" s="101" t="s">
        <v>297</v>
      </c>
    </row>
    <row r="2" spans="1:7">
      <c r="A2" s="12" t="s">
        <v>234</v>
      </c>
    </row>
    <row r="3" spans="1:7" ht="13.5" thickBot="1">
      <c r="B3" s="12"/>
    </row>
    <row r="4" spans="1:7">
      <c r="A4" s="114" t="s">
        <v>786</v>
      </c>
      <c r="B4" s="59"/>
      <c r="C4" s="60"/>
      <c r="E4" s="301" t="s">
        <v>797</v>
      </c>
      <c r="F4" s="204"/>
      <c r="G4" s="205"/>
    </row>
    <row r="5" spans="1:7" ht="13.5" thickBot="1">
      <c r="A5" s="61" t="s">
        <v>212</v>
      </c>
      <c r="B5" s="58"/>
      <c r="C5" s="62"/>
      <c r="E5" s="302" t="s">
        <v>798</v>
      </c>
      <c r="F5" s="206"/>
      <c r="G5" s="207"/>
    </row>
    <row r="6" spans="1:7">
      <c r="A6" s="61" t="s">
        <v>110</v>
      </c>
      <c r="B6" s="58"/>
      <c r="C6" s="62"/>
    </row>
    <row r="7" spans="1:7">
      <c r="A7" s="61" t="s">
        <v>111</v>
      </c>
      <c r="B7" s="58"/>
      <c r="C7" s="62"/>
    </row>
    <row r="8" spans="1:7" ht="13.5" thickBot="1">
      <c r="A8" s="63" t="s">
        <v>112</v>
      </c>
      <c r="B8" s="64"/>
      <c r="C8" s="65"/>
    </row>
    <row r="9" spans="1:7">
      <c r="A9" s="57"/>
    </row>
    <row r="10" spans="1:7">
      <c r="A10" s="9" t="s">
        <v>113</v>
      </c>
    </row>
    <row r="11" spans="1:7" ht="15.75">
      <c r="A11" t="s">
        <v>114</v>
      </c>
      <c r="B11" t="s">
        <v>36</v>
      </c>
      <c r="C11" s="276">
        <v>1.7</v>
      </c>
      <c r="D11" s="42" t="s">
        <v>231</v>
      </c>
    </row>
    <row r="12" spans="1:7">
      <c r="A12" t="s">
        <v>115</v>
      </c>
      <c r="B12" t="s">
        <v>39</v>
      </c>
      <c r="C12" s="10">
        <f>3.6/1.852</f>
        <v>1.9438444924406046</v>
      </c>
      <c r="D12" t="s">
        <v>3</v>
      </c>
    </row>
    <row r="13" spans="1:7">
      <c r="C13" s="10"/>
    </row>
    <row r="14" spans="1:7">
      <c r="A14" s="12" t="s">
        <v>116</v>
      </c>
      <c r="C14" s="275" t="s">
        <v>229</v>
      </c>
      <c r="D14" s="216"/>
      <c r="E14" s="8" t="s">
        <v>233</v>
      </c>
    </row>
    <row r="15" spans="1:7" ht="15.75">
      <c r="A15" t="s">
        <v>117</v>
      </c>
      <c r="B15" t="s">
        <v>37</v>
      </c>
      <c r="C15" s="267">
        <v>1448</v>
      </c>
      <c r="D15" s="267" t="s">
        <v>1</v>
      </c>
      <c r="E15" s="11"/>
    </row>
    <row r="16" spans="1:7" ht="15.75">
      <c r="A16" t="s">
        <v>118</v>
      </c>
      <c r="B16" s="19" t="s">
        <v>38</v>
      </c>
      <c r="C16" s="11">
        <f>C11*SQRT(C15)</f>
        <v>64.689411807497521</v>
      </c>
      <c r="D16" t="s">
        <v>2</v>
      </c>
    </row>
    <row r="17" spans="1:8" ht="15.75">
      <c r="A17" t="s">
        <v>118</v>
      </c>
      <c r="B17" s="19" t="s">
        <v>38</v>
      </c>
      <c r="C17" s="44">
        <f>C16*C12</f>
        <v>125.74615686122628</v>
      </c>
      <c r="D17" s="38" t="s">
        <v>4</v>
      </c>
    </row>
    <row r="18" spans="1:8">
      <c r="B18" s="19"/>
      <c r="C18" s="37"/>
      <c r="D18" s="38"/>
    </row>
    <row r="19" spans="1:8">
      <c r="A19" s="12" t="s">
        <v>119</v>
      </c>
      <c r="C19" s="40" t="str">
        <f>IF(C14="yes","no","yes")</f>
        <v>no</v>
      </c>
      <c r="D19" s="38"/>
    </row>
    <row r="20" spans="1:8" ht="15.75">
      <c r="A20" t="s">
        <v>118</v>
      </c>
      <c r="B20" t="s">
        <v>38</v>
      </c>
      <c r="C20" s="281">
        <v>117.3</v>
      </c>
      <c r="D20" s="267" t="s">
        <v>4</v>
      </c>
    </row>
    <row r="21" spans="1:8" ht="15.75">
      <c r="A21" t="s">
        <v>118</v>
      </c>
      <c r="B21" s="19" t="s">
        <v>38</v>
      </c>
      <c r="C21" s="43">
        <f>C20/C12</f>
        <v>60.344333333333338</v>
      </c>
      <c r="D21" t="s">
        <v>2</v>
      </c>
    </row>
    <row r="22" spans="1:8" ht="15.75">
      <c r="A22" t="s">
        <v>117</v>
      </c>
      <c r="B22" t="s">
        <v>37</v>
      </c>
      <c r="C22" s="37">
        <f>(C21/C11)^2</f>
        <v>1260.0133444444446</v>
      </c>
      <c r="D22" s="38" t="s">
        <v>1</v>
      </c>
    </row>
    <row r="23" spans="1:8">
      <c r="B23" s="19"/>
      <c r="C23" s="41"/>
      <c r="D23" s="19"/>
    </row>
    <row r="24" spans="1:8">
      <c r="C24" s="19"/>
      <c r="D24" s="19"/>
    </row>
    <row r="25" spans="1:8" ht="15.75">
      <c r="A25" s="9" t="s">
        <v>120</v>
      </c>
      <c r="E25" t="s">
        <v>340</v>
      </c>
    </row>
    <row r="26" spans="1:8" ht="15.75">
      <c r="A26" t="s">
        <v>117</v>
      </c>
      <c r="B26" t="s">
        <v>37</v>
      </c>
      <c r="C26" s="5">
        <f>C15</f>
        <v>1448</v>
      </c>
      <c r="D26" t="s">
        <v>1</v>
      </c>
      <c r="F26" s="107"/>
    </row>
    <row r="27" spans="1:8" ht="15.75">
      <c r="A27" t="s">
        <v>121</v>
      </c>
      <c r="B27" s="3" t="s">
        <v>108</v>
      </c>
      <c r="C27" s="267">
        <v>0</v>
      </c>
      <c r="D27" s="267" t="s">
        <v>17</v>
      </c>
      <c r="G27" s="13" t="s">
        <v>341</v>
      </c>
    </row>
    <row r="28" spans="1:8">
      <c r="A28" t="s">
        <v>122</v>
      </c>
      <c r="B28" s="3" t="s">
        <v>21</v>
      </c>
      <c r="C28" s="10">
        <f>288.15/(288.15+C27)</f>
        <v>1</v>
      </c>
    </row>
    <row r="29" spans="1:8" ht="15.75">
      <c r="A29" t="s">
        <v>114</v>
      </c>
      <c r="B29" t="s">
        <v>40</v>
      </c>
      <c r="C29" s="265">
        <v>0.13700000000000001</v>
      </c>
      <c r="D29" t="s">
        <v>5</v>
      </c>
    </row>
    <row r="30" spans="1:8" ht="15.75">
      <c r="A30" t="s">
        <v>220</v>
      </c>
      <c r="B30" s="13" t="s">
        <v>342</v>
      </c>
      <c r="C30" s="266">
        <v>3.4077000000000002</v>
      </c>
      <c r="H30" s="19"/>
    </row>
    <row r="31" spans="1:8" ht="15.75">
      <c r="A31" t="s">
        <v>123</v>
      </c>
      <c r="B31" t="s">
        <v>51</v>
      </c>
      <c r="C31" s="265">
        <v>0.93</v>
      </c>
    </row>
    <row r="32" spans="1:8" ht="15.75">
      <c r="A32" t="s">
        <v>124</v>
      </c>
      <c r="B32" s="19" t="s">
        <v>50</v>
      </c>
      <c r="C32" s="49">
        <f>C29*C28*C30*C26</f>
        <v>676.00589520000005</v>
      </c>
      <c r="D32" s="38" t="s">
        <v>6</v>
      </c>
      <c r="H32" s="84" t="s">
        <v>272</v>
      </c>
    </row>
    <row r="33" spans="1:8" ht="15.75">
      <c r="A33" t="s">
        <v>125</v>
      </c>
      <c r="B33" s="19" t="s">
        <v>52</v>
      </c>
      <c r="C33" s="49">
        <f>C32/C31</f>
        <v>726.88805935483867</v>
      </c>
      <c r="D33" s="38" t="s">
        <v>6</v>
      </c>
      <c r="H33" s="84" t="s">
        <v>339</v>
      </c>
    </row>
    <row r="34" spans="1:8">
      <c r="H34" s="84" t="s">
        <v>271</v>
      </c>
    </row>
    <row r="35" spans="1:8">
      <c r="H35" s="84"/>
    </row>
    <row r="36" spans="1:8">
      <c r="A36" s="9" t="s">
        <v>126</v>
      </c>
    </row>
    <row r="37" spans="1:8" ht="15.75">
      <c r="A37" t="s">
        <v>127</v>
      </c>
      <c r="B37" t="s">
        <v>42</v>
      </c>
      <c r="C37" s="267">
        <v>1768</v>
      </c>
      <c r="D37" s="267" t="s">
        <v>1</v>
      </c>
    </row>
    <row r="38" spans="1:8" ht="15.75">
      <c r="A38" t="s">
        <v>128</v>
      </c>
      <c r="B38" s="3" t="s">
        <v>109</v>
      </c>
      <c r="C38" s="267">
        <v>0</v>
      </c>
      <c r="D38" s="267" t="s">
        <v>17</v>
      </c>
    </row>
    <row r="39" spans="1:8">
      <c r="A39" t="s">
        <v>122</v>
      </c>
      <c r="B39" s="3" t="s">
        <v>21</v>
      </c>
      <c r="C39" s="10">
        <f>288.15/(288.15+C38)</f>
        <v>1</v>
      </c>
      <c r="H39" s="84" t="s">
        <v>273</v>
      </c>
    </row>
    <row r="40" spans="1:8" ht="15.75">
      <c r="A40" t="s">
        <v>114</v>
      </c>
      <c r="B40" t="s">
        <v>263</v>
      </c>
      <c r="C40" s="42">
        <v>2.34</v>
      </c>
      <c r="D40" s="42" t="s">
        <v>7</v>
      </c>
      <c r="E40" s="14"/>
      <c r="H40" s="84" t="s">
        <v>338</v>
      </c>
    </row>
    <row r="41" spans="1:8" ht="15.75">
      <c r="A41" t="s">
        <v>129</v>
      </c>
      <c r="B41" t="s">
        <v>53</v>
      </c>
      <c r="C41">
        <f>0.8*C30</f>
        <v>2.7261600000000001</v>
      </c>
      <c r="H41" s="84" t="s">
        <v>306</v>
      </c>
    </row>
    <row r="42" spans="1:8" ht="15.75">
      <c r="A42" t="s">
        <v>332</v>
      </c>
      <c r="B42" t="s">
        <v>41</v>
      </c>
      <c r="C42" s="282">
        <v>2.87</v>
      </c>
      <c r="D42" s="14"/>
    </row>
    <row r="43" spans="1:8" ht="15.75">
      <c r="A43" t="s">
        <v>318</v>
      </c>
      <c r="B43" s="13" t="s">
        <v>334</v>
      </c>
      <c r="C43" s="129">
        <f>C16/1.3</f>
        <v>49.761086005767325</v>
      </c>
      <c r="D43" t="s">
        <v>2</v>
      </c>
    </row>
    <row r="44" spans="1:8" ht="15.75">
      <c r="A44" t="s">
        <v>319</v>
      </c>
      <c r="B44" s="13" t="s">
        <v>335</v>
      </c>
      <c r="C44" s="129">
        <f>C43*SQRT(C30/C42)</f>
        <v>54.222505161374649</v>
      </c>
      <c r="D44" t="s">
        <v>2</v>
      </c>
      <c r="E44" s="1"/>
    </row>
    <row r="45" spans="1:8" ht="15.75">
      <c r="A45" s="149" t="s">
        <v>333</v>
      </c>
      <c r="B45" s="150" t="s">
        <v>336</v>
      </c>
      <c r="C45" s="235">
        <f>1.2*C44</f>
        <v>65.067006193649576</v>
      </c>
      <c r="D45" s="236" t="s">
        <v>2</v>
      </c>
      <c r="E45" s="165"/>
      <c r="F45" s="152"/>
      <c r="G45" s="166" t="s">
        <v>350</v>
      </c>
      <c r="H45" s="153"/>
    </row>
    <row r="46" spans="1:8" ht="15.75">
      <c r="A46" s="156" t="s">
        <v>375</v>
      </c>
      <c r="B46" s="155" t="s">
        <v>376</v>
      </c>
      <c r="C46" s="208">
        <f>C45*SQRT(0.5)</f>
        <v>46.009321311036707</v>
      </c>
      <c r="D46" s="199" t="s">
        <v>2</v>
      </c>
      <c r="E46" s="156"/>
      <c r="F46" s="156"/>
      <c r="G46" s="209"/>
      <c r="H46" s="157"/>
    </row>
    <row r="47" spans="1:8" ht="15.75">
      <c r="A47" s="154" t="s">
        <v>345</v>
      </c>
      <c r="B47" s="155" t="s">
        <v>346</v>
      </c>
      <c r="C47" s="232">
        <f ca="1">'8.1.) Thrust Device'!C7</f>
        <v>6.0021607739224203</v>
      </c>
      <c r="D47" s="231" t="s">
        <v>1</v>
      </c>
      <c r="E47" s="156"/>
      <c r="F47" s="156"/>
      <c r="G47" s="156"/>
      <c r="H47" s="157"/>
    </row>
    <row r="48" spans="1:8" ht="15.75">
      <c r="A48" s="154" t="s">
        <v>343</v>
      </c>
      <c r="B48" s="155" t="s">
        <v>347</v>
      </c>
      <c r="C48" s="233">
        <f ca="1">C47^2*PI()/4</f>
        <v>28.294702363730366</v>
      </c>
      <c r="D48" s="234" t="s">
        <v>29</v>
      </c>
      <c r="E48" s="156"/>
      <c r="F48" s="156"/>
      <c r="G48" s="156"/>
      <c r="H48" s="157"/>
    </row>
    <row r="49" spans="1:13" ht="15.75">
      <c r="A49" s="196" t="s">
        <v>281</v>
      </c>
      <c r="B49" s="164" t="s">
        <v>316</v>
      </c>
      <c r="C49" s="230">
        <f ca="1">'3.) Preliminary Sizing II'!C133</f>
        <v>17303353.326263398</v>
      </c>
      <c r="D49" s="231" t="s">
        <v>287</v>
      </c>
      <c r="E49" s="156"/>
      <c r="F49" s="156"/>
      <c r="G49" s="156"/>
      <c r="H49" s="157"/>
    </row>
    <row r="50" spans="1:13" ht="15.75">
      <c r="A50" s="154" t="s">
        <v>344</v>
      </c>
      <c r="B50" s="155" t="s">
        <v>348</v>
      </c>
      <c r="C50" s="198">
        <f ca="1">C49/(C39*1.225*C48)</f>
        <v>499216.64512339421</v>
      </c>
      <c r="D50" s="199" t="s">
        <v>591</v>
      </c>
      <c r="E50" s="156"/>
      <c r="F50" s="156"/>
      <c r="G50" s="156"/>
      <c r="H50" s="157"/>
    </row>
    <row r="51" spans="1:13" ht="15.75">
      <c r="A51" s="158" t="s">
        <v>253</v>
      </c>
      <c r="B51" s="159" t="s">
        <v>337</v>
      </c>
      <c r="C51" s="237">
        <f ca="1">'8.1.) Thrust Device'!C16</f>
        <v>0.55243734238429787</v>
      </c>
      <c r="D51" s="160"/>
      <c r="E51" s="203" t="s">
        <v>596</v>
      </c>
      <c r="F51" s="162"/>
      <c r="G51" s="162"/>
      <c r="H51" s="163"/>
    </row>
    <row r="52" spans="1:13">
      <c r="A52" t="s">
        <v>219</v>
      </c>
      <c r="B52" s="19" t="s">
        <v>0</v>
      </c>
      <c r="C52" s="39">
        <f ca="1">(C40*1.2*C44*9.81)/(C37*C39*C42*SQRT(2)*C51)</f>
        <v>0.37677623932131526</v>
      </c>
      <c r="D52" s="38" t="s">
        <v>5</v>
      </c>
    </row>
    <row r="53" spans="1:13" ht="15.75">
      <c r="A53" t="s">
        <v>270</v>
      </c>
      <c r="B53" s="76" t="s">
        <v>320</v>
      </c>
      <c r="C53" s="44">
        <f ca="1">C52*C33</f>
        <v>273.87414941128509</v>
      </c>
      <c r="D53" s="38" t="s">
        <v>321</v>
      </c>
    </row>
    <row r="54" spans="1:13">
      <c r="B54" s="76"/>
      <c r="C54" s="39"/>
      <c r="D54" s="14"/>
      <c r="J54" s="81"/>
      <c r="K54" s="81"/>
      <c r="L54" s="81"/>
      <c r="M54" s="81"/>
    </row>
    <row r="55" spans="1:13">
      <c r="D55" s="14"/>
    </row>
    <row r="56" spans="1:13">
      <c r="A56" s="9" t="s">
        <v>130</v>
      </c>
    </row>
    <row r="57" spans="1:13">
      <c r="A57" s="12" t="s">
        <v>131</v>
      </c>
    </row>
    <row r="58" spans="1:13">
      <c r="A58" t="s">
        <v>132</v>
      </c>
      <c r="B58" t="s">
        <v>8</v>
      </c>
      <c r="C58" s="267">
        <v>16</v>
      </c>
    </row>
    <row r="59" spans="1:13" ht="15.75">
      <c r="A59" t="s">
        <v>133</v>
      </c>
      <c r="B59" t="s">
        <v>54</v>
      </c>
      <c r="C59" s="97">
        <f>C42/1.2^2</f>
        <v>1.9930555555555558</v>
      </c>
    </row>
    <row r="60" spans="1:13" ht="15.75">
      <c r="A60" t="s">
        <v>134</v>
      </c>
      <c r="B60" t="s">
        <v>238</v>
      </c>
      <c r="C60" s="83">
        <f ca="1">'3.) Preliminary Sizing II'!C10</f>
        <v>5.0894351695829683E-2</v>
      </c>
      <c r="E60" s="33" t="s">
        <v>43</v>
      </c>
      <c r="F60" s="30" t="s">
        <v>45</v>
      </c>
    </row>
    <row r="61" spans="1:13">
      <c r="A61" t="s">
        <v>236</v>
      </c>
      <c r="B61" t="s">
        <v>237</v>
      </c>
      <c r="C61" s="83">
        <f>C30/1.3^2</f>
        <v>2.0163905325443787</v>
      </c>
      <c r="E61" s="77"/>
      <c r="F61" s="78"/>
    </row>
    <row r="62" spans="1:13" ht="15.75">
      <c r="A62" t="s">
        <v>136</v>
      </c>
      <c r="B62" s="3" t="s">
        <v>55</v>
      </c>
      <c r="C62" s="10">
        <f>IF(0.05*(C61-1.3)+0.01&lt;0, 0, 0.05*(C59-1.3)+0.01)</f>
        <v>4.4652777777777791E-2</v>
      </c>
      <c r="E62" s="24">
        <v>2</v>
      </c>
      <c r="F62" s="21">
        <v>2.4E-2</v>
      </c>
    </row>
    <row r="63" spans="1:13" ht="15.75">
      <c r="A63" t="s">
        <v>135</v>
      </c>
      <c r="B63" s="3" t="s">
        <v>56</v>
      </c>
      <c r="C63" s="45">
        <v>0</v>
      </c>
      <c r="E63" s="24">
        <v>3</v>
      </c>
      <c r="F63" s="21">
        <v>2.7E-2</v>
      </c>
    </row>
    <row r="64" spans="1:13" ht="17.25">
      <c r="A64" t="s">
        <v>137</v>
      </c>
      <c r="B64" t="s">
        <v>44</v>
      </c>
      <c r="C64" s="16">
        <f ca="1">C60+C62+C63</f>
        <v>9.5547129473607467E-2</v>
      </c>
      <c r="E64" s="25">
        <v>4</v>
      </c>
      <c r="F64" s="31">
        <v>0.03</v>
      </c>
      <c r="J64" s="227"/>
    </row>
    <row r="65" spans="1:9">
      <c r="C65" s="16"/>
      <c r="E65" s="7"/>
      <c r="F65" s="80"/>
    </row>
    <row r="66" spans="1:9">
      <c r="A66" t="s">
        <v>138</v>
      </c>
      <c r="B66" t="s">
        <v>102</v>
      </c>
      <c r="C66" s="42">
        <v>0.7</v>
      </c>
      <c r="F66" s="4"/>
    </row>
    <row r="67" spans="1:9" ht="15.75">
      <c r="A67" t="s">
        <v>139</v>
      </c>
      <c r="B67" t="s">
        <v>58</v>
      </c>
      <c r="C67" s="4">
        <f ca="1">C59/(C64+C59^2/PI()/C58/C66)</f>
        <v>9.5617185968858838</v>
      </c>
    </row>
    <row r="68" spans="1:9">
      <c r="C68" s="4"/>
    </row>
    <row r="69" spans="1:9">
      <c r="A69" s="12" t="s">
        <v>277</v>
      </c>
      <c r="C69" s="4"/>
    </row>
    <row r="70" spans="1:9" ht="15.75">
      <c r="A70" t="s">
        <v>140</v>
      </c>
      <c r="B70" t="s">
        <v>43</v>
      </c>
      <c r="C70" s="267">
        <v>2</v>
      </c>
    </row>
    <row r="71" spans="1:9" ht="15.75">
      <c r="A71" s="149" t="s">
        <v>333</v>
      </c>
      <c r="B71" s="150" t="s">
        <v>336</v>
      </c>
      <c r="C71" s="200">
        <f>C45</f>
        <v>65.067006193649576</v>
      </c>
      <c r="D71" s="201" t="s">
        <v>2</v>
      </c>
      <c r="E71" s="151" t="s">
        <v>377</v>
      </c>
      <c r="F71" s="152"/>
      <c r="G71" s="166" t="s">
        <v>350</v>
      </c>
      <c r="H71" s="153"/>
    </row>
    <row r="72" spans="1:9" ht="15.75">
      <c r="A72" s="154" t="s">
        <v>344</v>
      </c>
      <c r="B72" s="155" t="s">
        <v>348</v>
      </c>
      <c r="C72" s="198">
        <f ca="1">C50</f>
        <v>499216.64512339421</v>
      </c>
      <c r="D72" s="199" t="s">
        <v>367</v>
      </c>
      <c r="E72" s="156" t="s">
        <v>377</v>
      </c>
      <c r="F72" s="156"/>
      <c r="G72" s="156"/>
      <c r="H72" s="157"/>
    </row>
    <row r="73" spans="1:9">
      <c r="A73" s="170" t="s">
        <v>282</v>
      </c>
      <c r="B73" s="162" t="s">
        <v>283</v>
      </c>
      <c r="C73" s="237">
        <f ca="1">'8.1.) Thrust Device'!C17</f>
        <v>0.66565937437389411</v>
      </c>
      <c r="D73" s="162"/>
      <c r="E73" s="203" t="s">
        <v>597</v>
      </c>
      <c r="F73" s="162"/>
      <c r="G73" s="162"/>
      <c r="H73" s="163"/>
    </row>
    <row r="74" spans="1:9">
      <c r="A74" t="s">
        <v>141</v>
      </c>
      <c r="B74" t="s">
        <v>45</v>
      </c>
      <c r="C74">
        <f>IF(C70&gt;=4,F64,IF(C70=3,F63,IF(C70=2,F62)))</f>
        <v>2.4E-2</v>
      </c>
    </row>
    <row r="75" spans="1:9" ht="15.75">
      <c r="A75" s="19" t="s">
        <v>270</v>
      </c>
      <c r="B75" s="19" t="s">
        <v>235</v>
      </c>
      <c r="C75" s="44">
        <f ca="1">(C70/(C70-1))*(1/C67+C74)*(C45*9.81/C73)</f>
        <v>246.60037113873466</v>
      </c>
      <c r="D75" s="38" t="s">
        <v>321</v>
      </c>
      <c r="I75" s="84" t="s">
        <v>274</v>
      </c>
    </row>
    <row r="76" spans="1:9">
      <c r="B76">
        <v>2</v>
      </c>
      <c r="I76" s="84" t="s">
        <v>275</v>
      </c>
    </row>
    <row r="77" spans="1:9">
      <c r="I77" s="84" t="s">
        <v>276</v>
      </c>
    </row>
    <row r="78" spans="1:9">
      <c r="A78" s="9" t="s">
        <v>142</v>
      </c>
    </row>
    <row r="79" spans="1:9">
      <c r="A79" s="12" t="s">
        <v>143</v>
      </c>
    </row>
    <row r="80" spans="1:9" ht="15.75">
      <c r="A80" t="s">
        <v>144</v>
      </c>
      <c r="B80" t="s">
        <v>59</v>
      </c>
      <c r="C80" s="4">
        <f>C30/1.3^2</f>
        <v>2.0163905325443787</v>
      </c>
      <c r="E80" s="32"/>
      <c r="F80" s="26"/>
      <c r="G80" s="30" t="s">
        <v>62</v>
      </c>
      <c r="H80" s="30" t="s">
        <v>63</v>
      </c>
    </row>
    <row r="81" spans="1:8" ht="15.75">
      <c r="A81" t="s">
        <v>134</v>
      </c>
      <c r="B81" t="s">
        <v>60</v>
      </c>
      <c r="C81" s="83">
        <f ca="1">'3.) Preliminary Sizing II'!C10</f>
        <v>5.0894351695829683E-2</v>
      </c>
      <c r="E81" s="46" t="s">
        <v>57</v>
      </c>
      <c r="F81" s="1"/>
      <c r="G81" s="73">
        <v>0</v>
      </c>
      <c r="H81" s="72">
        <v>1.4999999999999999E-2</v>
      </c>
    </row>
    <row r="82" spans="1:8" ht="15.75">
      <c r="A82" t="s">
        <v>136</v>
      </c>
      <c r="B82" s="3" t="s">
        <v>55</v>
      </c>
      <c r="C82" s="10">
        <f>IF(0.05*(C80-1.3)+0.01&lt;0, 0, 0.05*(C80-1.3)+0.01)</f>
        <v>4.5819526627218936E-2</v>
      </c>
    </row>
    <row r="83" spans="1:8" ht="15.75">
      <c r="A83" t="s">
        <v>135</v>
      </c>
      <c r="B83" s="3" t="s">
        <v>56</v>
      </c>
      <c r="C83" s="45">
        <v>0</v>
      </c>
    </row>
    <row r="84" spans="1:8">
      <c r="A84" t="s">
        <v>145</v>
      </c>
      <c r="B84" t="s">
        <v>62</v>
      </c>
      <c r="C84" s="275" t="s">
        <v>230</v>
      </c>
      <c r="E84" s="8" t="s">
        <v>146</v>
      </c>
    </row>
    <row r="85" spans="1:8">
      <c r="B85" t="s">
        <v>63</v>
      </c>
      <c r="C85" s="40" t="str">
        <f>IF(C84="yes","no","yes")</f>
        <v>yes</v>
      </c>
    </row>
    <row r="86" spans="1:8" ht="15.75">
      <c r="A86" t="s">
        <v>147</v>
      </c>
      <c r="B86" s="3" t="s">
        <v>57</v>
      </c>
      <c r="C86" s="16">
        <f>IF(C84="yes",G81,H81)</f>
        <v>1.4999999999999999E-2</v>
      </c>
      <c r="E86" s="33" t="s">
        <v>43</v>
      </c>
      <c r="F86" s="30" t="s">
        <v>45</v>
      </c>
    </row>
    <row r="87" spans="1:8">
      <c r="B87" s="3"/>
      <c r="C87" s="16"/>
      <c r="E87" s="77"/>
      <c r="F87" s="78"/>
    </row>
    <row r="88" spans="1:8" ht="15.75">
      <c r="A88" t="s">
        <v>137</v>
      </c>
      <c r="B88" t="s">
        <v>44</v>
      </c>
      <c r="C88" s="16">
        <f ca="1">C81+C82+C83+C86</f>
        <v>0.11171387832304862</v>
      </c>
      <c r="E88" s="24">
        <v>2</v>
      </c>
      <c r="F88" s="21">
        <v>2.1000000000000001E-2</v>
      </c>
    </row>
    <row r="89" spans="1:8" ht="15.75">
      <c r="A89" t="s">
        <v>148</v>
      </c>
      <c r="B89" t="s">
        <v>61</v>
      </c>
      <c r="C89" s="4">
        <f ca="1">C80/(C88+C80^2/PI()/C58/C66)</f>
        <v>8.872344819449193</v>
      </c>
      <c r="E89" s="24">
        <v>3</v>
      </c>
      <c r="F89" s="21">
        <v>2.4E-2</v>
      </c>
    </row>
    <row r="90" spans="1:8">
      <c r="C90" s="4"/>
      <c r="E90" s="25">
        <v>4</v>
      </c>
      <c r="F90" s="31">
        <v>2.7E-2</v>
      </c>
    </row>
    <row r="91" spans="1:8">
      <c r="A91" s="12" t="s">
        <v>277</v>
      </c>
      <c r="C91" s="4"/>
      <c r="E91" s="57"/>
      <c r="F91" s="57"/>
    </row>
    <row r="92" spans="1:8" ht="15.75">
      <c r="A92" s="149" t="s">
        <v>118</v>
      </c>
      <c r="B92" s="168" t="s">
        <v>38</v>
      </c>
      <c r="C92" s="202">
        <f>C21</f>
        <v>60.344333333333338</v>
      </c>
      <c r="D92" s="201" t="s">
        <v>2</v>
      </c>
      <c r="E92" s="168"/>
      <c r="F92" s="172"/>
      <c r="G92" s="166" t="s">
        <v>350</v>
      </c>
      <c r="H92" s="153"/>
    </row>
    <row r="93" spans="1:8" ht="15.75">
      <c r="A93" s="154" t="s">
        <v>344</v>
      </c>
      <c r="B93" s="155" t="s">
        <v>348</v>
      </c>
      <c r="C93" s="198">
        <f ca="1">C49/(C28*1.225*C48)/1000</f>
        <v>499.21664512339419</v>
      </c>
      <c r="D93" s="199" t="s">
        <v>367</v>
      </c>
      <c r="E93" s="167" t="s">
        <v>351</v>
      </c>
      <c r="F93" s="169"/>
      <c r="G93" s="156"/>
      <c r="H93" s="157"/>
    </row>
    <row r="94" spans="1:8">
      <c r="A94" s="170" t="s">
        <v>284</v>
      </c>
      <c r="B94" s="162" t="s">
        <v>283</v>
      </c>
      <c r="C94" s="237">
        <f ca="1">'8.1.) Thrust Device'!C18</f>
        <v>0.64161265070519125</v>
      </c>
      <c r="D94" s="162"/>
      <c r="E94" s="161" t="s">
        <v>322</v>
      </c>
      <c r="F94" s="171"/>
      <c r="G94" s="162"/>
      <c r="H94" s="163"/>
    </row>
    <row r="95" spans="1:8">
      <c r="A95" t="s">
        <v>141</v>
      </c>
      <c r="B95" t="s">
        <v>45</v>
      </c>
      <c r="C95">
        <f>IF(C70&gt;=4,F90,IF(C70=3,F89,IF(C70=2,F88)))</f>
        <v>2.1000000000000001E-2</v>
      </c>
    </row>
    <row r="96" spans="1:8" ht="15.75">
      <c r="A96" t="s">
        <v>270</v>
      </c>
      <c r="B96" s="19" t="s">
        <v>235</v>
      </c>
      <c r="C96" s="44">
        <f ca="1">(C70/(C70-1))*(1/C89+C95)*C31*(C45*9.81/C94)</f>
        <v>247.41898464885219</v>
      </c>
      <c r="D96" s="38" t="s">
        <v>321</v>
      </c>
    </row>
  </sheetData>
  <phoneticPr fontId="5" type="noConversion"/>
  <dataValidations count="1">
    <dataValidation type="list" allowBlank="1" showInputMessage="1" showErrorMessage="1" sqref="C84 C14">
      <formula1>"yes, no"</formula1>
    </dataValidation>
  </dataValidations>
  <pageMargins left="0.75" right="0.75" top="0.87" bottom="1" header="0.4921259845" footer="0.4921259845"/>
  <pageSetup paperSize="9" scale="96" orientation="landscape" horizontalDpi="300" verticalDpi="300" r:id="rId1"/>
  <headerFooter alignWithMargins="0">
    <oddHeader>&amp;A</oddHeader>
    <oddFooter>Seite &amp;P</oddFooter>
  </headerFooter>
  <rowBreaks count="2" manualBreakCount="2">
    <brk id="35" max="16383" man="1"/>
    <brk id="76" max="16383" man="1"/>
  </rowBreaks>
  <drawing r:id="rId2"/>
  <legacyDrawing r:id="rId3"/>
  <oleObjects>
    <oleObject progId="Equation.DSMT4" shapeId="2092" r:id="rId4"/>
    <oleObject progId="Equation.DSMT4" shapeId="2093" r:id="rId5"/>
    <oleObject progId="Equation.DSMT4" shapeId="2095" r:id="rId6"/>
    <oleObject progId="Equation.DSMT4" shapeId="2097" r:id="rId7"/>
    <oleObject progId="Equation.DSMT4" shapeId="2098" r:id="rId8"/>
    <oleObject progId="Equation.DSMT4" shapeId="2101" r:id="rId9"/>
    <oleObject progId="Equation.DSMT4" shapeId="2102" r:id="rId10"/>
    <oleObject progId="Equation.DSMT4" shapeId="2103" r:id="rId11"/>
    <oleObject progId="Equation.DSMT4" shapeId="2104" r:id="rId12"/>
    <oleObject progId="Equation.DSMT4" shapeId="2112" r:id="rId13"/>
  </oleObjects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honeticPr fontId="5" type="noConversion"/>
  <pageMargins left="0.75" right="0.75" top="1" bottom="1" header="0.4921259845" footer="0.4921259845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P79"/>
  <sheetViews>
    <sheetView workbookViewId="0">
      <selection activeCell="A2" sqref="A2"/>
    </sheetView>
  </sheetViews>
  <sheetFormatPr baseColWidth="10" defaultColWidth="11.42578125" defaultRowHeight="12.75"/>
  <cols>
    <col min="1" max="1" width="40.5703125" customWidth="1"/>
    <col min="2" max="2" width="20.85546875" bestFit="1" customWidth="1"/>
    <col min="3" max="3" width="12" bestFit="1" customWidth="1"/>
    <col min="5" max="5" width="39" bestFit="1" customWidth="1"/>
    <col min="8" max="8" width="19.5703125" bestFit="1" customWidth="1"/>
    <col min="13" max="13" width="23.42578125" bestFit="1" customWidth="1"/>
  </cols>
  <sheetData>
    <row r="1" spans="1:4" ht="15.75">
      <c r="A1" s="101" t="s">
        <v>601</v>
      </c>
    </row>
    <row r="3" spans="1:4" ht="14.25">
      <c r="A3" s="12" t="s">
        <v>149</v>
      </c>
    </row>
    <row r="5" spans="1:4">
      <c r="A5" s="48" t="s">
        <v>150</v>
      </c>
    </row>
    <row r="6" spans="1:4" ht="15.75">
      <c r="A6" t="s">
        <v>151</v>
      </c>
      <c r="B6" t="s">
        <v>102</v>
      </c>
      <c r="C6" s="267">
        <v>0.75</v>
      </c>
    </row>
    <row r="7" spans="1:4" ht="15.75">
      <c r="A7" t="s">
        <v>153</v>
      </c>
      <c r="B7" t="s">
        <v>152</v>
      </c>
      <c r="C7" s="267">
        <v>3.0000000000000001E-3</v>
      </c>
      <c r="D7" t="s">
        <v>370</v>
      </c>
    </row>
    <row r="8" spans="1:4" ht="15.75">
      <c r="A8" t="s">
        <v>114</v>
      </c>
      <c r="B8" t="s">
        <v>64</v>
      </c>
      <c r="C8" s="50">
        <f>1/2*SQRT(PI()*C6/C7)</f>
        <v>14.012478040994822</v>
      </c>
    </row>
    <row r="10" spans="1:4">
      <c r="A10" s="48" t="s">
        <v>154</v>
      </c>
    </row>
    <row r="11" spans="1:4" ht="15.75">
      <c r="A11" t="s">
        <v>114</v>
      </c>
      <c r="B11" s="19" t="s">
        <v>278</v>
      </c>
      <c r="C11">
        <v>11.07</v>
      </c>
      <c r="D11" t="s">
        <v>368</v>
      </c>
    </row>
    <row r="13" spans="1:4">
      <c r="A13" s="48" t="s">
        <v>155</v>
      </c>
    </row>
    <row r="14" spans="1:4" ht="15.75">
      <c r="A14" t="s">
        <v>114</v>
      </c>
      <c r="B14" t="s">
        <v>64</v>
      </c>
      <c r="C14" s="283">
        <v>11.22</v>
      </c>
      <c r="D14" s="13" t="s">
        <v>369</v>
      </c>
    </row>
    <row r="16" spans="1:4" ht="14.25">
      <c r="A16" s="12" t="s">
        <v>156</v>
      </c>
    </row>
    <row r="18" spans="1:16" ht="15.75">
      <c r="A18" t="s">
        <v>114</v>
      </c>
      <c r="B18" t="s">
        <v>158</v>
      </c>
      <c r="C18" s="282">
        <v>14.2</v>
      </c>
      <c r="E18" s="8" t="s">
        <v>146</v>
      </c>
      <c r="M18" s="13"/>
    </row>
    <row r="19" spans="1:16" ht="15.75">
      <c r="A19" t="s">
        <v>157</v>
      </c>
      <c r="B19" t="s">
        <v>65</v>
      </c>
      <c r="C19" s="12">
        <f ca="1">'2.1.) Wetted Area'!C34</f>
        <v>6.8509996583470212</v>
      </c>
      <c r="E19" s="13" t="s">
        <v>602</v>
      </c>
    </row>
    <row r="20" spans="1:16">
      <c r="A20" t="s">
        <v>132</v>
      </c>
      <c r="B20" t="s">
        <v>8</v>
      </c>
      <c r="C20">
        <f>'1.) Preliminary Sizing I'!C58</f>
        <v>16</v>
      </c>
      <c r="E20" s="13" t="s">
        <v>590</v>
      </c>
      <c r="F20" s="84"/>
      <c r="M20" s="13"/>
    </row>
    <row r="21" spans="1:16" ht="15.75">
      <c r="A21" t="s">
        <v>701</v>
      </c>
      <c r="B21" s="13" t="s">
        <v>702</v>
      </c>
      <c r="C21" s="49">
        <f ca="1">C18*SQRT(C20/C19)</f>
        <v>21.700581060104508</v>
      </c>
      <c r="F21" s="84"/>
      <c r="M21" s="13"/>
      <c r="N21" s="13"/>
      <c r="P21" s="13"/>
    </row>
    <row r="22" spans="1:16">
      <c r="M22" s="13"/>
      <c r="N22" s="13"/>
    </row>
    <row r="23" spans="1:16">
      <c r="A23" s="13" t="s">
        <v>452</v>
      </c>
      <c r="B23" t="s">
        <v>102</v>
      </c>
      <c r="C23" s="42">
        <v>0.78300000000000003</v>
      </c>
      <c r="E23" s="8"/>
      <c r="M23" s="13"/>
    </row>
    <row r="24" spans="1:16">
      <c r="M24" s="13"/>
    </row>
    <row r="25" spans="1:16" ht="15.75">
      <c r="A25" s="13" t="s">
        <v>451</v>
      </c>
      <c r="B25" s="13" t="s">
        <v>499</v>
      </c>
      <c r="C25" s="215">
        <f ca="1">(PI()*C20*C23)/(4*C21^2)</f>
        <v>2.0894351695829691E-2</v>
      </c>
    </row>
    <row r="26" spans="1:16">
      <c r="A26" s="13"/>
      <c r="B26" s="13"/>
      <c r="M26" s="13"/>
    </row>
    <row r="27" spans="1:16">
      <c r="A27" s="13"/>
      <c r="B27" s="13"/>
    </row>
    <row r="28" spans="1:16">
      <c r="A28" s="220" t="s">
        <v>501</v>
      </c>
      <c r="B28" s="220"/>
    </row>
    <row r="29" spans="1:16">
      <c r="A29" s="13"/>
      <c r="B29" s="13"/>
      <c r="C29" s="13"/>
      <c r="D29" s="13"/>
    </row>
    <row r="30" spans="1:16" ht="15.75">
      <c r="A30" s="13" t="s">
        <v>453</v>
      </c>
      <c r="B30" s="13" t="s">
        <v>500</v>
      </c>
      <c r="C30" s="13">
        <v>0.03</v>
      </c>
      <c r="E30" s="13" t="s">
        <v>454</v>
      </c>
      <c r="G30" s="13"/>
    </row>
    <row r="31" spans="1:16" ht="15.75">
      <c r="A31" s="13" t="s">
        <v>703</v>
      </c>
      <c r="B31" s="13" t="s">
        <v>704</v>
      </c>
      <c r="C31" s="215">
        <f ca="1">C30+C25</f>
        <v>5.089435169582969E-2</v>
      </c>
      <c r="G31" s="13"/>
    </row>
    <row r="32" spans="1:16" ht="15.75">
      <c r="A32" s="13" t="s">
        <v>455</v>
      </c>
      <c r="B32" t="s">
        <v>66</v>
      </c>
      <c r="C32" s="260">
        <f ca="1">0.5*SQRT((PI()*C20*C23)/C31)</f>
        <v>13.904360515669367</v>
      </c>
      <c r="E32" s="13" t="s">
        <v>522</v>
      </c>
    </row>
    <row r="34" spans="1:10">
      <c r="A34" s="13"/>
      <c r="B34" s="13"/>
      <c r="D34" s="13"/>
    </row>
    <row r="35" spans="1:10">
      <c r="D35" s="13"/>
    </row>
    <row r="36" spans="1:10">
      <c r="A36" s="13"/>
      <c r="B36" s="13"/>
    </row>
    <row r="37" spans="1:10">
      <c r="A37" s="13"/>
      <c r="B37" s="13"/>
      <c r="H37" s="13"/>
      <c r="J37" s="13"/>
    </row>
    <row r="38" spans="1:10">
      <c r="A38" s="13"/>
      <c r="B38" s="13"/>
      <c r="H38" s="13"/>
      <c r="J38" s="13"/>
    </row>
    <row r="40" spans="1:10">
      <c r="A40" s="13"/>
      <c r="B40" s="13"/>
    </row>
    <row r="41" spans="1:10">
      <c r="A41" s="13"/>
      <c r="B41" s="13"/>
    </row>
    <row r="42" spans="1:10">
      <c r="A42" s="13"/>
      <c r="C42" s="10"/>
    </row>
    <row r="43" spans="1:10">
      <c r="A43" s="13"/>
      <c r="B43" s="214"/>
    </row>
    <row r="44" spans="1:10">
      <c r="A44" s="13"/>
      <c r="B44" s="214"/>
      <c r="D44" s="13"/>
    </row>
    <row r="45" spans="1:10">
      <c r="A45" s="13"/>
      <c r="D45" s="13"/>
    </row>
    <row r="46" spans="1:10">
      <c r="A46" s="13"/>
      <c r="B46" s="13"/>
      <c r="D46" s="13"/>
    </row>
    <row r="47" spans="1:10">
      <c r="A47" s="13"/>
      <c r="B47" s="13"/>
    </row>
    <row r="48" spans="1:10">
      <c r="A48" s="13"/>
      <c r="B48" s="13"/>
    </row>
    <row r="49" spans="1:2">
      <c r="A49" s="13"/>
      <c r="B49" s="214"/>
    </row>
    <row r="50" spans="1:2">
      <c r="A50" s="13"/>
      <c r="B50" s="214"/>
    </row>
    <row r="51" spans="1:2">
      <c r="A51" s="13"/>
      <c r="B51" s="13"/>
    </row>
    <row r="52" spans="1:2">
      <c r="A52" s="13"/>
      <c r="B52" s="13"/>
    </row>
    <row r="53" spans="1:2">
      <c r="A53" s="13"/>
      <c r="B53" s="13"/>
    </row>
    <row r="54" spans="1:2">
      <c r="A54" s="13"/>
      <c r="B54" s="13"/>
    </row>
    <row r="55" spans="1:2">
      <c r="A55" s="13"/>
      <c r="B55" s="13"/>
    </row>
    <row r="56" spans="1:2">
      <c r="A56" s="13"/>
      <c r="B56" s="13"/>
    </row>
    <row r="57" spans="1:2">
      <c r="A57" s="13"/>
      <c r="B57" s="214"/>
    </row>
    <row r="58" spans="1:2">
      <c r="A58" s="13"/>
      <c r="B58" s="214"/>
    </row>
    <row r="59" spans="1:2">
      <c r="B59" s="13"/>
    </row>
    <row r="60" spans="1:2">
      <c r="A60" s="13"/>
      <c r="B60" s="13"/>
    </row>
    <row r="61" spans="1:2">
      <c r="A61" s="13"/>
      <c r="B61" s="13"/>
    </row>
    <row r="62" spans="1:2">
      <c r="A62" s="13"/>
      <c r="B62" s="13"/>
    </row>
    <row r="63" spans="1:2">
      <c r="A63" s="13"/>
      <c r="B63" s="13"/>
    </row>
    <row r="64" spans="1:2">
      <c r="A64" s="13"/>
      <c r="B64" s="13"/>
    </row>
    <row r="65" spans="1:4">
      <c r="A65" s="13"/>
      <c r="B65" s="13"/>
    </row>
    <row r="66" spans="1:4">
      <c r="A66" s="13"/>
      <c r="B66" s="13"/>
    </row>
    <row r="67" spans="1:4">
      <c r="A67" s="13"/>
    </row>
    <row r="68" spans="1:4">
      <c r="A68" s="13"/>
      <c r="B68" s="214"/>
      <c r="D68" s="13"/>
    </row>
    <row r="69" spans="1:4">
      <c r="A69" s="13"/>
      <c r="B69" s="13"/>
    </row>
    <row r="70" spans="1:4">
      <c r="A70" s="13"/>
      <c r="B70" s="13"/>
    </row>
    <row r="71" spans="1:4">
      <c r="A71" s="13"/>
      <c r="B71" s="13"/>
    </row>
    <row r="72" spans="1:4">
      <c r="A72" s="13"/>
      <c r="B72" s="13"/>
    </row>
    <row r="73" spans="1:4">
      <c r="A73" s="13"/>
      <c r="B73" s="13"/>
    </row>
    <row r="74" spans="1:4">
      <c r="A74" s="13"/>
      <c r="B74" s="13"/>
    </row>
    <row r="75" spans="1:4">
      <c r="A75" s="13"/>
      <c r="B75" s="13"/>
    </row>
    <row r="76" spans="1:4">
      <c r="A76" s="13"/>
      <c r="B76" s="13"/>
    </row>
    <row r="79" spans="1:4">
      <c r="A79" s="13"/>
    </row>
  </sheetData>
  <phoneticPr fontId="5" type="noConversion"/>
  <pageMargins left="0.75" right="0.75" top="1" bottom="1" header="0.4921259845" footer="0.4921259845"/>
  <pageSetup paperSize="9" orientation="landscape" horizontalDpi="96" verticalDpi="96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4"/>
  <sheetViews>
    <sheetView workbookViewId="0">
      <selection activeCell="A2" sqref="A2"/>
    </sheetView>
  </sheetViews>
  <sheetFormatPr baseColWidth="10" defaultRowHeight="12.75"/>
  <cols>
    <col min="1" max="1" width="26.5703125" bestFit="1" customWidth="1"/>
    <col min="5" max="5" width="28" bestFit="1" customWidth="1"/>
    <col min="6" max="7" width="26.42578125" bestFit="1" customWidth="1"/>
  </cols>
  <sheetData>
    <row r="1" spans="1:5">
      <c r="A1" t="s">
        <v>520</v>
      </c>
    </row>
    <row r="3" spans="1:5">
      <c r="A3" s="13" t="s">
        <v>291</v>
      </c>
    </row>
    <row r="4" spans="1:5">
      <c r="A4" s="13"/>
    </row>
    <row r="5" spans="1:5" ht="15.75">
      <c r="A5" s="13" t="s">
        <v>463</v>
      </c>
      <c r="B5" s="13" t="s">
        <v>548</v>
      </c>
      <c r="C5" s="228">
        <v>37.57</v>
      </c>
      <c r="D5" s="212" t="s">
        <v>1</v>
      </c>
      <c r="E5" s="13" t="s">
        <v>758</v>
      </c>
    </row>
    <row r="6" spans="1:5" ht="15.75">
      <c r="A6" s="13" t="s">
        <v>461</v>
      </c>
      <c r="B6" s="13" t="s">
        <v>549</v>
      </c>
      <c r="C6" s="228">
        <v>3.95</v>
      </c>
      <c r="D6" s="212" t="s">
        <v>1</v>
      </c>
      <c r="E6" s="13" t="s">
        <v>758</v>
      </c>
    </row>
    <row r="7" spans="1:5" ht="15.75">
      <c r="A7" s="13" t="s">
        <v>462</v>
      </c>
      <c r="B7" s="13" t="s">
        <v>550</v>
      </c>
      <c r="C7" s="13">
        <f ca="1">C5+'6.) Fuel Containment System'!C4*'6.) Fuel Containment System'!C7</f>
        <v>63.644012899077325</v>
      </c>
      <c r="D7" s="13" t="s">
        <v>1</v>
      </c>
      <c r="E7" s="13" t="s">
        <v>546</v>
      </c>
    </row>
    <row r="8" spans="1:5" ht="15.75">
      <c r="A8" s="13" t="s">
        <v>464</v>
      </c>
      <c r="B8" s="13" t="s">
        <v>551</v>
      </c>
      <c r="C8" s="13">
        <f ca="1">C7/C6</f>
        <v>16.112408328880335</v>
      </c>
      <c r="D8" s="13"/>
    </row>
    <row r="10" spans="1:5" ht="15.75">
      <c r="A10" s="13" t="s">
        <v>465</v>
      </c>
      <c r="B10" s="13" t="s">
        <v>552</v>
      </c>
      <c r="C10" s="215">
        <f ca="1">PI()*C6*C7*(1-2/C8)^(2/3)*(1+1/C8^2)</f>
        <v>725.77382383873407</v>
      </c>
      <c r="D10" s="13" t="s">
        <v>29</v>
      </c>
    </row>
    <row r="13" spans="1:5">
      <c r="A13" s="13" t="s">
        <v>292</v>
      </c>
    </row>
    <row r="15" spans="1:5" ht="15.75">
      <c r="A15" s="13" t="s">
        <v>466</v>
      </c>
      <c r="B15" s="13" t="s">
        <v>705</v>
      </c>
      <c r="C15">
        <f ca="1">'3.) Preliminary Sizing II'!C126</f>
        <v>170.55551349064697</v>
      </c>
      <c r="D15" s="13" t="s">
        <v>29</v>
      </c>
      <c r="E15" s="13" t="s">
        <v>547</v>
      </c>
    </row>
    <row r="16" spans="1:5" ht="15.75">
      <c r="B16" s="13" t="s">
        <v>553</v>
      </c>
      <c r="C16" s="228">
        <v>0.13469999999999999</v>
      </c>
      <c r="E16" t="s">
        <v>521</v>
      </c>
    </row>
    <row r="17" spans="1:5" ht="15.75">
      <c r="B17" s="13" t="s">
        <v>554</v>
      </c>
      <c r="C17" s="228">
        <v>0.13469999999999999</v>
      </c>
      <c r="E17" t="s">
        <v>521</v>
      </c>
    </row>
    <row r="18" spans="1:5">
      <c r="B18" s="214" t="s">
        <v>467</v>
      </c>
      <c r="C18" s="228">
        <f>C16/C17</f>
        <v>1</v>
      </c>
    </row>
    <row r="19" spans="1:5">
      <c r="B19" s="214" t="s">
        <v>468</v>
      </c>
      <c r="C19" s="228">
        <v>0.24</v>
      </c>
      <c r="E19" t="s">
        <v>521</v>
      </c>
    </row>
    <row r="20" spans="1:5" ht="15.75">
      <c r="A20" s="13" t="s">
        <v>469</v>
      </c>
      <c r="B20" s="13" t="s">
        <v>555</v>
      </c>
      <c r="C20" s="215">
        <f ca="1">2*C15*(1+0.25*C17*(1+C18*C19)/(1+C19))</f>
        <v>352.597940814889</v>
      </c>
      <c r="D20" s="13" t="s">
        <v>29</v>
      </c>
    </row>
    <row r="22" spans="1:5">
      <c r="A22" s="13" t="s">
        <v>457</v>
      </c>
    </row>
    <row r="23" spans="1:5" ht="15.75">
      <c r="A23" s="13" t="s">
        <v>470</v>
      </c>
      <c r="B23" s="13" t="s">
        <v>556</v>
      </c>
      <c r="C23" s="228">
        <v>31</v>
      </c>
      <c r="D23" s="13" t="s">
        <v>29</v>
      </c>
      <c r="E23" s="13" t="s">
        <v>521</v>
      </c>
    </row>
    <row r="24" spans="1:5">
      <c r="C24" s="212"/>
    </row>
    <row r="25" spans="1:5">
      <c r="A25" s="13" t="s">
        <v>458</v>
      </c>
      <c r="C25" s="212"/>
    </row>
    <row r="26" spans="1:5" ht="15.75">
      <c r="A26" s="13" t="s">
        <v>471</v>
      </c>
      <c r="B26" s="13" t="s">
        <v>557</v>
      </c>
      <c r="C26" s="228">
        <v>21.5</v>
      </c>
      <c r="D26" s="13" t="s">
        <v>29</v>
      </c>
      <c r="E26" s="13" t="s">
        <v>521</v>
      </c>
    </row>
    <row r="27" spans="1:5">
      <c r="C27" s="212"/>
    </row>
    <row r="28" spans="1:5">
      <c r="A28" s="13" t="s">
        <v>459</v>
      </c>
      <c r="C28" s="212"/>
    </row>
    <row r="29" spans="1:5" ht="15.75">
      <c r="A29" s="13" t="s">
        <v>472</v>
      </c>
      <c r="B29" s="13" t="s">
        <v>558</v>
      </c>
      <c r="C29" s="228">
        <v>18.802</v>
      </c>
      <c r="D29" s="13" t="s">
        <v>29</v>
      </c>
    </row>
    <row r="32" spans="1:5" ht="15.75">
      <c r="A32" s="13" t="s">
        <v>460</v>
      </c>
      <c r="B32" s="13" t="s">
        <v>559</v>
      </c>
      <c r="C32" s="215">
        <f ca="1">C10+C20+C23+C26+'1.) Preliminary Sizing I'!C70*C29</f>
        <v>1168.4757646536232</v>
      </c>
    </row>
    <row r="34" spans="1:3" ht="15.75">
      <c r="A34" s="13" t="s">
        <v>157</v>
      </c>
      <c r="B34" s="13" t="s">
        <v>560</v>
      </c>
      <c r="C34" s="215">
        <f ca="1">C32/'3.) Preliminary Sizing II'!C126</f>
        <v>6.8509996583470212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V150"/>
  <sheetViews>
    <sheetView zoomScaleNormal="100" workbookViewId="0">
      <selection activeCell="A4" sqref="A4"/>
    </sheetView>
  </sheetViews>
  <sheetFormatPr baseColWidth="10" defaultColWidth="11.42578125" defaultRowHeight="12.75"/>
  <cols>
    <col min="1" max="1" width="36.5703125" customWidth="1"/>
    <col min="2" max="2" width="18.42578125" customWidth="1"/>
    <col min="3" max="3" width="12.85546875" customWidth="1"/>
    <col min="4" max="4" width="14.140625" bestFit="1" customWidth="1"/>
    <col min="5" max="5" width="13.7109375" customWidth="1"/>
    <col min="6" max="6" width="15.85546875" customWidth="1"/>
    <col min="7" max="7" width="12.85546875" customWidth="1"/>
    <col min="8" max="8" width="16.42578125" bestFit="1" customWidth="1"/>
    <col min="9" max="10" width="11.42578125" customWidth="1"/>
    <col min="11" max="11" width="15.42578125" customWidth="1"/>
    <col min="12" max="12" width="11.42578125" customWidth="1"/>
    <col min="13" max="13" width="12.28515625" customWidth="1"/>
    <col min="14" max="18" width="11.42578125" customWidth="1"/>
    <col min="19" max="19" width="11.140625" customWidth="1"/>
    <col min="20" max="20" width="15.42578125" customWidth="1"/>
    <col min="21" max="21" width="16" customWidth="1"/>
  </cols>
  <sheetData>
    <row r="1" spans="1:15" ht="15.75">
      <c r="A1" s="101" t="s">
        <v>298</v>
      </c>
      <c r="E1" s="84" t="s">
        <v>307</v>
      </c>
    </row>
    <row r="2" spans="1:15">
      <c r="A2" s="12" t="s">
        <v>159</v>
      </c>
      <c r="E2" s="84" t="s">
        <v>308</v>
      </c>
    </row>
    <row r="3" spans="1:15" ht="14.25">
      <c r="A3" s="12" t="s">
        <v>160</v>
      </c>
      <c r="E3" s="84" t="s">
        <v>352</v>
      </c>
    </row>
    <row r="4" spans="1:15">
      <c r="E4" s="84" t="s">
        <v>309</v>
      </c>
    </row>
    <row r="5" spans="1:15">
      <c r="A5" s="6" t="s">
        <v>9</v>
      </c>
      <c r="B5" s="1"/>
      <c r="C5" s="2" t="s">
        <v>161</v>
      </c>
      <c r="D5" s="7"/>
      <c r="F5" s="6" t="s">
        <v>9</v>
      </c>
      <c r="G5" s="2" t="s">
        <v>161</v>
      </c>
    </row>
    <row r="6" spans="1:15">
      <c r="C6" s="20"/>
      <c r="D6" s="13"/>
      <c r="I6" s="66"/>
      <c r="J6" s="66"/>
      <c r="K6" s="66"/>
      <c r="L6" s="66"/>
    </row>
    <row r="7" spans="1:15" ht="15.75">
      <c r="A7" t="s">
        <v>216</v>
      </c>
      <c r="B7" s="19" t="s">
        <v>66</v>
      </c>
      <c r="C7" s="50">
        <f ca="1">'2.) Max. Glide Ratio in Cruise'!C32</f>
        <v>13.904360515669367</v>
      </c>
      <c r="D7" s="13" t="s">
        <v>295</v>
      </c>
      <c r="F7" t="s">
        <v>242</v>
      </c>
      <c r="G7" s="265">
        <v>1</v>
      </c>
      <c r="H7" s="13" t="s">
        <v>294</v>
      </c>
    </row>
    <row r="8" spans="1:15" ht="15.75">
      <c r="A8" t="s">
        <v>132</v>
      </c>
      <c r="B8" t="s">
        <v>8</v>
      </c>
      <c r="C8" s="13">
        <f>'1.) Preliminary Sizing I'!C58</f>
        <v>16</v>
      </c>
      <c r="D8" s="13" t="s">
        <v>296</v>
      </c>
      <c r="F8" t="s">
        <v>241</v>
      </c>
      <c r="G8" s="10">
        <f>1/G7^2</f>
        <v>1</v>
      </c>
      <c r="N8" s="13" t="s">
        <v>293</v>
      </c>
    </row>
    <row r="9" spans="1:15" ht="15.75">
      <c r="A9" t="s">
        <v>162</v>
      </c>
      <c r="B9" t="s">
        <v>102</v>
      </c>
      <c r="C9" s="42">
        <v>0.78300000000000003</v>
      </c>
      <c r="F9" t="s">
        <v>10</v>
      </c>
      <c r="G9" s="10">
        <f ca="1">CL_m/G7^2</f>
        <v>1.4153068283801691</v>
      </c>
    </row>
    <row r="10" spans="1:15" ht="15.75">
      <c r="A10" t="s">
        <v>217</v>
      </c>
      <c r="B10" t="s">
        <v>34</v>
      </c>
      <c r="C10" s="16">
        <f ca="1">PI()*C8*C9/4/L_D_max^2</f>
        <v>5.0894351695829683E-2</v>
      </c>
      <c r="F10" t="s">
        <v>67</v>
      </c>
      <c r="G10" s="10">
        <f ca="1">(2*L_D_max)/(G8+1/G8)</f>
        <v>13.904360515669367</v>
      </c>
    </row>
    <row r="11" spans="1:15">
      <c r="A11" t="s">
        <v>239</v>
      </c>
      <c r="B11" t="s">
        <v>240</v>
      </c>
      <c r="C11" s="4">
        <f ca="1">(PI()*C8*C9)/2/L_D_max</f>
        <v>1.4153068283801691</v>
      </c>
    </row>
    <row r="12" spans="1:15" ht="15.75">
      <c r="A12" t="s">
        <v>218</v>
      </c>
      <c r="B12" t="s">
        <v>251</v>
      </c>
      <c r="C12" s="266">
        <v>0.5</v>
      </c>
      <c r="F12" s="7"/>
      <c r="G12" s="7"/>
      <c r="O12" t="s">
        <v>245</v>
      </c>
    </row>
    <row r="13" spans="1:15" ht="15.75">
      <c r="A13" s="239" t="s">
        <v>357</v>
      </c>
      <c r="B13" s="239" t="s">
        <v>603</v>
      </c>
      <c r="C13" s="243">
        <f ca="1">C129*C71</f>
        <v>7672933.371475284</v>
      </c>
      <c r="D13" s="244" t="s">
        <v>287</v>
      </c>
      <c r="E13" s="239"/>
      <c r="F13" s="238"/>
      <c r="G13" s="239"/>
    </row>
    <row r="14" spans="1:15" ht="15.75">
      <c r="A14" s="239" t="s">
        <v>358</v>
      </c>
      <c r="B14" s="239" t="s">
        <v>359</v>
      </c>
      <c r="C14" s="240">
        <f ca="1">C13/(C67*1.225*'1.) Preliminary Sizing I'!C48)/1000</f>
        <v>613.22922538089517</v>
      </c>
      <c r="D14" s="239" t="s">
        <v>367</v>
      </c>
      <c r="E14" s="239"/>
      <c r="F14" s="239"/>
      <c r="G14" s="239"/>
    </row>
    <row r="15" spans="1:15" ht="15.75">
      <c r="A15" s="239" t="s">
        <v>215</v>
      </c>
      <c r="B15" s="239" t="s">
        <v>46</v>
      </c>
      <c r="C15" s="241" t="s">
        <v>374</v>
      </c>
      <c r="D15" s="239"/>
      <c r="E15" s="239"/>
      <c r="F15" s="239"/>
      <c r="G15" s="239"/>
    </row>
    <row r="16" spans="1:15">
      <c r="A16" s="239" t="s">
        <v>285</v>
      </c>
      <c r="B16" s="239" t="s">
        <v>283</v>
      </c>
      <c r="C16" s="242">
        <f ca="1">'8.1.) Thrust Device'!C19</f>
        <v>0.86039489878601216</v>
      </c>
      <c r="D16" s="239" t="s">
        <v>322</v>
      </c>
      <c r="E16" s="239"/>
      <c r="F16" s="239"/>
      <c r="G16" s="239"/>
      <c r="H16" s="216"/>
      <c r="O16" t="s">
        <v>246</v>
      </c>
    </row>
    <row r="17" spans="1:15">
      <c r="D17" s="20"/>
      <c r="I17" s="7"/>
    </row>
    <row r="18" spans="1:15">
      <c r="D18" s="20"/>
    </row>
    <row r="19" spans="1:15">
      <c r="D19" s="20"/>
    </row>
    <row r="20" spans="1:15">
      <c r="C20" s="7"/>
      <c r="D20" s="20"/>
      <c r="H20" s="89"/>
    </row>
    <row r="21" spans="1:15">
      <c r="D21" s="20"/>
      <c r="H21" s="7"/>
      <c r="I21" s="7"/>
      <c r="J21" s="7"/>
    </row>
    <row r="22" spans="1:15">
      <c r="A22" s="1" t="s">
        <v>163</v>
      </c>
      <c r="B22" s="1"/>
      <c r="C22" s="1"/>
      <c r="D22" s="1"/>
      <c r="H22" s="113"/>
      <c r="I22" s="217"/>
      <c r="J22" s="112"/>
      <c r="K22" s="84"/>
      <c r="L22" s="84"/>
      <c r="M22" s="84"/>
      <c r="N22" s="84"/>
    </row>
    <row r="23" spans="1:15">
      <c r="A23" s="19" t="s">
        <v>232</v>
      </c>
      <c r="B23" s="67" t="s">
        <v>11</v>
      </c>
      <c r="C23">
        <v>1.4</v>
      </c>
      <c r="H23" s="218"/>
      <c r="I23" s="7"/>
      <c r="J23" s="84"/>
      <c r="K23" s="84"/>
      <c r="L23" s="84"/>
      <c r="M23" s="84"/>
      <c r="N23" s="84"/>
    </row>
    <row r="24" spans="1:15">
      <c r="A24" t="s">
        <v>164</v>
      </c>
      <c r="B24" s="51" t="s">
        <v>11</v>
      </c>
      <c r="C24">
        <v>9.81</v>
      </c>
      <c r="D24" t="s">
        <v>12</v>
      </c>
      <c r="H24" s="218"/>
      <c r="I24" s="217"/>
    </row>
    <row r="25" spans="1:15" ht="15.75">
      <c r="A25" t="s">
        <v>165</v>
      </c>
      <c r="B25" s="51" t="s">
        <v>35</v>
      </c>
      <c r="C25">
        <v>101325</v>
      </c>
      <c r="D25" t="s">
        <v>13</v>
      </c>
    </row>
    <row r="26" spans="1:15">
      <c r="A26" t="s">
        <v>166</v>
      </c>
      <c r="B26" s="51" t="s">
        <v>102</v>
      </c>
      <c r="C26">
        <v>2.7182818281827998</v>
      </c>
    </row>
    <row r="27" spans="1:15">
      <c r="A27" t="s">
        <v>247</v>
      </c>
      <c r="B27" s="51" t="s">
        <v>248</v>
      </c>
      <c r="C27" s="13">
        <f>6.5*10^-3</f>
        <v>6.5000000000000006E-3</v>
      </c>
      <c r="D27" t="s">
        <v>249</v>
      </c>
    </row>
    <row r="28" spans="1:15">
      <c r="A28" t="s">
        <v>250</v>
      </c>
      <c r="B28" s="51" t="s">
        <v>18</v>
      </c>
      <c r="C28">
        <v>287.053</v>
      </c>
      <c r="D28" t="s">
        <v>330</v>
      </c>
    </row>
    <row r="29" spans="1:15" ht="15.75">
      <c r="A29" s="13" t="s">
        <v>290</v>
      </c>
      <c r="B29" s="51" t="s">
        <v>331</v>
      </c>
      <c r="C29">
        <v>288.14999999999998</v>
      </c>
      <c r="D29" s="13" t="s">
        <v>17</v>
      </c>
      <c r="K29" s="7"/>
      <c r="L29" s="7"/>
      <c r="M29" s="7"/>
      <c r="N29" s="7"/>
      <c r="O29" s="7"/>
    </row>
    <row r="30" spans="1:15" ht="13.5" thickBot="1">
      <c r="H30" t="s">
        <v>267</v>
      </c>
      <c r="I30" s="64"/>
      <c r="J30" s="64" t="s">
        <v>264</v>
      </c>
      <c r="K30" s="64" t="s">
        <v>265</v>
      </c>
      <c r="L30" s="64" t="s">
        <v>269</v>
      </c>
      <c r="M30" s="64"/>
      <c r="N30" s="64" t="s">
        <v>268</v>
      </c>
      <c r="O30" s="64"/>
    </row>
    <row r="31" spans="1:15" ht="16.5" thickBot="1">
      <c r="A31" s="173" t="s">
        <v>14</v>
      </c>
      <c r="B31" s="174" t="s">
        <v>15</v>
      </c>
      <c r="C31" s="111" t="s">
        <v>243</v>
      </c>
      <c r="D31" s="175" t="s">
        <v>244</v>
      </c>
      <c r="E31" s="176" t="s">
        <v>16</v>
      </c>
      <c r="F31" s="175" t="s">
        <v>324</v>
      </c>
      <c r="G31" s="270" t="s">
        <v>446</v>
      </c>
      <c r="H31" s="177" t="s">
        <v>326</v>
      </c>
      <c r="I31" s="175" t="s">
        <v>323</v>
      </c>
      <c r="J31" s="175" t="s">
        <v>327</v>
      </c>
      <c r="K31" s="175" t="s">
        <v>328</v>
      </c>
      <c r="L31" s="175" t="s">
        <v>328</v>
      </c>
      <c r="M31" s="175" t="s">
        <v>266</v>
      </c>
      <c r="N31" s="175" t="s">
        <v>329</v>
      </c>
      <c r="O31" s="195" t="s">
        <v>328</v>
      </c>
    </row>
    <row r="32" spans="1:15">
      <c r="A32" s="178">
        <v>0</v>
      </c>
      <c r="B32" s="147">
        <f t="shared" ref="B32:B58" si="0">A32*1000*3.281</f>
        <v>0</v>
      </c>
      <c r="C32" s="179">
        <f t="shared" ref="C32:C54" si="1">T0-L*A32*10^3</f>
        <v>288.14999999999998</v>
      </c>
      <c r="D32" s="180">
        <f t="shared" ref="D32:D54" si="2">(C32/T0)^(g/Rconstant/L-1)</f>
        <v>1</v>
      </c>
      <c r="E32" s="147">
        <f t="shared" ref="E32:E54" si="3">p0*POWER(1-0.0225588*A32,5.25588)</f>
        <v>101325</v>
      </c>
      <c r="F32" s="147">
        <f ca="1">CL*M^2*gamma*E32/g/2</f>
        <v>2558.2103738515402</v>
      </c>
      <c r="G32" s="268">
        <f t="shared" ref="G32:G58" ca="1" si="4">$C$71</f>
        <v>0.45196737110445562</v>
      </c>
      <c r="H32" s="190">
        <f ca="1">(M*I32*g)/G32/L_D/propefcruise</f>
        <v>308.700588252172</v>
      </c>
      <c r="I32" s="187">
        <f t="shared" ref="I32:I58" si="5">SQRT(gamma*Rconstant*C32)</f>
        <v>340.29406508195228</v>
      </c>
      <c r="J32" s="187">
        <f ca="1">'1.) Preliminary Sizing I'!C75</f>
        <v>246.60037113873466</v>
      </c>
      <c r="K32" s="187">
        <f ca="1">'1.) Preliminary Sizing I'!C96</f>
        <v>247.41898464885219</v>
      </c>
      <c r="L32" s="187">
        <f ca="1">M32*F32</f>
        <v>963.87288405255936</v>
      </c>
      <c r="M32" s="180">
        <f ca="1">'1.) Preliminary Sizing I'!$C$52</f>
        <v>0.37677623932131526</v>
      </c>
      <c r="N32" s="147">
        <f>'1.) Preliminary Sizing I'!C33</f>
        <v>726.88805935483867</v>
      </c>
      <c r="O32" s="99">
        <v>0</v>
      </c>
    </row>
    <row r="33" spans="1:15">
      <c r="A33" s="119">
        <v>0.5</v>
      </c>
      <c r="B33" s="95">
        <f t="shared" si="0"/>
        <v>1640.5</v>
      </c>
      <c r="C33" s="106">
        <f t="shared" si="1"/>
        <v>284.89999999999998</v>
      </c>
      <c r="D33" s="132">
        <f t="shared" si="2"/>
        <v>0.95285311865061828</v>
      </c>
      <c r="E33" s="103">
        <f t="shared" si="3"/>
        <v>95460.554929191218</v>
      </c>
      <c r="F33" s="95">
        <f ca="1">CL*M*M/g*gamma/2*E33</f>
        <v>2410.147366528317</v>
      </c>
      <c r="G33" s="268">
        <f t="shared" ca="1" si="4"/>
        <v>0.45196737110445562</v>
      </c>
      <c r="H33" s="191">
        <f ca="1">(M*I33*g)/G33/L_D/propefcruise</f>
        <v>306.95475807563395</v>
      </c>
      <c r="I33" s="121">
        <f t="shared" si="5"/>
        <v>338.36956065816554</v>
      </c>
      <c r="J33" s="121">
        <f ca="1">'1.) Preliminary Sizing I'!C75</f>
        <v>246.60037113873466</v>
      </c>
      <c r="K33" s="121">
        <f ca="1">'1.) Preliminary Sizing I'!C96</f>
        <v>247.41898464885219</v>
      </c>
      <c r="L33" s="121">
        <f t="shared" ref="L33:L50" ca="1" si="6">M33*F33</f>
        <v>908.0862609707109</v>
      </c>
      <c r="M33" s="133">
        <f ca="1">'1.) Preliminary Sizing I'!$C$52</f>
        <v>0.37677623932131526</v>
      </c>
      <c r="N33" s="95"/>
      <c r="O33" s="100"/>
    </row>
    <row r="34" spans="1:15">
      <c r="A34" s="119">
        <v>1</v>
      </c>
      <c r="B34" s="95">
        <f t="shared" si="0"/>
        <v>3281</v>
      </c>
      <c r="C34" s="106">
        <f t="shared" si="1"/>
        <v>281.64999999999998</v>
      </c>
      <c r="D34" s="132">
        <f t="shared" si="2"/>
        <v>0.90742612826950209</v>
      </c>
      <c r="E34" s="103">
        <f t="shared" si="3"/>
        <v>89874.02883009192</v>
      </c>
      <c r="F34" s="95">
        <f ca="1">CL*M*M/g*gamma/2*E34</f>
        <v>2269.1011388401039</v>
      </c>
      <c r="G34" s="268">
        <f t="shared" ca="1" si="4"/>
        <v>0.45196737110445562</v>
      </c>
      <c r="H34" s="191">
        <f t="shared" ref="H34:H58" ca="1" si="7">(M*I34*g)/G34/L_D/propefcruise</f>
        <v>305.19894138627831</v>
      </c>
      <c r="I34" s="121">
        <f>SQRT(gamma*Rconstant*C34)</f>
        <v>336.43404766759261</v>
      </c>
      <c r="J34" s="121">
        <f ca="1">'1.) Preliminary Sizing I'!C75</f>
        <v>246.60037113873466</v>
      </c>
      <c r="K34" s="121">
        <f ca="1">'1.) Preliminary Sizing I'!C96</f>
        <v>247.41898464885219</v>
      </c>
      <c r="L34" s="121">
        <f t="shared" ca="1" si="6"/>
        <v>854.94339373188802</v>
      </c>
      <c r="M34" s="133">
        <f ca="1">'1.) Preliminary Sizing I'!$C$52</f>
        <v>0.37677623932131526</v>
      </c>
      <c r="N34" s="95"/>
      <c r="O34" s="100"/>
    </row>
    <row r="35" spans="1:15">
      <c r="A35" s="119">
        <v>1.5</v>
      </c>
      <c r="B35" s="95">
        <f t="shared" si="0"/>
        <v>4921.5</v>
      </c>
      <c r="C35" s="106">
        <f t="shared" si="1"/>
        <v>278.39999999999998</v>
      </c>
      <c r="D35" s="132">
        <f t="shared" si="2"/>
        <v>0.8636750526796233</v>
      </c>
      <c r="E35" s="103">
        <f t="shared" si="3"/>
        <v>84555.231558858533</v>
      </c>
      <c r="F35" s="95">
        <f t="shared" ref="F35:F46" ca="1" si="8">CL*M*M/g*gamma/2*E35</f>
        <v>2134.8144143823442</v>
      </c>
      <c r="G35" s="268">
        <f t="shared" ca="1" si="4"/>
        <v>0.45196737110445562</v>
      </c>
      <c r="H35" s="191">
        <f t="shared" ca="1" si="7"/>
        <v>303.43296482310359</v>
      </c>
      <c r="I35" s="121">
        <f t="shared" si="5"/>
        <v>334.48733500687285</v>
      </c>
      <c r="J35" s="121">
        <f ca="1">'1.) Preliminary Sizing I'!C75</f>
        <v>246.60037113873466</v>
      </c>
      <c r="K35" s="121">
        <f ca="1">'1.) Preliminary Sizing I'!C96</f>
        <v>247.41898464885219</v>
      </c>
      <c r="L35" s="121">
        <f ca="1">M35*F35</f>
        <v>804.34734669991565</v>
      </c>
      <c r="M35" s="133">
        <f ca="1">'1.) Preliminary Sizing I'!$C$52</f>
        <v>0.37677623932131526</v>
      </c>
      <c r="N35" s="95"/>
      <c r="O35" s="100"/>
    </row>
    <row r="36" spans="1:15">
      <c r="A36" s="119">
        <v>2</v>
      </c>
      <c r="B36" s="95">
        <f t="shared" si="0"/>
        <v>6562</v>
      </c>
      <c r="C36" s="106">
        <f t="shared" si="1"/>
        <v>275.14999999999998</v>
      </c>
      <c r="D36" s="132">
        <f t="shared" si="2"/>
        <v>0.82155654929980437</v>
      </c>
      <c r="E36" s="103">
        <f t="shared" si="3"/>
        <v>79494.234812819603</v>
      </c>
      <c r="F36" s="95">
        <f t="shared" ca="1" si="8"/>
        <v>2007.0365276046912</v>
      </c>
      <c r="G36" s="268">
        <f t="shared" ca="1" si="4"/>
        <v>0.45196737110445562</v>
      </c>
      <c r="H36" s="191">
        <f t="shared" ca="1" si="7"/>
        <v>301.65664995052379</v>
      </c>
      <c r="I36" s="121">
        <f t="shared" si="5"/>
        <v>332.52922597871003</v>
      </c>
      <c r="J36" s="121">
        <f ca="1">'1.) Preliminary Sizing I'!C75</f>
        <v>246.60037113873466</v>
      </c>
      <c r="K36" s="121">
        <f ca="1">'1.) Preliminary Sizing I'!C96</f>
        <v>247.41898464885219</v>
      </c>
      <c r="L36" s="121">
        <f t="shared" ca="1" si="6"/>
        <v>756.20367505140666</v>
      </c>
      <c r="M36" s="133">
        <f ca="1">'1.) Preliminary Sizing I'!$C$52</f>
        <v>0.37677623932131526</v>
      </c>
      <c r="N36" s="95"/>
      <c r="O36" s="100"/>
    </row>
    <row r="37" spans="1:15">
      <c r="A37" s="119">
        <v>2.5</v>
      </c>
      <c r="B37" s="95">
        <f t="shared" si="0"/>
        <v>8202.5</v>
      </c>
      <c r="C37" s="106">
        <f t="shared" si="1"/>
        <v>271.89999999999998</v>
      </c>
      <c r="D37" s="132">
        <f t="shared" si="2"/>
        <v>0.78102790725264437</v>
      </c>
      <c r="E37" s="103">
        <f t="shared" si="3"/>
        <v>74681.368341402413</v>
      </c>
      <c r="F37" s="95">
        <f t="shared" ca="1" si="8"/>
        <v>1885.5233281461005</v>
      </c>
      <c r="G37" s="268">
        <f t="shared" ca="1" si="4"/>
        <v>0.45196737110445562</v>
      </c>
      <c r="H37" s="191">
        <f ca="1">(M*I37*g)/G37/L_D/propefcruise</f>
        <v>299.86981304794045</v>
      </c>
      <c r="I37" s="121">
        <f t="shared" si="5"/>
        <v>330.55951805991003</v>
      </c>
      <c r="J37" s="121">
        <f ca="1">'1.) Preliminary Sizing I'!C75</f>
        <v>246.60037113873466</v>
      </c>
      <c r="K37" s="121">
        <f ca="1">'1.) Preliminary Sizing I'!C96</f>
        <v>247.41898464885219</v>
      </c>
      <c r="L37" s="121">
        <f t="shared" ca="1" si="6"/>
        <v>710.42038873149806</v>
      </c>
      <c r="M37" s="133">
        <f ca="1">'1.) Preliminary Sizing I'!$C$52</f>
        <v>0.37677623932131526</v>
      </c>
      <c r="N37" s="95"/>
      <c r="O37" s="100"/>
    </row>
    <row r="38" spans="1:15">
      <c r="A38" s="119">
        <v>3</v>
      </c>
      <c r="B38" s="95">
        <f t="shared" si="0"/>
        <v>9843</v>
      </c>
      <c r="C38" s="106">
        <f t="shared" si="1"/>
        <v>268.64999999999998</v>
      </c>
      <c r="D38" s="132">
        <f t="shared" si="2"/>
        <v>0.74204704545597633</v>
      </c>
      <c r="E38" s="103">
        <f t="shared" si="3"/>
        <v>70107.216168362953</v>
      </c>
      <c r="F38" s="95">
        <f t="shared" ca="1" si="8"/>
        <v>1770.0370854553025</v>
      </c>
      <c r="G38" s="268">
        <f t="shared" ca="1" si="4"/>
        <v>0.45196737110445562</v>
      </c>
      <c r="H38" s="191">
        <f t="shared" ca="1" si="7"/>
        <v>298.0722648879642</v>
      </c>
      <c r="I38" s="121">
        <f t="shared" si="5"/>
        <v>328.57800265690338</v>
      </c>
      <c r="J38" s="121">
        <f ca="1">'1.) Preliminary Sizing I'!C75</f>
        <v>246.60037113873466</v>
      </c>
      <c r="K38" s="121">
        <f ca="1">'1.) Preliminary Sizing I'!C96</f>
        <v>247.41898464885219</v>
      </c>
      <c r="L38" s="121">
        <f t="shared" ca="1" si="6"/>
        <v>666.90791651711038</v>
      </c>
      <c r="M38" s="133">
        <f ca="1">'1.) Preliminary Sizing I'!$C$52</f>
        <v>0.37677623932131526</v>
      </c>
      <c r="N38" s="95"/>
      <c r="O38" s="100"/>
    </row>
    <row r="39" spans="1:15">
      <c r="A39" s="119">
        <v>3.5</v>
      </c>
      <c r="B39" s="95">
        <f t="shared" si="0"/>
        <v>11483.5</v>
      </c>
      <c r="C39" s="106">
        <f t="shared" si="1"/>
        <v>265.39999999999998</v>
      </c>
      <c r="D39" s="132">
        <f t="shared" si="2"/>
        <v>0.70457251069751925</v>
      </c>
      <c r="E39" s="103">
        <f t="shared" si="3"/>
        <v>65762.612825417091</v>
      </c>
      <c r="F39" s="95">
        <f t="shared" ca="1" si="8"/>
        <v>1660.34639369913</v>
      </c>
      <c r="G39" s="268">
        <f t="shared" ca="1" si="4"/>
        <v>0.45196737110445562</v>
      </c>
      <c r="H39" s="191">
        <f t="shared" ca="1" si="7"/>
        <v>296.26381050252257</v>
      </c>
      <c r="I39" s="121">
        <f t="shared" si="5"/>
        <v>326.58446484791648</v>
      </c>
      <c r="J39" s="121">
        <f ca="1">'1.) Preliminary Sizing I'!C75</f>
        <v>246.60037113873466</v>
      </c>
      <c r="K39" s="121">
        <f ca="1">'1.) Preliminary Sizing I'!C96</f>
        <v>247.41898464885219</v>
      </c>
      <c r="L39" s="121">
        <f t="shared" ca="1" si="6"/>
        <v>625.57907018866615</v>
      </c>
      <c r="M39" s="133">
        <f ca="1">'1.) Preliminary Sizing I'!$C$52</f>
        <v>0.37677623932131526</v>
      </c>
      <c r="N39" s="95"/>
      <c r="O39" s="100"/>
    </row>
    <row r="40" spans="1:15">
      <c r="A40" s="119">
        <v>4</v>
      </c>
      <c r="B40" s="95">
        <f t="shared" si="0"/>
        <v>13124</v>
      </c>
      <c r="C40" s="106">
        <f t="shared" si="1"/>
        <v>262.14999999999998</v>
      </c>
      <c r="D40" s="132">
        <f t="shared" si="2"/>
        <v>0.66856347569236174</v>
      </c>
      <c r="E40" s="103">
        <f t="shared" si="3"/>
        <v>61638.639597375557</v>
      </c>
      <c r="F40" s="95">
        <f t="shared" ca="1" si="8"/>
        <v>1556.2260769612876</v>
      </c>
      <c r="G40" s="268">
        <f t="shared" ca="1" si="4"/>
        <v>0.45196737110445562</v>
      </c>
      <c r="H40" s="191">
        <f t="shared" ca="1" si="7"/>
        <v>294.44424893603974</v>
      </c>
      <c r="I40" s="121">
        <f t="shared" si="5"/>
        <v>324.57868311089067</v>
      </c>
      <c r="J40" s="121">
        <f ca="1">'1.) Preliminary Sizing I'!C75</f>
        <v>246.60037113873466</v>
      </c>
      <c r="K40" s="121">
        <f ca="1">'1.) Preliminary Sizing I'!C96</f>
        <v>247.41898464885219</v>
      </c>
      <c r="L40" s="121">
        <f t="shared" ca="1" si="6"/>
        <v>586.3490088112377</v>
      </c>
      <c r="M40" s="133">
        <f ca="1">'1.) Preliminary Sizing I'!$C$52</f>
        <v>0.37677623932131526</v>
      </c>
      <c r="N40" s="95"/>
      <c r="O40" s="100"/>
    </row>
    <row r="41" spans="1:15">
      <c r="A41" s="119">
        <v>4.5</v>
      </c>
      <c r="B41" s="95">
        <f t="shared" si="0"/>
        <v>14764.5</v>
      </c>
      <c r="C41" s="106">
        <f t="shared" si="1"/>
        <v>258.89999999999998</v>
      </c>
      <c r="D41" s="132">
        <f t="shared" si="2"/>
        <v>0.63397973712292621</v>
      </c>
      <c r="E41" s="103">
        <f t="shared" si="3"/>
        <v>57726.62077888479</v>
      </c>
      <c r="F41" s="95">
        <f t="shared" ca="1" si="8"/>
        <v>1457.4570947341419</v>
      </c>
      <c r="G41" s="268">
        <f t="shared" ca="1" si="4"/>
        <v>0.45196737110445562</v>
      </c>
      <c r="H41" s="191">
        <f t="shared" ca="1" si="7"/>
        <v>292.6133729848014</v>
      </c>
      <c r="I41" s="121">
        <f t="shared" si="5"/>
        <v>322.56042903617299</v>
      </c>
      <c r="J41" s="121">
        <f ca="1">'1.) Preliminary Sizing I'!C75</f>
        <v>246.60037113873466</v>
      </c>
      <c r="K41" s="121">
        <f ca="1">'1.) Preliminary Sizing I'!C96</f>
        <v>247.41898464885219</v>
      </c>
      <c r="L41" s="121">
        <f t="shared" ca="1" si="6"/>
        <v>549.1352031260999</v>
      </c>
      <c r="M41" s="133">
        <f ca="1">'1.) Preliminary Sizing I'!$C$52</f>
        <v>0.37677623932131526</v>
      </c>
      <c r="N41" s="95"/>
      <c r="O41" s="100"/>
    </row>
    <row r="42" spans="1:15">
      <c r="A42" s="119">
        <v>5</v>
      </c>
      <c r="B42" s="95">
        <f t="shared" si="0"/>
        <v>16405</v>
      </c>
      <c r="C42" s="106">
        <f t="shared" si="1"/>
        <v>255.64999999999998</v>
      </c>
      <c r="D42" s="132">
        <f t="shared" si="2"/>
        <v>0.60078171366103017</v>
      </c>
      <c r="E42" s="103">
        <f t="shared" si="3"/>
        <v>54018.11994288049</v>
      </c>
      <c r="F42" s="95">
        <f t="shared" ca="1" si="8"/>
        <v>1363.8264477062287</v>
      </c>
      <c r="G42" s="268">
        <f t="shared" ca="1" si="4"/>
        <v>0.45196737110445562</v>
      </c>
      <c r="H42" s="191">
        <f t="shared" ca="1" si="7"/>
        <v>290.77096892154901</v>
      </c>
      <c r="I42" s="121">
        <f t="shared" si="5"/>
        <v>320.52946702292439</v>
      </c>
      <c r="J42" s="121">
        <f ca="1">'1.) Preliminary Sizing I'!C75</f>
        <v>246.60037113873466</v>
      </c>
      <c r="K42" s="121">
        <f ca="1">'1.) Preliminary Sizing I'!C96</f>
        <v>247.41898464885219</v>
      </c>
      <c r="L42" s="121">
        <f t="shared" ca="1" si="6"/>
        <v>513.85740005370133</v>
      </c>
      <c r="M42" s="133">
        <f ca="1">'1.) Preliminary Sizing I'!$C$52</f>
        <v>0.37677623932131526</v>
      </c>
      <c r="N42" s="95"/>
      <c r="O42" s="100"/>
    </row>
    <row r="43" spans="1:15">
      <c r="A43" s="119">
        <v>5.5</v>
      </c>
      <c r="B43" s="95">
        <f t="shared" si="0"/>
        <v>18045.5</v>
      </c>
      <c r="C43" s="106">
        <f t="shared" si="1"/>
        <v>252.39999999999998</v>
      </c>
      <c r="D43" s="132">
        <f t="shared" si="2"/>
        <v>0.56893044397165604</v>
      </c>
      <c r="E43" s="103">
        <f t="shared" si="3"/>
        <v>50504.93622086104</v>
      </c>
      <c r="F43" s="95">
        <f t="shared" ca="1" si="8"/>
        <v>1275.1270838481826</v>
      </c>
      <c r="G43" s="268">
        <f t="shared" ca="1" si="4"/>
        <v>0.45196737110445562</v>
      </c>
      <c r="H43" s="191">
        <f t="shared" ca="1" si="7"/>
        <v>288.91681620426732</v>
      </c>
      <c r="I43" s="121">
        <f t="shared" si="5"/>
        <v>318.48555395810337</v>
      </c>
      <c r="J43" s="121">
        <f ca="1">'1.) Preliminary Sizing I'!C75</f>
        <v>246.60037113873466</v>
      </c>
      <c r="K43" s="121">
        <f ca="1">'1.) Preliminary Sizing I'!C96</f>
        <v>247.41898464885219</v>
      </c>
      <c r="L43" s="121">
        <f t="shared" ca="1" si="6"/>
        <v>480.43758730907365</v>
      </c>
      <c r="M43" s="133">
        <f ca="1">'1.) Preliminary Sizing I'!$C$52</f>
        <v>0.37677623932131526</v>
      </c>
      <c r="N43" s="95"/>
      <c r="O43" s="100"/>
    </row>
    <row r="44" spans="1:15" s="7" customFormat="1">
      <c r="A44" s="119">
        <v>6</v>
      </c>
      <c r="B44" s="95">
        <f t="shared" si="0"/>
        <v>19686</v>
      </c>
      <c r="C44" s="106">
        <f>T0-L*A44*10^3</f>
        <v>249.14999999999998</v>
      </c>
      <c r="D44" s="132">
        <f t="shared" si="2"/>
        <v>0.53838758469803505</v>
      </c>
      <c r="E44" s="103">
        <f t="shared" si="3"/>
        <v>47179.100595090968</v>
      </c>
      <c r="F44" s="95">
        <f t="shared" ca="1" si="8"/>
        <v>1191.1578047998726</v>
      </c>
      <c r="G44" s="268">
        <f t="shared" ca="1" si="4"/>
        <v>0.45196737110445562</v>
      </c>
      <c r="H44" s="191">
        <f t="shared" ca="1" si="7"/>
        <v>287.05068716804055</v>
      </c>
      <c r="I44" s="121">
        <f t="shared" si="5"/>
        <v>316.42843887678612</v>
      </c>
      <c r="J44" s="121">
        <f ca="1">'1.) Preliminary Sizing I'!C75</f>
        <v>246.60037113873466</v>
      </c>
      <c r="K44" s="121">
        <f ca="1">'1.) Preliminary Sizing I'!C96</f>
        <v>247.41898464885219</v>
      </c>
      <c r="L44" s="121">
        <f t="shared" ca="1" si="6"/>
        <v>448.79995813072929</v>
      </c>
      <c r="M44" s="133">
        <f ca="1">'1.) Preliminary Sizing I'!$C$52</f>
        <v>0.37677623932131526</v>
      </c>
      <c r="N44" s="95"/>
      <c r="O44" s="100"/>
    </row>
    <row r="45" spans="1:15">
      <c r="A45" s="119">
        <v>6.5</v>
      </c>
      <c r="B45" s="95">
        <f t="shared" si="0"/>
        <v>21326.5</v>
      </c>
      <c r="C45" s="106">
        <f t="shared" si="1"/>
        <v>245.89999999999998</v>
      </c>
      <c r="D45" s="132">
        <f t="shared" si="2"/>
        <v>0.50911540842761904</v>
      </c>
      <c r="E45" s="103">
        <f t="shared" si="3"/>
        <v>44032.872202847873</v>
      </c>
      <c r="F45" s="95">
        <f t="shared" ca="1" si="8"/>
        <v>1111.7231725616041</v>
      </c>
      <c r="G45" s="268">
        <f t="shared" ca="1" si="4"/>
        <v>0.45196737110445562</v>
      </c>
      <c r="H45" s="191">
        <f t="shared" ca="1" si="7"/>
        <v>285.17234669876086</v>
      </c>
      <c r="I45" s="121">
        <f t="shared" si="5"/>
        <v>314.35786260248045</v>
      </c>
      <c r="J45" s="121">
        <f ca="1">'1.) Preliminary Sizing I'!C75</f>
        <v>246.60037113873466</v>
      </c>
      <c r="K45" s="121">
        <f ca="1">'1.) Preliminary Sizing I'!C96</f>
        <v>247.41898464885219</v>
      </c>
      <c r="L45" s="121">
        <f t="shared" ca="1" si="6"/>
        <v>418.87087612412279</v>
      </c>
      <c r="M45" s="133">
        <f ca="1">'1.) Preliminary Sizing I'!$C$52</f>
        <v>0.37677623932131526</v>
      </c>
      <c r="N45" s="95"/>
      <c r="O45" s="100"/>
    </row>
    <row r="46" spans="1:15">
      <c r="A46" s="119">
        <v>7</v>
      </c>
      <c r="B46" s="95">
        <f t="shared" si="0"/>
        <v>22967</v>
      </c>
      <c r="C46" s="106">
        <f t="shared" si="1"/>
        <v>242.64999999999998</v>
      </c>
      <c r="D46" s="132">
        <f t="shared" si="2"/>
        <v>0.48107680163851568</v>
      </c>
      <c r="E46" s="103">
        <f t="shared" si="3"/>
        <v>41058.734652827428</v>
      </c>
      <c r="F46" s="95">
        <f t="shared" ca="1" si="8"/>
        <v>1036.6334164922855</v>
      </c>
      <c r="G46" s="268">
        <f t="shared" ca="1" si="4"/>
        <v>0.45196737110445562</v>
      </c>
      <c r="H46" s="191">
        <f t="shared" ca="1" si="7"/>
        <v>283.28155188736201</v>
      </c>
      <c r="I46" s="121">
        <f t="shared" si="5"/>
        <v>312.27355736597355</v>
      </c>
      <c r="J46" s="121">
        <f ca="1">'1.) Preliminary Sizing I'!C75</f>
        <v>246.60037113873466</v>
      </c>
      <c r="K46" s="121">
        <f ca="1">'1.) Preliminary Sizing I'!C96</f>
        <v>247.41898464885219</v>
      </c>
      <c r="L46" s="121">
        <f t="shared" ca="1" si="6"/>
        <v>390.57884022077002</v>
      </c>
      <c r="M46" s="133">
        <f ca="1">'1.) Preliminary Sizing I'!$C$52</f>
        <v>0.37677623932131526</v>
      </c>
      <c r="N46" s="95"/>
      <c r="O46" s="100"/>
    </row>
    <row r="47" spans="1:15">
      <c r="A47" s="119">
        <v>7.5</v>
      </c>
      <c r="B47" s="95">
        <f t="shared" si="0"/>
        <v>24607.5</v>
      </c>
      <c r="C47" s="106">
        <f t="shared" si="1"/>
        <v>239.39999999999998</v>
      </c>
      <c r="D47" s="132">
        <f t="shared" si="2"/>
        <v>0.45423526262594088</v>
      </c>
      <c r="E47" s="103">
        <f t="shared" si="3"/>
        <v>38249.392353824274</v>
      </c>
      <c r="F47" s="95">
        <f t="shared" ref="F47:F58" ca="1" si="9">CL*M*M/g*gamma/2*E47</f>
        <v>965.70434061752803</v>
      </c>
      <c r="G47" s="268">
        <f t="shared" ca="1" si="4"/>
        <v>0.45196737110445562</v>
      </c>
      <c r="H47" s="191">
        <f t="shared" ca="1" si="7"/>
        <v>281.37805166314257</v>
      </c>
      <c r="I47" s="121">
        <f t="shared" si="5"/>
        <v>310.1752464011272</v>
      </c>
      <c r="J47" s="121">
        <f ca="1">'1.) Preliminary Sizing I'!C75</f>
        <v>246.60037113873466</v>
      </c>
      <c r="K47" s="121">
        <f ca="1">'1.) Preliminary Sizing I'!C96</f>
        <v>247.41898464885219</v>
      </c>
      <c r="L47" s="121">
        <f t="shared" ca="1" si="6"/>
        <v>363.85444975414271</v>
      </c>
      <c r="M47" s="133">
        <f ca="1">'1.) Preliminary Sizing I'!$C$52</f>
        <v>0.37677623932131526</v>
      </c>
      <c r="N47" s="95"/>
      <c r="O47" s="100"/>
    </row>
    <row r="48" spans="1:15">
      <c r="A48" s="119">
        <v>8</v>
      </c>
      <c r="B48" s="95">
        <f t="shared" si="0"/>
        <v>26248</v>
      </c>
      <c r="C48" s="106">
        <f t="shared" si="1"/>
        <v>236.14999999999998</v>
      </c>
      <c r="D48" s="132">
        <f t="shared" si="2"/>
        <v>0.42855489940822233</v>
      </c>
      <c r="E48" s="103">
        <f t="shared" si="3"/>
        <v>35597.766855809692</v>
      </c>
      <c r="F48" s="95">
        <f t="shared" ca="1" si="9"/>
        <v>898.75723125073648</v>
      </c>
      <c r="G48" s="268">
        <f t="shared" ca="1" si="4"/>
        <v>0.45196737110445562</v>
      </c>
      <c r="H48" s="191">
        <f t="shared" ca="1" si="7"/>
        <v>279.46158640460783</v>
      </c>
      <c r="I48" s="121">
        <f t="shared" si="5"/>
        <v>308.06264351589272</v>
      </c>
      <c r="J48" s="121">
        <f ca="1">'1.) Preliminary Sizing I'!C75</f>
        <v>246.60037113873466</v>
      </c>
      <c r="K48" s="121">
        <f ca="1">'1.) Preliminary Sizing I'!C96</f>
        <v>247.41898464885219</v>
      </c>
      <c r="L48" s="121">
        <f t="shared" ca="1" si="6"/>
        <v>338.63036965349016</v>
      </c>
      <c r="M48" s="133">
        <f ca="1">'1.) Preliminary Sizing I'!$C$52</f>
        <v>0.37677623932131526</v>
      </c>
      <c r="N48" s="95"/>
      <c r="O48" s="100"/>
    </row>
    <row r="49" spans="1:15">
      <c r="A49" s="119">
        <v>8.5</v>
      </c>
      <c r="B49" s="95">
        <f t="shared" si="0"/>
        <v>27888.5</v>
      </c>
      <c r="C49" s="106">
        <f t="shared" si="1"/>
        <v>232.89999999999998</v>
      </c>
      <c r="D49" s="132">
        <f t="shared" si="2"/>
        <v>0.40400042761187632</v>
      </c>
      <c r="E49" s="103">
        <f t="shared" si="3"/>
        <v>33096.993203529455</v>
      </c>
      <c r="F49" s="95">
        <f t="shared" ca="1" si="9"/>
        <v>835.61876493030309</v>
      </c>
      <c r="G49" s="268">
        <f t="shared" ca="1" si="4"/>
        <v>0.45196737110445562</v>
      </c>
      <c r="H49" s="191">
        <f t="shared" ca="1" si="7"/>
        <v>277.5318875261255</v>
      </c>
      <c r="I49" s="121">
        <f t="shared" si="5"/>
        <v>305.93545263666317</v>
      </c>
      <c r="J49" s="188">
        <f ca="1">'1.) Preliminary Sizing I'!C75</f>
        <v>246.60037113873466</v>
      </c>
      <c r="K49" s="188">
        <f ca="1">'1.) Preliminary Sizing I'!C96</f>
        <v>247.41898464885219</v>
      </c>
      <c r="L49" s="188">
        <f t="shared" ca="1" si="6"/>
        <v>314.84129575676178</v>
      </c>
      <c r="M49" s="137">
        <f ca="1">'1.) Preliminary Sizing I'!$C$52</f>
        <v>0.37677623932131526</v>
      </c>
      <c r="N49" s="32"/>
      <c r="O49" s="100"/>
    </row>
    <row r="50" spans="1:15">
      <c r="A50" s="136">
        <v>9</v>
      </c>
      <c r="B50" s="108">
        <f t="shared" si="0"/>
        <v>29529</v>
      </c>
      <c r="C50" s="106">
        <f t="shared" si="1"/>
        <v>229.64999999999998</v>
      </c>
      <c r="D50" s="132">
        <f t="shared" si="2"/>
        <v>0.3805371683352628</v>
      </c>
      <c r="E50" s="103">
        <f t="shared" si="3"/>
        <v>30740.416302747541</v>
      </c>
      <c r="F50" s="108">
        <f t="shared" ca="1" si="9"/>
        <v>776.12091667607956</v>
      </c>
      <c r="G50" s="268">
        <f t="shared" ca="1" si="4"/>
        <v>0.45196737110445562</v>
      </c>
      <c r="H50" s="192">
        <f t="shared" ca="1" si="7"/>
        <v>275.58867703853139</v>
      </c>
      <c r="I50" s="188">
        <f t="shared" si="5"/>
        <v>303.79336732390982</v>
      </c>
      <c r="J50" s="188">
        <f ca="1">'1.) Preliminary Sizing I'!C75</f>
        <v>246.60037113873466</v>
      </c>
      <c r="K50" s="188">
        <f ca="1">'1.) Preliminary Sizing I'!C96</f>
        <v>247.41898464885219</v>
      </c>
      <c r="L50" s="188">
        <f t="shared" ca="1" si="6"/>
        <v>292.42392024382514</v>
      </c>
      <c r="M50" s="137">
        <f ca="1">'1.) Preliminary Sizing I'!$C$52</f>
        <v>0.37677623932131526</v>
      </c>
      <c r="N50" s="108">
        <f>'1.) Preliminary Sizing I'!C33</f>
        <v>726.88805935483867</v>
      </c>
      <c r="O50" s="135">
        <v>350</v>
      </c>
    </row>
    <row r="51" spans="1:15">
      <c r="A51" s="119">
        <v>9.5</v>
      </c>
      <c r="B51" s="95">
        <f t="shared" si="0"/>
        <v>31169.5</v>
      </c>
      <c r="C51" s="106">
        <f t="shared" si="1"/>
        <v>226.39999999999998</v>
      </c>
      <c r="D51" s="132">
        <f t="shared" si="2"/>
        <v>0.35813104599029655</v>
      </c>
      <c r="E51" s="103">
        <f t="shared" si="3"/>
        <v>28521.587299265913</v>
      </c>
      <c r="F51" s="108">
        <f t="shared" ca="1" si="9"/>
        <v>720.10086856841235</v>
      </c>
      <c r="G51" s="268">
        <f t="shared" ca="1" si="4"/>
        <v>0.45196737110445562</v>
      </c>
      <c r="H51" s="192">
        <f t="shared" ca="1" si="7"/>
        <v>273.63166708164806</v>
      </c>
      <c r="I51" s="188">
        <f t="shared" si="5"/>
        <v>301.63607025685769</v>
      </c>
      <c r="J51" s="188">
        <f ca="1">'1.) Preliminary Sizing I'!C75</f>
        <v>246.60037113873466</v>
      </c>
      <c r="K51" s="188">
        <f ca="1">'1.) Preliminary Sizing I'!C96</f>
        <v>247.41898464885219</v>
      </c>
      <c r="L51" s="188">
        <f t="shared" ref="L51:L58" ca="1" si="10">M51*F51</f>
        <v>271.31689719121914</v>
      </c>
      <c r="M51" s="137">
        <f ca="1">'1.) Preliminary Sizing I'!$C$52</f>
        <v>0.37677623932131526</v>
      </c>
      <c r="N51" s="32"/>
      <c r="O51" s="100"/>
    </row>
    <row r="52" spans="1:15">
      <c r="A52" s="119">
        <v>10</v>
      </c>
      <c r="B52" s="95">
        <f t="shared" si="0"/>
        <v>32810</v>
      </c>
      <c r="C52" s="106">
        <f t="shared" si="1"/>
        <v>223.14999999999998</v>
      </c>
      <c r="D52" s="132">
        <f t="shared" si="2"/>
        <v>0.33674858612168423</v>
      </c>
      <c r="E52" s="103">
        <f t="shared" si="3"/>
        <v>26434.259970852028</v>
      </c>
      <c r="F52" s="108">
        <f t="shared" ca="1" si="9"/>
        <v>667.40091865306852</v>
      </c>
      <c r="G52" s="268">
        <f t="shared" ca="1" si="4"/>
        <v>0.45196737110445562</v>
      </c>
      <c r="H52" s="192">
        <f t="shared" ca="1" si="7"/>
        <v>271.66055942649427</v>
      </c>
      <c r="I52" s="188">
        <f t="shared" si="5"/>
        <v>299.46323268474879</v>
      </c>
      <c r="J52" s="188">
        <f ca="1">'1.) Preliminary Sizing I'!C75</f>
        <v>246.60037113873466</v>
      </c>
      <c r="K52" s="188">
        <f ca="1">'1.) Preliminary Sizing I'!C96</f>
        <v>247.41898464885219</v>
      </c>
      <c r="L52" s="188">
        <f t="shared" ca="1" si="10"/>
        <v>251.4608082496942</v>
      </c>
      <c r="M52" s="137">
        <f ca="1">'1.) Preliminary Sizing I'!$C$52</f>
        <v>0.37677623932131526</v>
      </c>
      <c r="N52" s="95"/>
      <c r="O52" s="100"/>
    </row>
    <row r="53" spans="1:15">
      <c r="A53" s="119">
        <v>10.5</v>
      </c>
      <c r="B53" s="95">
        <f t="shared" si="0"/>
        <v>34450.5</v>
      </c>
      <c r="C53" s="106">
        <f t="shared" si="1"/>
        <v>219.89999999999998</v>
      </c>
      <c r="D53" s="132">
        <f t="shared" si="2"/>
        <v>0.31635691320312492</v>
      </c>
      <c r="E53" s="103">
        <f t="shared" si="3"/>
        <v>24472.387132210195</v>
      </c>
      <c r="F53" s="108">
        <f t="shared" ca="1" si="9"/>
        <v>617.86839017548539</v>
      </c>
      <c r="G53" s="268">
        <f t="shared" ca="1" si="4"/>
        <v>0.45196737110445562</v>
      </c>
      <c r="H53" s="192">
        <f t="shared" ca="1" si="7"/>
        <v>269.67504494474417</v>
      </c>
      <c r="I53" s="188">
        <f t="shared" si="5"/>
        <v>297.2745138420043</v>
      </c>
      <c r="J53" s="188">
        <f ca="1">'1.) Preliminary Sizing I'!C75</f>
        <v>246.60037113873466</v>
      </c>
      <c r="K53" s="188">
        <f ca="1">'1.) Preliminary Sizing I'!C96</f>
        <v>247.41898464885219</v>
      </c>
      <c r="L53" s="188">
        <f t="shared" ca="1" si="10"/>
        <v>232.79812844583449</v>
      </c>
      <c r="M53" s="137">
        <f ca="1">'1.) Preliminary Sizing I'!$C$52</f>
        <v>0.37677623932131526</v>
      </c>
      <c r="N53" s="95"/>
      <c r="O53" s="100"/>
    </row>
    <row r="54" spans="1:15" ht="13.5" thickBot="1">
      <c r="A54" s="120">
        <v>11</v>
      </c>
      <c r="B54" s="104">
        <f t="shared" si="0"/>
        <v>36091</v>
      </c>
      <c r="C54" s="105">
        <f t="shared" si="1"/>
        <v>216.64999999999998</v>
      </c>
      <c r="D54" s="134">
        <f t="shared" si="2"/>
        <v>0.29692374840989805</v>
      </c>
      <c r="E54" s="104">
        <f t="shared" si="3"/>
        <v>22630.117053135888</v>
      </c>
      <c r="F54" s="104">
        <f t="shared" ca="1" si="9"/>
        <v>571.35554114785953</v>
      </c>
      <c r="G54" s="269">
        <f t="shared" ca="1" si="4"/>
        <v>0.45196737110445562</v>
      </c>
      <c r="H54" s="193">
        <f t="shared" ca="1" si="7"/>
        <v>267.67480304276626</v>
      </c>
      <c r="I54" s="131">
        <f t="shared" si="5"/>
        <v>295.06956032434113</v>
      </c>
      <c r="J54" s="131">
        <f ca="1">'1.) Preliminary Sizing I'!C75</f>
        <v>246.60037113873466</v>
      </c>
      <c r="K54" s="131">
        <f ca="1">'1.) Preliminary Sizing I'!C96</f>
        <v>247.41898464885219</v>
      </c>
      <c r="L54" s="131">
        <f t="shared" ca="1" si="10"/>
        <v>215.2731921090855</v>
      </c>
      <c r="M54" s="134">
        <f ca="1">'1.) Preliminary Sizing I'!$C$52</f>
        <v>0.37677623932131526</v>
      </c>
      <c r="N54" s="104"/>
      <c r="O54" s="109"/>
    </row>
    <row r="55" spans="1:15">
      <c r="A55" s="145">
        <v>11.5</v>
      </c>
      <c r="B55" s="103">
        <f t="shared" si="0"/>
        <v>37731.5</v>
      </c>
      <c r="C55" s="106">
        <v>216.65</v>
      </c>
      <c r="D55" s="132">
        <f>0.29707*e^(-g/Rconstant/C55*(A55-11)*1000)</f>
        <v>0.27453990979951326</v>
      </c>
      <c r="E55" s="147">
        <f>22632*POWER(euler,-0.157688*(A55-11))</f>
        <v>20916.134232654775</v>
      </c>
      <c r="F55" s="146">
        <f t="shared" ca="1" si="9"/>
        <v>528.08163409670624</v>
      </c>
      <c r="G55" s="268">
        <f t="shared" ca="1" si="4"/>
        <v>0.45196737110445562</v>
      </c>
      <c r="H55" s="194">
        <f t="shared" ca="1" si="7"/>
        <v>267.67480304276626</v>
      </c>
      <c r="I55" s="189">
        <f t="shared" si="5"/>
        <v>295.06956032434113</v>
      </c>
      <c r="J55" s="189">
        <f ca="1">'1.) Preliminary Sizing I'!C75</f>
        <v>246.60037113873466</v>
      </c>
      <c r="K55" s="189">
        <f ca="1">'1.) Preliminary Sizing I'!C96</f>
        <v>247.41898464885219</v>
      </c>
      <c r="L55" s="189">
        <f t="shared" ca="1" si="10"/>
        <v>198.96861214961183</v>
      </c>
      <c r="M55" s="143">
        <f ca="1">'1.) Preliminary Sizing I'!$C$52</f>
        <v>0.37677623932131526</v>
      </c>
      <c r="N55" s="103"/>
      <c r="O55" s="148"/>
    </row>
    <row r="56" spans="1:15">
      <c r="A56" s="119">
        <v>12</v>
      </c>
      <c r="B56" s="95">
        <f t="shared" si="0"/>
        <v>39372</v>
      </c>
      <c r="C56" s="94">
        <v>216.65</v>
      </c>
      <c r="D56" s="132">
        <f>0.29707*e^(-g/Rconstant/C56*(A56-11)*1000)</f>
        <v>0.2537185244983502</v>
      </c>
      <c r="E56" s="95">
        <f>22632*POWER(euler,-0.157688*(A56-11))</f>
        <v>19330.358396890817</v>
      </c>
      <c r="F56" s="95">
        <f t="shared" ca="1" si="9"/>
        <v>488.0446423014489</v>
      </c>
      <c r="G56" s="268">
        <f t="shared" ca="1" si="4"/>
        <v>0.45196737110445562</v>
      </c>
      <c r="H56" s="192">
        <f t="shared" ca="1" si="7"/>
        <v>267.67480304276626</v>
      </c>
      <c r="I56" s="188">
        <f t="shared" si="5"/>
        <v>295.06956032434113</v>
      </c>
      <c r="J56" s="188">
        <f ca="1">'1.) Preliminary Sizing I'!C75</f>
        <v>246.60037113873466</v>
      </c>
      <c r="K56" s="188">
        <f ca="1">'1.) Preliminary Sizing I'!C96</f>
        <v>247.41898464885219</v>
      </c>
      <c r="L56" s="188">
        <f t="shared" ca="1" si="10"/>
        <v>183.88362494725641</v>
      </c>
      <c r="M56" s="137">
        <f ca="1">'1.) Preliminary Sizing I'!$C$52</f>
        <v>0.37677623932131526</v>
      </c>
      <c r="N56" s="95"/>
      <c r="O56" s="100"/>
    </row>
    <row r="57" spans="1:15">
      <c r="A57" s="181">
        <v>12.5</v>
      </c>
      <c r="B57" s="141">
        <f t="shared" si="0"/>
        <v>41012.5</v>
      </c>
      <c r="C57" s="142">
        <v>216.65</v>
      </c>
      <c r="D57" s="132">
        <f>0.29707*e^(-g/Rconstant/C57*(A57-11)*1000)</f>
        <v>0.23447625418333271</v>
      </c>
      <c r="E57" s="95">
        <f>22632*POWER(euler,-0.157688*(A57-11))</f>
        <v>17864.809605633342</v>
      </c>
      <c r="F57" s="141">
        <f t="shared" ca="1" si="9"/>
        <v>451.04309163596201</v>
      </c>
      <c r="G57" s="268">
        <f t="shared" ca="1" si="4"/>
        <v>0.45196737110445562</v>
      </c>
      <c r="H57" s="192">
        <f t="shared" ca="1" si="7"/>
        <v>267.67480304276626</v>
      </c>
      <c r="I57" s="188">
        <f t="shared" si="5"/>
        <v>295.06956032434113</v>
      </c>
      <c r="J57" s="188">
        <f ca="1">'1.) Preliminary Sizing I'!C75</f>
        <v>246.60037113873466</v>
      </c>
      <c r="K57" s="188">
        <f ca="1">'1.) Preliminary Sizing I'!C96</f>
        <v>247.41898464885219</v>
      </c>
      <c r="L57" s="188">
        <f t="shared" ca="1" si="10"/>
        <v>169.94231983845717</v>
      </c>
      <c r="M57" s="137">
        <f ca="1">'1.) Preliminary Sizing I'!$C$52</f>
        <v>0.37677623932131526</v>
      </c>
      <c r="N57" s="95"/>
      <c r="O57" s="100"/>
    </row>
    <row r="58" spans="1:15" ht="13.5" thickBot="1">
      <c r="A58" s="182">
        <v>13</v>
      </c>
      <c r="B58" s="138">
        <f t="shared" si="0"/>
        <v>42653</v>
      </c>
      <c r="C58" s="139">
        <v>216.65</v>
      </c>
      <c r="D58" s="140">
        <f>0.29707*e^(-g/Rconstant/C58*(A58-11)*1000)</f>
        <v>0.21669333717177738</v>
      </c>
      <c r="E58" s="104">
        <f>22632*POWER(euler,-0.157688*(A58-11))</f>
        <v>16510.37273560655</v>
      </c>
      <c r="F58" s="183">
        <f t="shared" ca="1" si="9"/>
        <v>416.84684735637114</v>
      </c>
      <c r="G58" s="269">
        <f t="shared" ca="1" si="4"/>
        <v>0.45196737110445562</v>
      </c>
      <c r="H58" s="193">
        <f t="shared" ca="1" si="7"/>
        <v>267.67480304276626</v>
      </c>
      <c r="I58" s="131">
        <f t="shared" si="5"/>
        <v>295.06956032434113</v>
      </c>
      <c r="J58" s="131">
        <f ca="1">'1.) Preliminary Sizing I'!C75</f>
        <v>246.60037113873466</v>
      </c>
      <c r="K58" s="131">
        <f ca="1">'1.) Preliminary Sizing I'!C96</f>
        <v>247.41898464885219</v>
      </c>
      <c r="L58" s="131">
        <f t="shared" ca="1" si="10"/>
        <v>157.05798751987987</v>
      </c>
      <c r="M58" s="134">
        <f ca="1">'1.) Preliminary Sizing I'!$C$52</f>
        <v>0.37677623932131526</v>
      </c>
      <c r="N58" s="138"/>
      <c r="O58" s="102"/>
    </row>
    <row r="59" spans="1:15" ht="13.5" thickBot="1">
      <c r="A59" s="184" t="s">
        <v>353</v>
      </c>
      <c r="B59" s="185" t="s">
        <v>310</v>
      </c>
      <c r="C59" s="79"/>
      <c r="D59" s="144"/>
      <c r="E59" s="79"/>
      <c r="F59" s="79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110"/>
      <c r="B60" s="111"/>
      <c r="C60" s="79"/>
      <c r="D60" s="144"/>
      <c r="E60" s="79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G61" s="7"/>
      <c r="H61" s="7"/>
      <c r="I61" s="7"/>
      <c r="J61" s="7"/>
      <c r="K61" s="7"/>
      <c r="L61" s="7"/>
      <c r="M61" s="7"/>
      <c r="N61" s="7"/>
      <c r="O61" s="7"/>
    </row>
    <row r="62" spans="1:15" ht="15.75">
      <c r="A62" t="s">
        <v>167</v>
      </c>
      <c r="B62" t="s">
        <v>47</v>
      </c>
      <c r="C62" s="245">
        <f>'1.) Preliminary Sizing I'!C33</f>
        <v>726.88805935483867</v>
      </c>
      <c r="D62" s="211" t="s">
        <v>6</v>
      </c>
      <c r="E62" s="278" t="s">
        <v>785</v>
      </c>
      <c r="F62" s="279"/>
      <c r="G62" s="279"/>
      <c r="H62" s="279"/>
    </row>
    <row r="63" spans="1:15" ht="15.75">
      <c r="A63" t="s">
        <v>270</v>
      </c>
      <c r="B63" t="s">
        <v>354</v>
      </c>
      <c r="C63" s="245">
        <f ca="1">'1.) Preliminary Sizing I'!C53</f>
        <v>273.87414941128509</v>
      </c>
      <c r="D63" s="211" t="s">
        <v>321</v>
      </c>
      <c r="E63" s="8" t="s">
        <v>221</v>
      </c>
    </row>
    <row r="64" spans="1:15" ht="15.75">
      <c r="A64" t="s">
        <v>720</v>
      </c>
      <c r="B64" s="186" t="s">
        <v>722</v>
      </c>
      <c r="C64" s="83">
        <f ca="1">(2*g*C62)/(CL*M^2*gamma)</f>
        <v>28790.412769393006</v>
      </c>
      <c r="D64" s="211" t="s">
        <v>13</v>
      </c>
      <c r="E64" s="8"/>
      <c r="G64" s="12"/>
      <c r="H64" s="13"/>
      <c r="I64" s="4"/>
    </row>
    <row r="65" spans="1:256" ht="15.75">
      <c r="A65" t="s">
        <v>289</v>
      </c>
      <c r="B65" s="186" t="s">
        <v>362</v>
      </c>
      <c r="C65" s="271">
        <f ca="1">T0/L*(1-(C64/p0)^(1/5.25588))</f>
        <v>9438.2411520166715</v>
      </c>
      <c r="D65" s="267" t="s">
        <v>1</v>
      </c>
      <c r="E65" s="8"/>
      <c r="F65" s="13"/>
      <c r="G65" s="4"/>
      <c r="H65" s="13"/>
    </row>
    <row r="66" spans="1:256" ht="15.75">
      <c r="A66" t="s">
        <v>289</v>
      </c>
      <c r="B66" s="186" t="s">
        <v>362</v>
      </c>
      <c r="C66" s="15">
        <f ca="1">C65*3.281</f>
        <v>30966.869219766701</v>
      </c>
      <c r="D66" s="13" t="s">
        <v>363</v>
      </c>
      <c r="E66" s="8"/>
      <c r="F66" s="13"/>
      <c r="G66" s="4"/>
      <c r="H66" s="13"/>
    </row>
    <row r="67" spans="1:256">
      <c r="A67" s="13" t="s">
        <v>360</v>
      </c>
      <c r="B67" s="261" t="s">
        <v>244</v>
      </c>
      <c r="C67">
        <f ca="1">(1-2.2558*10^-5*C65)^4.25588</f>
        <v>0.36099182253660878</v>
      </c>
      <c r="D67" s="261"/>
      <c r="F67" s="261"/>
      <c r="H67" s="261"/>
      <c r="J67" s="261"/>
      <c r="L67" s="261"/>
      <c r="N67" s="261"/>
      <c r="P67" s="261"/>
      <c r="R67" s="261"/>
      <c r="T67" s="261"/>
      <c r="V67" s="261"/>
      <c r="X67" s="261"/>
      <c r="Z67" s="261"/>
      <c r="AB67" s="261"/>
      <c r="AD67" s="261"/>
      <c r="AF67" s="261"/>
      <c r="AH67" s="261"/>
      <c r="AJ67" s="261"/>
      <c r="AL67" s="261"/>
      <c r="AN67" s="261"/>
      <c r="AP67" s="261"/>
      <c r="AR67" s="261"/>
      <c r="AT67" s="261"/>
      <c r="AV67" s="261"/>
      <c r="AX67" s="261"/>
      <c r="AZ67" s="261"/>
      <c r="BB67" s="261"/>
      <c r="BD67" s="261"/>
      <c r="BF67" s="261"/>
      <c r="BH67" s="261"/>
      <c r="BJ67" s="261"/>
      <c r="BL67" s="261"/>
      <c r="BN67" s="261"/>
      <c r="BP67" s="261"/>
      <c r="BR67" s="261"/>
      <c r="BT67" s="261"/>
      <c r="BV67" s="261"/>
      <c r="BX67" s="261"/>
      <c r="BZ67" s="261"/>
      <c r="CB67" s="261"/>
      <c r="CD67" s="261"/>
      <c r="CF67" s="261"/>
      <c r="CH67" s="261"/>
      <c r="CJ67" s="261"/>
      <c r="CL67" s="261"/>
      <c r="CN67" s="261"/>
      <c r="CP67" s="261"/>
      <c r="CR67" s="261"/>
      <c r="CT67" s="261"/>
      <c r="CV67" s="261"/>
      <c r="CX67" s="261"/>
      <c r="CZ67" s="261"/>
      <c r="DB67" s="261"/>
      <c r="DD67" s="261"/>
      <c r="DF67" s="261"/>
      <c r="DH67" s="261"/>
      <c r="DJ67" s="261"/>
      <c r="DL67" s="261"/>
      <c r="DN67" s="261"/>
      <c r="DP67" s="261"/>
      <c r="DR67" s="261"/>
      <c r="DT67" s="261"/>
      <c r="DV67" s="261"/>
      <c r="DX67" s="261"/>
      <c r="DZ67" s="261"/>
      <c r="EB67" s="261"/>
      <c r="ED67" s="261"/>
      <c r="EF67" s="261"/>
      <c r="EH67" s="261"/>
      <c r="EJ67" s="261"/>
      <c r="EL67" s="261"/>
      <c r="EN67" s="261"/>
      <c r="EP67" s="261"/>
      <c r="ER67" s="261"/>
      <c r="ET67" s="261"/>
      <c r="EV67" s="261"/>
      <c r="EX67" s="261"/>
      <c r="EZ67" s="261"/>
      <c r="FB67" s="261"/>
      <c r="FD67" s="261"/>
      <c r="FF67" s="261"/>
      <c r="FH67" s="261"/>
      <c r="FJ67" s="261"/>
      <c r="FL67" s="261"/>
      <c r="FN67" s="261"/>
      <c r="FP67" s="261"/>
      <c r="FR67" s="261"/>
      <c r="FT67" s="261"/>
      <c r="FV67" s="261"/>
      <c r="FX67" s="261"/>
      <c r="FZ67" s="261"/>
      <c r="GB67" s="261"/>
      <c r="GD67" s="261"/>
      <c r="GF67" s="261"/>
      <c r="GH67" s="261"/>
      <c r="GJ67" s="261"/>
      <c r="GL67" s="261"/>
      <c r="GN67" s="261"/>
      <c r="GP67" s="261"/>
      <c r="GR67" s="261"/>
      <c r="GT67" s="261"/>
      <c r="GV67" s="261"/>
      <c r="GX67" s="261"/>
      <c r="GZ67" s="261"/>
      <c r="HB67" s="261"/>
      <c r="HD67" s="261"/>
      <c r="HF67" s="261"/>
      <c r="HH67" s="261"/>
      <c r="HJ67" s="261"/>
      <c r="HL67" s="261"/>
      <c r="HN67" s="261"/>
      <c r="HP67" s="261"/>
      <c r="HR67" s="261"/>
      <c r="HT67" s="261"/>
      <c r="HV67" s="261"/>
      <c r="HX67" s="261"/>
      <c r="HZ67" s="261"/>
      <c r="IB67" s="261"/>
      <c r="ID67" s="261"/>
      <c r="IF67" s="261"/>
      <c r="IH67" s="261"/>
      <c r="IJ67" s="261"/>
      <c r="IL67" s="261"/>
      <c r="IN67" s="261"/>
      <c r="IP67" s="261"/>
      <c r="IR67" s="261"/>
      <c r="IT67" s="261"/>
      <c r="IV67" s="261"/>
    </row>
    <row r="68" spans="1:256">
      <c r="A68" t="s">
        <v>361</v>
      </c>
      <c r="B68" s="186" t="s">
        <v>260</v>
      </c>
      <c r="C68" s="97">
        <f ca="1">T0-L*C65</f>
        <v>226.80143251189162</v>
      </c>
      <c r="D68" s="13" t="s">
        <v>17</v>
      </c>
      <c r="E68" s="8"/>
      <c r="F68" s="13"/>
      <c r="G68" s="4"/>
      <c r="H68" s="13"/>
    </row>
    <row r="69" spans="1:256">
      <c r="A69" s="19" t="s">
        <v>365</v>
      </c>
      <c r="B69" t="s">
        <v>0</v>
      </c>
      <c r="C69" s="129">
        <f ca="1">SQRT(gamma*Rconstant*C68)</f>
        <v>301.90336905965529</v>
      </c>
      <c r="D69" t="s">
        <v>2</v>
      </c>
      <c r="E69" s="8"/>
      <c r="F69" s="13"/>
      <c r="G69" s="4"/>
    </row>
    <row r="70" spans="1:256" ht="15.75">
      <c r="A70" s="13" t="s">
        <v>215</v>
      </c>
      <c r="B70" s="13" t="s">
        <v>456</v>
      </c>
      <c r="C70" s="129">
        <f ca="1">C69*M</f>
        <v>150.95168452982765</v>
      </c>
      <c r="D70" s="13" t="s">
        <v>2</v>
      </c>
      <c r="E70" s="8"/>
    </row>
    <row r="71" spans="1:256" ht="15.75">
      <c r="A71" t="s">
        <v>355</v>
      </c>
      <c r="B71" s="186" t="s">
        <v>325</v>
      </c>
      <c r="C71" s="83">
        <f ca="1">C70*g/($C$63*L_D*propefcruise)</f>
        <v>0.45196737110445562</v>
      </c>
      <c r="D71" s="20"/>
      <c r="E71" s="8"/>
    </row>
    <row r="72" spans="1:256">
      <c r="A72" s="57"/>
      <c r="B72" s="7"/>
      <c r="C72" s="246"/>
      <c r="D72" s="7"/>
      <c r="E72" s="247"/>
      <c r="F72" s="7"/>
      <c r="G72" s="7"/>
      <c r="H72" s="7"/>
    </row>
    <row r="73" spans="1:256" ht="15.75">
      <c r="A73" s="51" t="s">
        <v>364</v>
      </c>
      <c r="B73" s="51" t="s">
        <v>366</v>
      </c>
      <c r="C73" s="248">
        <f ca="1">C70</f>
        <v>150.95168452982765</v>
      </c>
      <c r="D73" s="249" t="s">
        <v>2</v>
      </c>
      <c r="E73" s="250"/>
      <c r="F73" s="51"/>
      <c r="G73" s="51"/>
      <c r="H73" s="51"/>
    </row>
    <row r="74" spans="1:256">
      <c r="R74" s="82"/>
      <c r="T74" s="14"/>
    </row>
    <row r="75" spans="1:256">
      <c r="C75" s="83"/>
      <c r="E75" s="84" t="s">
        <v>279</v>
      </c>
    </row>
    <row r="76" spans="1:256">
      <c r="A76" t="s">
        <v>115</v>
      </c>
      <c r="B76" s="15" t="s">
        <v>105</v>
      </c>
      <c r="C76" s="5">
        <v>1852</v>
      </c>
      <c r="D76" t="s">
        <v>106</v>
      </c>
      <c r="E76" s="84" t="s">
        <v>280</v>
      </c>
    </row>
    <row r="77" spans="1:256">
      <c r="A77" t="s">
        <v>168</v>
      </c>
      <c r="B77" t="s">
        <v>18</v>
      </c>
      <c r="C77" s="280">
        <v>1510</v>
      </c>
      <c r="D77" s="266" t="s">
        <v>104</v>
      </c>
      <c r="E77" s="84" t="s">
        <v>311</v>
      </c>
    </row>
    <row r="78" spans="1:256">
      <c r="A78" t="s">
        <v>168</v>
      </c>
      <c r="B78" t="s">
        <v>18</v>
      </c>
      <c r="C78" s="41">
        <f>C77*C76</f>
        <v>2796520</v>
      </c>
      <c r="D78" t="s">
        <v>1</v>
      </c>
    </row>
    <row r="79" spans="1:256" ht="15.75">
      <c r="A79" t="s">
        <v>169</v>
      </c>
      <c r="B79" t="s">
        <v>48</v>
      </c>
      <c r="C79" s="273">
        <v>200</v>
      </c>
      <c r="D79" t="s">
        <v>104</v>
      </c>
      <c r="E79" t="s">
        <v>171</v>
      </c>
      <c r="F79">
        <v>200</v>
      </c>
      <c r="G79" t="s">
        <v>104</v>
      </c>
    </row>
    <row r="80" spans="1:256" ht="15.75">
      <c r="A80" t="s">
        <v>169</v>
      </c>
      <c r="B80" t="s">
        <v>48</v>
      </c>
      <c r="C80" s="41">
        <f>C79*C76</f>
        <v>370400</v>
      </c>
      <c r="D80" t="s">
        <v>1</v>
      </c>
      <c r="E80" s="12" t="s">
        <v>222</v>
      </c>
    </row>
    <row r="81" spans="1:7" ht="15.75">
      <c r="A81" s="12" t="s">
        <v>252</v>
      </c>
      <c r="B81" t="s">
        <v>20</v>
      </c>
      <c r="C81" s="272" t="s">
        <v>230</v>
      </c>
      <c r="E81" s="56" t="s">
        <v>19</v>
      </c>
      <c r="F81" s="70" t="s">
        <v>49</v>
      </c>
      <c r="G81" s="71"/>
    </row>
    <row r="82" spans="1:7">
      <c r="B82" t="s">
        <v>75</v>
      </c>
      <c r="C82" s="90" t="str">
        <f>IF(C81="yes","no","yes")</f>
        <v>yes</v>
      </c>
      <c r="E82" s="27" t="s">
        <v>20</v>
      </c>
      <c r="F82" s="74">
        <f>C80</f>
        <v>370400</v>
      </c>
      <c r="G82" s="75" t="s">
        <v>1</v>
      </c>
    </row>
    <row r="83" spans="1:7">
      <c r="A83" s="17" t="s">
        <v>170</v>
      </c>
      <c r="C83" s="96">
        <v>0.05</v>
      </c>
      <c r="E83" s="68" t="s">
        <v>75</v>
      </c>
      <c r="F83" s="1">
        <f>C78*C83+C80</f>
        <v>510226</v>
      </c>
      <c r="G83" s="22" t="s">
        <v>1</v>
      </c>
    </row>
    <row r="84" spans="1:7">
      <c r="C84" s="10"/>
    </row>
    <row r="85" spans="1:7" ht="15.75">
      <c r="A85" t="s">
        <v>173</v>
      </c>
      <c r="B85" t="s">
        <v>49</v>
      </c>
      <c r="C85" s="123">
        <f>IF(C81="yes",F82,F83)</f>
        <v>510226</v>
      </c>
      <c r="D85" t="s">
        <v>1</v>
      </c>
      <c r="E85" s="8"/>
    </row>
    <row r="86" spans="1:7" ht="15.75">
      <c r="A86" t="s">
        <v>312</v>
      </c>
      <c r="B86" t="s">
        <v>254</v>
      </c>
      <c r="C86" s="251">
        <f ca="1">'5.) Fuel consumption'!C22</f>
        <v>1.7269116953439451E-8</v>
      </c>
      <c r="D86" s="12" t="s">
        <v>286</v>
      </c>
      <c r="E86" s="13" t="s">
        <v>492</v>
      </c>
      <c r="F86" s="122"/>
      <c r="G86" s="13"/>
    </row>
    <row r="87" spans="1:7">
      <c r="C87" s="36"/>
      <c r="E87" s="12" t="s">
        <v>172</v>
      </c>
      <c r="F87" s="69"/>
    </row>
    <row r="88" spans="1:7" ht="15.75">
      <c r="A88" t="s">
        <v>174</v>
      </c>
      <c r="B88" t="s">
        <v>68</v>
      </c>
      <c r="C88" s="5">
        <f ca="1">(C16*L_D)/C86/g</f>
        <v>70617072.331100464</v>
      </c>
      <c r="D88" t="s">
        <v>1</v>
      </c>
      <c r="E88" s="56" t="s">
        <v>19</v>
      </c>
      <c r="F88" s="70" t="s">
        <v>71</v>
      </c>
      <c r="G88" s="71"/>
    </row>
    <row r="89" spans="1:7" ht="15.75">
      <c r="A89" t="s">
        <v>175</v>
      </c>
      <c r="B89" t="s">
        <v>69</v>
      </c>
      <c r="C89" s="10">
        <f ca="1">POWER(e,-C78/C88)</f>
        <v>0.96117268935150368</v>
      </c>
      <c r="E89" s="27" t="s">
        <v>20</v>
      </c>
      <c r="F89" s="7">
        <v>2700</v>
      </c>
      <c r="G89" s="21" t="s">
        <v>21</v>
      </c>
    </row>
    <row r="90" spans="1:7" ht="15.75">
      <c r="A90" t="s">
        <v>313</v>
      </c>
      <c r="B90" t="s">
        <v>70</v>
      </c>
      <c r="C90" s="10">
        <f ca="1">POWER(e,-C85/C88)</f>
        <v>0.99280078939427552</v>
      </c>
      <c r="E90" s="68" t="s">
        <v>75</v>
      </c>
      <c r="F90" s="1">
        <v>1800</v>
      </c>
      <c r="G90" s="22" t="s">
        <v>21</v>
      </c>
    </row>
    <row r="91" spans="1:7">
      <c r="C91" s="10"/>
    </row>
    <row r="92" spans="1:7" ht="15.75">
      <c r="A92" t="s">
        <v>176</v>
      </c>
      <c r="B92" t="s">
        <v>71</v>
      </c>
      <c r="C92" s="123">
        <f>IF(C81="yes",F89,F90)</f>
        <v>1800</v>
      </c>
      <c r="D92" t="s">
        <v>21</v>
      </c>
      <c r="E92" s="8"/>
    </row>
    <row r="93" spans="1:7" ht="15.75">
      <c r="A93" t="s">
        <v>314</v>
      </c>
      <c r="B93" t="s">
        <v>72</v>
      </c>
      <c r="C93" s="251">
        <f ca="1">C86</f>
        <v>1.7269116953439451E-8</v>
      </c>
      <c r="D93" s="12" t="s">
        <v>286</v>
      </c>
    </row>
    <row r="94" spans="1:7" ht="15.75">
      <c r="A94" t="s">
        <v>177</v>
      </c>
      <c r="B94" t="s">
        <v>73</v>
      </c>
      <c r="C94" s="5">
        <f ca="1">C88/C70</f>
        <v>467812.41660901584</v>
      </c>
      <c r="D94" t="s">
        <v>21</v>
      </c>
    </row>
    <row r="95" spans="1:7" ht="15.75">
      <c r="A95" t="s">
        <v>178</v>
      </c>
      <c r="B95" t="s">
        <v>74</v>
      </c>
      <c r="C95" s="10">
        <f ca="1">POWER(e,-C92/C94)</f>
        <v>0.99615969682136341</v>
      </c>
    </row>
    <row r="96" spans="1:7" ht="15.75">
      <c r="C96" s="10"/>
      <c r="E96" s="32" t="s">
        <v>22</v>
      </c>
      <c r="F96" s="28" t="s">
        <v>211</v>
      </c>
      <c r="G96" s="29"/>
    </row>
    <row r="97" spans="1:7">
      <c r="C97" s="91"/>
      <c r="E97" s="32"/>
      <c r="F97" s="126" t="s">
        <v>255</v>
      </c>
      <c r="G97" s="30" t="s">
        <v>261</v>
      </c>
    </row>
    <row r="98" spans="1:7" ht="15.75">
      <c r="A98" t="s">
        <v>179</v>
      </c>
      <c r="B98" t="s">
        <v>77</v>
      </c>
      <c r="C98" s="274">
        <v>0.997</v>
      </c>
      <c r="D98" s="12" t="s">
        <v>223</v>
      </c>
      <c r="E98" s="86" t="s">
        <v>288</v>
      </c>
      <c r="F98" s="80" t="s">
        <v>259</v>
      </c>
      <c r="G98" s="34">
        <v>0.99</v>
      </c>
    </row>
    <row r="99" spans="1:7" ht="15.75">
      <c r="A99" t="s">
        <v>180</v>
      </c>
      <c r="B99" t="s">
        <v>76</v>
      </c>
      <c r="C99" s="274">
        <v>0.99299999999999999</v>
      </c>
      <c r="D99" s="12" t="s">
        <v>224</v>
      </c>
      <c r="E99" s="87" t="s">
        <v>23</v>
      </c>
      <c r="F99" s="80" t="s">
        <v>260</v>
      </c>
      <c r="G99" s="23">
        <v>0.995</v>
      </c>
    </row>
    <row r="100" spans="1:7" ht="15.75">
      <c r="A100" t="s">
        <v>181</v>
      </c>
      <c r="B100" t="s">
        <v>78</v>
      </c>
      <c r="C100" s="274">
        <v>0.99299999999999999</v>
      </c>
      <c r="D100" s="12" t="s">
        <v>225</v>
      </c>
      <c r="E100" s="87" t="s">
        <v>24</v>
      </c>
      <c r="F100" s="80" t="s">
        <v>256</v>
      </c>
      <c r="G100" s="23">
        <v>0.995</v>
      </c>
    </row>
    <row r="101" spans="1:7" ht="15.75">
      <c r="A101" t="s">
        <v>182</v>
      </c>
      <c r="B101" t="s">
        <v>79</v>
      </c>
      <c r="C101" s="274">
        <v>0.99299999999999999</v>
      </c>
      <c r="D101" s="12" t="s">
        <v>226</v>
      </c>
      <c r="E101" s="87" t="s">
        <v>25</v>
      </c>
      <c r="F101" s="80" t="s">
        <v>257</v>
      </c>
      <c r="G101" s="124">
        <v>0.98499999999999999</v>
      </c>
    </row>
    <row r="102" spans="1:7" ht="15.75">
      <c r="A102" t="s">
        <v>183</v>
      </c>
      <c r="B102" t="s">
        <v>80</v>
      </c>
      <c r="C102" s="274">
        <v>0.99299999999999999</v>
      </c>
      <c r="D102" s="12" t="s">
        <v>227</v>
      </c>
      <c r="E102" s="87" t="s">
        <v>26</v>
      </c>
      <c r="F102" s="80" t="s">
        <v>258</v>
      </c>
      <c r="G102" s="23">
        <v>0.98499999999999999</v>
      </c>
    </row>
    <row r="103" spans="1:7" ht="15.75">
      <c r="A103" t="s">
        <v>184</v>
      </c>
      <c r="B103" t="s">
        <v>81</v>
      </c>
      <c r="C103" s="274">
        <v>0.99299999999999999</v>
      </c>
      <c r="D103" s="12" t="s">
        <v>228</v>
      </c>
      <c r="E103" s="88" t="s">
        <v>27</v>
      </c>
      <c r="F103" s="125" t="s">
        <v>248</v>
      </c>
      <c r="G103" s="35">
        <v>0.995</v>
      </c>
    </row>
    <row r="104" spans="1:7">
      <c r="C104" s="10"/>
      <c r="E104" s="7"/>
      <c r="F104" s="7"/>
    </row>
    <row r="105" spans="1:7" ht="15.75">
      <c r="A105" t="s">
        <v>185</v>
      </c>
      <c r="B105" t="s">
        <v>82</v>
      </c>
      <c r="C105" s="10">
        <f ca="1">C100*C101*C89*C102*C103</f>
        <v>0.93454112239917675</v>
      </c>
      <c r="E105" s="7"/>
      <c r="F105" s="7"/>
    </row>
    <row r="106" spans="1:7" ht="15.75">
      <c r="A106" t="s">
        <v>186</v>
      </c>
      <c r="B106" t="s">
        <v>83</v>
      </c>
      <c r="C106" s="10">
        <f ca="1">C101*C90*C95*C102</f>
        <v>0.97519075991840853</v>
      </c>
    </row>
    <row r="107" spans="1:7" ht="15.75">
      <c r="A107" t="s">
        <v>187</v>
      </c>
      <c r="B107" t="s">
        <v>84</v>
      </c>
      <c r="C107" s="10">
        <f ca="1">C105*C106</f>
        <v>0.91135586732745566</v>
      </c>
      <c r="E107" s="7"/>
      <c r="F107" s="7"/>
    </row>
    <row r="108" spans="1:7" ht="15.75">
      <c r="A108" t="s">
        <v>199</v>
      </c>
      <c r="B108" t="s">
        <v>85</v>
      </c>
      <c r="C108" s="10">
        <f ca="1">1-C107</f>
        <v>8.864413267254434E-2</v>
      </c>
      <c r="E108" s="7"/>
      <c r="F108" s="7"/>
    </row>
    <row r="109" spans="1:7">
      <c r="C109" s="10"/>
      <c r="E109" s="7"/>
      <c r="F109" s="7"/>
    </row>
    <row r="110" spans="1:7" ht="15.75">
      <c r="A110" t="s">
        <v>188</v>
      </c>
      <c r="B110" t="s">
        <v>86</v>
      </c>
      <c r="C110" s="10">
        <f ca="1">'9.) Mass H2 Powertrain'!C22</f>
        <v>0.74693951680133819</v>
      </c>
      <c r="D110" s="219"/>
      <c r="E110" s="89" t="s">
        <v>493</v>
      </c>
      <c r="F110" s="7"/>
    </row>
    <row r="111" spans="1:7" ht="15.75">
      <c r="A111" t="s">
        <v>188</v>
      </c>
      <c r="B111" t="s">
        <v>86</v>
      </c>
      <c r="C111" s="275">
        <v>0.53500000000000003</v>
      </c>
      <c r="E111" s="89" t="s">
        <v>356</v>
      </c>
      <c r="F111" s="7"/>
    </row>
    <row r="112" spans="1:7" ht="15.75">
      <c r="A112" t="s">
        <v>188</v>
      </c>
      <c r="B112" t="s">
        <v>86</v>
      </c>
      <c r="C112" s="276">
        <f ca="1">C110</f>
        <v>0.74693951680133819</v>
      </c>
      <c r="E112" s="8" t="s">
        <v>146</v>
      </c>
      <c r="F112" s="7"/>
    </row>
    <row r="113" spans="1:11">
      <c r="C113" s="36"/>
      <c r="E113" s="7"/>
    </row>
    <row r="114" spans="1:11">
      <c r="A114" s="12" t="s">
        <v>189</v>
      </c>
      <c r="B114" t="s">
        <v>190</v>
      </c>
      <c r="C114" s="275" t="s">
        <v>229</v>
      </c>
      <c r="E114" s="8" t="s">
        <v>146</v>
      </c>
    </row>
    <row r="115" spans="1:11">
      <c r="B115" t="s">
        <v>191</v>
      </c>
      <c r="C115" s="90" t="str">
        <f>IF(C114="yes","no","yes")</f>
        <v>no</v>
      </c>
    </row>
    <row r="116" spans="1:11" ht="15.75">
      <c r="A116" t="s">
        <v>192</v>
      </c>
      <c r="B116" s="51" t="s">
        <v>87</v>
      </c>
      <c r="C116" s="123">
        <v>93</v>
      </c>
      <c r="D116" t="s">
        <v>28</v>
      </c>
      <c r="E116" s="32" t="s">
        <v>88</v>
      </c>
      <c r="F116" s="56"/>
      <c r="G116" s="30" t="s">
        <v>213</v>
      </c>
      <c r="H116" s="30" t="s">
        <v>214</v>
      </c>
    </row>
    <row r="117" spans="1:11" ht="15.75">
      <c r="A117" t="s">
        <v>193</v>
      </c>
      <c r="B117" t="s">
        <v>89</v>
      </c>
      <c r="C117" s="271">
        <v>180</v>
      </c>
      <c r="D117" s="277"/>
      <c r="E117" s="52" t="s">
        <v>87</v>
      </c>
      <c r="F117" s="1"/>
      <c r="G117" s="53">
        <v>93</v>
      </c>
      <c r="H117" s="47">
        <v>97.5</v>
      </c>
    </row>
    <row r="118" spans="1:11" ht="15.75">
      <c r="A118" t="s">
        <v>194</v>
      </c>
      <c r="B118" t="s">
        <v>91</v>
      </c>
      <c r="C118" s="271">
        <v>2516</v>
      </c>
      <c r="D118" s="267" t="s">
        <v>28</v>
      </c>
      <c r="E118" s="85"/>
      <c r="H118" s="13"/>
    </row>
    <row r="119" spans="1:11" ht="15.75">
      <c r="A119" t="s">
        <v>195</v>
      </c>
      <c r="B119" t="s">
        <v>90</v>
      </c>
      <c r="C119" s="37">
        <f>C116*C117+C118</f>
        <v>19256</v>
      </c>
      <c r="D119" s="38" t="s">
        <v>28</v>
      </c>
      <c r="H119" s="13"/>
    </row>
    <row r="120" spans="1:11">
      <c r="C120" s="5"/>
      <c r="E120" s="197"/>
      <c r="I120" s="13"/>
    </row>
    <row r="121" spans="1:11" ht="15.75">
      <c r="A121" t="s">
        <v>196</v>
      </c>
      <c r="B121" t="s">
        <v>92</v>
      </c>
      <c r="C121" s="37">
        <f ca="1">'9.) Mass H2 Powertrain'!C20</f>
        <v>123974.76621348438</v>
      </c>
      <c r="D121" s="38" t="s">
        <v>28</v>
      </c>
      <c r="F121" s="20"/>
      <c r="G121" s="20"/>
      <c r="H121" s="84"/>
    </row>
    <row r="122" spans="1:11" ht="15.75">
      <c r="A122" t="s">
        <v>197</v>
      </c>
      <c r="B122" t="s">
        <v>93</v>
      </c>
      <c r="C122" s="37">
        <f ca="1">C121*'1.) Preliminary Sizing I'!C31</f>
        <v>115296.53257854049</v>
      </c>
      <c r="D122" s="38" t="s">
        <v>28</v>
      </c>
      <c r="F122" s="20"/>
      <c r="G122" s="20"/>
      <c r="H122" s="84"/>
    </row>
    <row r="123" spans="1:11" ht="15.75">
      <c r="A123" t="s">
        <v>198</v>
      </c>
      <c r="B123" t="s">
        <v>94</v>
      </c>
      <c r="C123" s="37">
        <f ca="1">C121*C112</f>
        <v>92601.651971058891</v>
      </c>
      <c r="D123" s="38" t="s">
        <v>28</v>
      </c>
      <c r="F123" s="20"/>
      <c r="G123" s="20"/>
    </row>
    <row r="124" spans="1:11" ht="15.75">
      <c r="A124" t="s">
        <v>200</v>
      </c>
      <c r="B124" t="s">
        <v>107</v>
      </c>
      <c r="C124" s="37">
        <f ca="1">C121*C108</f>
        <v>10989.635624275777</v>
      </c>
      <c r="D124" s="38" t="s">
        <v>28</v>
      </c>
      <c r="F124" s="20"/>
      <c r="G124" s="20"/>
      <c r="H124" s="98"/>
      <c r="I124" s="44"/>
      <c r="J124" s="38"/>
      <c r="K124" s="8"/>
    </row>
    <row r="125" spans="1:11">
      <c r="A125" s="13" t="s">
        <v>776</v>
      </c>
      <c r="C125" s="37">
        <f ca="1">C124/F125</f>
        <v>31398.958926502222</v>
      </c>
      <c r="D125" s="38" t="s">
        <v>28</v>
      </c>
      <c r="E125" s="263" t="s">
        <v>777</v>
      </c>
      <c r="F125" s="264">
        <v>0.35</v>
      </c>
      <c r="G125" s="20"/>
      <c r="H125" s="98"/>
      <c r="I125" s="44"/>
      <c r="J125" s="38"/>
      <c r="K125" s="8"/>
    </row>
    <row r="126" spans="1:11" ht="15.75">
      <c r="A126" t="s">
        <v>201</v>
      </c>
      <c r="B126" t="s">
        <v>95</v>
      </c>
      <c r="C126" s="44">
        <f ca="1">C121/C62</f>
        <v>170.55551349064697</v>
      </c>
      <c r="D126" s="38" t="s">
        <v>29</v>
      </c>
      <c r="F126" s="20"/>
      <c r="G126" s="20"/>
      <c r="H126" s="98"/>
      <c r="I126" s="44"/>
      <c r="J126" s="38"/>
      <c r="K126" s="8"/>
    </row>
    <row r="127" spans="1:11" ht="15.75">
      <c r="A127" s="13" t="s">
        <v>787</v>
      </c>
      <c r="B127" s="13" t="s">
        <v>788</v>
      </c>
      <c r="C127" s="284">
        <f ca="1">SQRT('1.) Preliminary Sizing I'!C58*C126)</f>
        <v>52.238761622480595</v>
      </c>
      <c r="D127" s="38" t="s">
        <v>1</v>
      </c>
      <c r="E127" s="285"/>
      <c r="F127" s="20"/>
      <c r="G127" s="20"/>
      <c r="H127" s="286" t="s">
        <v>789</v>
      </c>
      <c r="I127" s="284"/>
      <c r="J127" s="287"/>
      <c r="K127" s="8"/>
    </row>
    <row r="128" spans="1:11" ht="15.75">
      <c r="A128" s="13" t="s">
        <v>486</v>
      </c>
      <c r="B128" s="13" t="s">
        <v>688</v>
      </c>
      <c r="C128" s="127">
        <f ca="1">C121*C63</f>
        <v>33953483.645180963</v>
      </c>
      <c r="D128" s="93" t="s">
        <v>287</v>
      </c>
      <c r="E128" s="12" t="s">
        <v>349</v>
      </c>
    </row>
    <row r="129" spans="1:8" ht="15.75">
      <c r="A129" s="13" t="s">
        <v>487</v>
      </c>
      <c r="B129" s="13" t="s">
        <v>689</v>
      </c>
      <c r="C129" s="37">
        <f ca="1">C128/'1.) Preliminary Sizing I'!C70</f>
        <v>16976741.822590481</v>
      </c>
      <c r="D129" s="38" t="s">
        <v>287</v>
      </c>
      <c r="E129" s="12" t="s">
        <v>210</v>
      </c>
      <c r="F129" s="13">
        <f ca="1">'1.) Preliminary Sizing I'!C49</f>
        <v>17303353.326263398</v>
      </c>
      <c r="G129" s="13" t="s">
        <v>287</v>
      </c>
      <c r="H129" s="13" t="s">
        <v>296</v>
      </c>
    </row>
    <row r="130" spans="1:8" ht="15.75">
      <c r="A130" s="13" t="s">
        <v>487</v>
      </c>
      <c r="B130" s="13" t="s">
        <v>689</v>
      </c>
      <c r="C130" s="5">
        <f ca="1">C129*0.2248</f>
        <v>3816371.56171834</v>
      </c>
      <c r="D130" t="s">
        <v>30</v>
      </c>
      <c r="E130" s="12" t="s">
        <v>210</v>
      </c>
    </row>
    <row r="131" spans="1:8">
      <c r="A131" s="13"/>
      <c r="C131" s="5"/>
      <c r="E131" s="12"/>
    </row>
    <row r="132" spans="1:8" ht="15.75">
      <c r="A132" s="13" t="s">
        <v>496</v>
      </c>
      <c r="B132" s="19" t="s">
        <v>315</v>
      </c>
      <c r="C132" s="210">
        <f ca="1">'5.) Fuel consumption'!C27*1000</f>
        <v>34606706.652526796</v>
      </c>
      <c r="D132" s="38" t="s">
        <v>287</v>
      </c>
      <c r="E132" s="221" t="s">
        <v>498</v>
      </c>
    </row>
    <row r="133" spans="1:8" ht="15.75">
      <c r="A133" s="13" t="s">
        <v>497</v>
      </c>
      <c r="B133" t="s">
        <v>316</v>
      </c>
      <c r="C133" s="210">
        <f ca="1">C132/'1.) Preliminary Sizing I'!C70</f>
        <v>17303353.326263398</v>
      </c>
      <c r="D133" s="38" t="s">
        <v>287</v>
      </c>
      <c r="E133" s="12"/>
    </row>
    <row r="134" spans="1:8" ht="15.75">
      <c r="A134" s="13" t="s">
        <v>281</v>
      </c>
      <c r="B134" t="s">
        <v>316</v>
      </c>
      <c r="C134" s="5">
        <f ca="1">C133*0.2248</f>
        <v>3889793.8277440118</v>
      </c>
      <c r="D134" s="38" t="s">
        <v>30</v>
      </c>
    </row>
    <row r="135" spans="1:8">
      <c r="A135" s="13"/>
      <c r="C135" s="5"/>
    </row>
    <row r="136" spans="1:8" ht="15.75">
      <c r="A136" t="s">
        <v>202</v>
      </c>
      <c r="B136" t="s">
        <v>96</v>
      </c>
      <c r="C136" s="5">
        <f ca="1">C121*C108</f>
        <v>10989.635624275777</v>
      </c>
      <c r="D136" t="s">
        <v>28</v>
      </c>
    </row>
    <row r="137" spans="1:8" ht="15.75">
      <c r="A137" t="s">
        <v>202</v>
      </c>
      <c r="B137" s="13" t="s">
        <v>96</v>
      </c>
      <c r="C137" s="5">
        <f ca="1">C121*(1-C98*C100*C107)</f>
        <v>12117.11424242549</v>
      </c>
      <c r="D137" t="s">
        <v>28</v>
      </c>
      <c r="H137" s="12"/>
    </row>
    <row r="138" spans="1:8" ht="15.75">
      <c r="A138" t="s">
        <v>203</v>
      </c>
      <c r="B138" s="3" t="s">
        <v>97</v>
      </c>
      <c r="C138" s="128">
        <v>71</v>
      </c>
      <c r="D138" s="42" t="s">
        <v>5</v>
      </c>
      <c r="H138" s="216"/>
    </row>
    <row r="139" spans="1:8" ht="15.75">
      <c r="A139" t="s">
        <v>378</v>
      </c>
      <c r="B139" s="13" t="s">
        <v>524</v>
      </c>
      <c r="C139" s="13">
        <v>7.1999999999999995E-2</v>
      </c>
      <c r="D139" s="42"/>
    </row>
    <row r="140" spans="1:8" ht="15.75">
      <c r="A140" t="s">
        <v>204</v>
      </c>
      <c r="B140" t="s">
        <v>98</v>
      </c>
      <c r="C140" s="49">
        <f ca="1">C136*(1+C139)/C138</f>
        <v>165.92801956653005</v>
      </c>
      <c r="D140" s="38" t="s">
        <v>31</v>
      </c>
      <c r="E140" t="s">
        <v>209</v>
      </c>
    </row>
    <row r="141" spans="1:8">
      <c r="C141" s="10"/>
    </row>
    <row r="142" spans="1:8" ht="15.75">
      <c r="A142" t="s">
        <v>205</v>
      </c>
      <c r="B142" t="s">
        <v>99</v>
      </c>
      <c r="C142" s="210">
        <f>C119</f>
        <v>19256</v>
      </c>
      <c r="D142" s="211" t="s">
        <v>28</v>
      </c>
    </row>
    <row r="143" spans="1:8" ht="15.75">
      <c r="A143" t="s">
        <v>206</v>
      </c>
      <c r="B143" t="s">
        <v>100</v>
      </c>
      <c r="C143" s="5">
        <f ca="1">C123+C142</f>
        <v>111857.65197105889</v>
      </c>
      <c r="D143" t="s">
        <v>28</v>
      </c>
    </row>
    <row r="144" spans="1:8">
      <c r="C144" s="10"/>
      <c r="G144" s="12"/>
      <c r="H144" s="12"/>
    </row>
    <row r="145" spans="1:7" ht="15.75">
      <c r="A145" t="s">
        <v>207</v>
      </c>
      <c r="B145" t="s">
        <v>101</v>
      </c>
      <c r="C145" s="5">
        <f ca="1">C121*(1-C106)</f>
        <v>3075.7197390495085</v>
      </c>
      <c r="D145" t="s">
        <v>28</v>
      </c>
    </row>
    <row r="146" spans="1:7">
      <c r="C146" s="10"/>
    </row>
    <row r="147" spans="1:7" ht="15.75">
      <c r="A147" t="s">
        <v>208</v>
      </c>
      <c r="B147" t="s">
        <v>32</v>
      </c>
      <c r="C147" s="92" t="s">
        <v>103</v>
      </c>
      <c r="E147" s="18" t="s">
        <v>33</v>
      </c>
      <c r="F147" s="18" t="s">
        <v>262</v>
      </c>
      <c r="G147" s="12"/>
    </row>
    <row r="148" spans="1:7">
      <c r="C148" s="5">
        <f ca="1">C122</f>
        <v>115296.53257854049</v>
      </c>
      <c r="D148" t="s">
        <v>28</v>
      </c>
      <c r="E148" s="18" t="s">
        <v>33</v>
      </c>
      <c r="F148" s="5">
        <f ca="1">C123+C142+C145</f>
        <v>114933.3717101084</v>
      </c>
      <c r="G148" t="s">
        <v>28</v>
      </c>
    </row>
    <row r="149" spans="1:7">
      <c r="E149" s="54" t="str">
        <f ca="1">IF(C122&gt;C143+C145, "yes","no")</f>
        <v>yes</v>
      </c>
    </row>
    <row r="150" spans="1:7">
      <c r="E150" s="55" t="str">
        <f ca="1">IF(E149="yes","Aircraft sizing finished!","Increase value mML/mMTO in table '1.) Preliminary Sizing I' !")</f>
        <v>Aircraft sizing finished!</v>
      </c>
    </row>
  </sheetData>
  <phoneticPr fontId="5" type="noConversion"/>
  <dataValidations disablePrompts="1" count="1">
    <dataValidation type="list" allowBlank="1" showInputMessage="1" showErrorMessage="1" sqref="C81 C114">
      <formula1>"yes, no"</formula1>
    </dataValidation>
  </dataValidations>
  <pageMargins left="0.75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61" max="16383" man="1"/>
    <brk id="104" max="16383" man="1"/>
  </rowBreaks>
  <drawing r:id="rId2"/>
  <legacyDrawing r:id="rId3"/>
  <oleObjects>
    <oleObject progId="Equation.DSMT4" shapeId="2906307" r:id="rId4"/>
    <oleObject progId="Equation.DSMT4" shapeId="2906308" r:id="rId5"/>
    <oleObject progId="Equation.DSMT4" shapeId="2906309" r:id="rId6"/>
    <oleObject progId="Equation.DSMT4" shapeId="2906311" r:id="rId7"/>
    <oleObject progId="Equation.DSMT4" shapeId="2906312" r:id="rId8"/>
    <oleObject progId="Equation.DSMT4" shapeId="2906313" r:id="rId9"/>
    <oleObject progId="Equation.DSMT4" shapeId="2906314" r:id="rId10"/>
    <oleObject progId="Equation.DSMT4" shapeId="2906315" r:id="rId11"/>
    <oleObject progId="Equation.DSMT4" shapeId="2906316" r:id="rId12"/>
    <oleObject progId="Equation.DSMT4" shapeId="2906317" r:id="rId13"/>
    <oleObject progId="Equation.DSMT4" shapeId="2906318" r:id="rId14"/>
  </oleObjects>
</worksheet>
</file>

<file path=xl/worksheets/sheet6.xml><?xml version="1.0" encoding="utf-8"?>
<worksheet xmlns="http://schemas.openxmlformats.org/spreadsheetml/2006/main" xmlns:r="http://schemas.openxmlformats.org/officeDocument/2006/relationships">
  <dimension ref="A1:E34"/>
  <sheetViews>
    <sheetView workbookViewId="0">
      <selection activeCell="A2" sqref="A2"/>
    </sheetView>
  </sheetViews>
  <sheetFormatPr baseColWidth="10" defaultRowHeight="12.75"/>
  <cols>
    <col min="1" max="1" width="36.42578125" bestFit="1" customWidth="1"/>
    <col min="5" max="5" width="15.85546875" bestFit="1" customWidth="1"/>
  </cols>
  <sheetData>
    <row r="1" spans="1:5">
      <c r="A1" s="13" t="s">
        <v>494</v>
      </c>
    </row>
    <row r="3" spans="1:5">
      <c r="A3" s="13" t="s">
        <v>502</v>
      </c>
    </row>
    <row r="5" spans="1:5" ht="14.25">
      <c r="A5" s="13" t="s">
        <v>730</v>
      </c>
      <c r="B5" s="262" t="s">
        <v>729</v>
      </c>
      <c r="C5" s="213">
        <v>33.33</v>
      </c>
      <c r="D5" s="212" t="s">
        <v>429</v>
      </c>
      <c r="E5" s="13"/>
    </row>
    <row r="6" spans="1:5" ht="15.75">
      <c r="A6" s="13" t="s">
        <v>430</v>
      </c>
      <c r="B6" s="13" t="s">
        <v>682</v>
      </c>
      <c r="C6" s="212">
        <v>0.6</v>
      </c>
      <c r="D6" s="13"/>
      <c r="E6" s="13" t="s">
        <v>592</v>
      </c>
    </row>
    <row r="7" spans="1:5" ht="15.75">
      <c r="A7" s="13" t="s">
        <v>431</v>
      </c>
      <c r="B7" s="13" t="s">
        <v>683</v>
      </c>
      <c r="C7" s="212">
        <v>0.95</v>
      </c>
      <c r="D7" s="13"/>
      <c r="E7" s="13" t="s">
        <v>495</v>
      </c>
    </row>
    <row r="8" spans="1:5" ht="15.75">
      <c r="A8" s="13" t="s">
        <v>725</v>
      </c>
      <c r="B8" s="13" t="s">
        <v>726</v>
      </c>
      <c r="C8" s="215">
        <f ca="1">propefcruise</f>
        <v>0.86039489878601216</v>
      </c>
      <c r="D8" s="13"/>
      <c r="E8" s="13" t="s">
        <v>697</v>
      </c>
    </row>
    <row r="9" spans="1:5" ht="15.75">
      <c r="A9" s="13" t="s">
        <v>724</v>
      </c>
      <c r="B9" s="13" t="s">
        <v>727</v>
      </c>
      <c r="C9" s="215">
        <f ca="1">'1.) Preliminary Sizing I'!C51</f>
        <v>0.55243734238429787</v>
      </c>
      <c r="D9" s="13"/>
      <c r="E9" s="13" t="s">
        <v>590</v>
      </c>
    </row>
    <row r="10" spans="1:5" ht="15.75">
      <c r="A10" s="13" t="s">
        <v>432</v>
      </c>
      <c r="B10" s="13" t="s">
        <v>684</v>
      </c>
      <c r="C10" s="212">
        <v>0.98899999999999999</v>
      </c>
      <c r="E10" s="13" t="s">
        <v>495</v>
      </c>
    </row>
    <row r="11" spans="1:5" ht="15.75">
      <c r="A11" s="13" t="s">
        <v>433</v>
      </c>
      <c r="B11" s="13" t="s">
        <v>685</v>
      </c>
      <c r="C11" s="212">
        <v>0.995</v>
      </c>
      <c r="E11" s="13" t="s">
        <v>495</v>
      </c>
    </row>
    <row r="13" spans="1:5" ht="15.75">
      <c r="A13" s="13" t="s">
        <v>434</v>
      </c>
      <c r="B13" s="13" t="s">
        <v>686</v>
      </c>
      <c r="C13" s="211">
        <f ca="1">C6*C7*C8*C10*C11</f>
        <v>0.48260526421117539</v>
      </c>
      <c r="D13" s="12"/>
    </row>
    <row r="14" spans="1:5" ht="15.75">
      <c r="A14" s="13" t="s">
        <v>435</v>
      </c>
      <c r="B14" s="13" t="s">
        <v>687</v>
      </c>
      <c r="C14" s="211">
        <f ca="1">C6*C7*C9*C10*C11</f>
        <v>0.30986837550718871</v>
      </c>
      <c r="D14" s="12"/>
    </row>
    <row r="15" spans="1:5">
      <c r="A15" s="13"/>
      <c r="B15" s="13"/>
      <c r="C15" s="12"/>
      <c r="D15" s="12"/>
    </row>
    <row r="16" spans="1:5">
      <c r="C16" s="12"/>
      <c r="D16" s="12"/>
    </row>
    <row r="17" spans="1:5" ht="15.75">
      <c r="A17" s="13" t="s">
        <v>436</v>
      </c>
      <c r="B17" s="13" t="s">
        <v>690</v>
      </c>
      <c r="C17" s="13">
        <f ca="1">'3.) Preliminary Sizing II'!C71*'3.) Preliminary Sizing II'!C128/1000</f>
        <v>15345.866742950568</v>
      </c>
      <c r="D17" s="13" t="s">
        <v>380</v>
      </c>
      <c r="E17" s="13" t="s">
        <v>504</v>
      </c>
    </row>
    <row r="18" spans="1:5" ht="15.75">
      <c r="A18" s="13" t="s">
        <v>503</v>
      </c>
      <c r="B18" s="13" t="s">
        <v>696</v>
      </c>
      <c r="C18" s="13">
        <f ca="1">'7.1.) Heat Exchanger'!C24</f>
        <v>3515.731910069052</v>
      </c>
      <c r="D18" s="13" t="s">
        <v>380</v>
      </c>
      <c r="E18" s="13" t="s">
        <v>505</v>
      </c>
    </row>
    <row r="19" spans="1:5" ht="15.75">
      <c r="A19" s="13" t="s">
        <v>437</v>
      </c>
      <c r="B19" s="13" t="s">
        <v>691</v>
      </c>
      <c r="C19" s="13">
        <f ca="1">C17+C18</f>
        <v>18861.598653019621</v>
      </c>
      <c r="D19" s="13" t="s">
        <v>380</v>
      </c>
      <c r="E19" s="13" t="s">
        <v>506</v>
      </c>
    </row>
    <row r="20" spans="1:5">
      <c r="C20" s="13"/>
      <c r="D20" s="13"/>
    </row>
    <row r="21" spans="1:5" ht="15.75">
      <c r="A21" s="13" t="s">
        <v>438</v>
      </c>
      <c r="B21" s="13" t="s">
        <v>692</v>
      </c>
      <c r="C21" s="13">
        <f ca="1">C19/(C13*C5*3600)</f>
        <v>0.32572315306783189</v>
      </c>
      <c r="D21" s="13" t="s">
        <v>439</v>
      </c>
      <c r="E21" s="13" t="s">
        <v>507</v>
      </c>
    </row>
    <row r="22" spans="1:5" ht="15.75">
      <c r="A22" s="13" t="s">
        <v>440</v>
      </c>
      <c r="B22" s="13" t="s">
        <v>693</v>
      </c>
      <c r="C22" s="211">
        <f ca="1">1/(C5*C13*3600*1000)</f>
        <v>1.7269116953439451E-8</v>
      </c>
      <c r="D22" s="211" t="s">
        <v>441</v>
      </c>
      <c r="E22" s="13" t="s">
        <v>508</v>
      </c>
    </row>
    <row r="23" spans="1:5">
      <c r="C23" s="211"/>
      <c r="D23" s="211"/>
    </row>
    <row r="24" spans="1:5">
      <c r="A24" s="13"/>
      <c r="B24" s="13"/>
      <c r="C24" s="211"/>
      <c r="D24" s="211"/>
    </row>
    <row r="25" spans="1:5" ht="15.75">
      <c r="A25" s="13" t="s">
        <v>442</v>
      </c>
      <c r="B25" s="13" t="s">
        <v>688</v>
      </c>
      <c r="C25" s="15">
        <f ca="1">'3.) Preliminary Sizing II'!C128/1000</f>
        <v>33953.483645180961</v>
      </c>
      <c r="D25" s="13" t="s">
        <v>380</v>
      </c>
      <c r="E25" s="13" t="s">
        <v>731</v>
      </c>
    </row>
    <row r="26" spans="1:5" ht="15.75">
      <c r="A26" s="13" t="s">
        <v>443</v>
      </c>
      <c r="B26" s="13" t="s">
        <v>698</v>
      </c>
      <c r="C26" s="13">
        <f ca="1">'7.1.) Heat Exchanger'!C27</f>
        <v>653.22300734583462</v>
      </c>
      <c r="D26" s="13" t="s">
        <v>380</v>
      </c>
      <c r="E26" s="13" t="s">
        <v>732</v>
      </c>
    </row>
    <row r="27" spans="1:5" ht="15.75">
      <c r="A27" s="13" t="s">
        <v>444</v>
      </c>
      <c r="B27" s="13" t="s">
        <v>694</v>
      </c>
      <c r="C27" s="13">
        <f ca="1">C25+C26</f>
        <v>34606.706652526795</v>
      </c>
      <c r="D27" s="13" t="s">
        <v>380</v>
      </c>
    </row>
    <row r="28" spans="1:5">
      <c r="C28" s="13"/>
      <c r="D28" s="13"/>
    </row>
    <row r="29" spans="1:5" ht="15.75">
      <c r="A29" s="13" t="s">
        <v>445</v>
      </c>
      <c r="B29" s="13" t="s">
        <v>699</v>
      </c>
      <c r="C29" s="13">
        <f ca="1">C27/(C5*C14*3600)</f>
        <v>0.93077605431242205</v>
      </c>
      <c r="D29" s="13" t="s">
        <v>439</v>
      </c>
    </row>
    <row r="30" spans="1:5">
      <c r="C30" s="13"/>
      <c r="D30" s="13"/>
    </row>
    <row r="31" spans="1:5" ht="14.25">
      <c r="A31" s="13" t="s">
        <v>489</v>
      </c>
      <c r="B31" s="214" t="s">
        <v>734</v>
      </c>
      <c r="C31" s="13">
        <v>0.02</v>
      </c>
      <c r="D31" s="13"/>
    </row>
    <row r="32" spans="1:5" ht="15.75">
      <c r="A32" s="13" t="s">
        <v>490</v>
      </c>
      <c r="B32" s="13" t="s">
        <v>700</v>
      </c>
      <c r="C32" s="13">
        <v>10</v>
      </c>
      <c r="D32" s="13" t="s">
        <v>2</v>
      </c>
    </row>
    <row r="33" spans="1:4" ht="15.75">
      <c r="A33" s="13" t="s">
        <v>488</v>
      </c>
      <c r="B33" s="13" t="s">
        <v>695</v>
      </c>
      <c r="C33" s="13">
        <f ca="1">'5.) Fuel consumption'!C31*'3.) Preliminary Sizing II'!C121*g*'5.) Fuel consumption'!C32/1000</f>
        <v>243.23849131085643</v>
      </c>
      <c r="D33" s="13" t="s">
        <v>380</v>
      </c>
    </row>
    <row r="34" spans="1:4" ht="15.75">
      <c r="A34" s="13" t="s">
        <v>728</v>
      </c>
      <c r="B34" s="13" t="s">
        <v>733</v>
      </c>
      <c r="C34" s="211">
        <f ca="1">C33/(C14*C5*3600)</f>
        <v>6.5421007977566328E-3</v>
      </c>
      <c r="D34" s="211" t="s">
        <v>439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K67"/>
  <sheetViews>
    <sheetView workbookViewId="0"/>
  </sheetViews>
  <sheetFormatPr baseColWidth="10" defaultRowHeight="12.75"/>
  <cols>
    <col min="1" max="1" width="35.140625" bestFit="1" customWidth="1"/>
    <col min="2" max="2" width="9.28515625" bestFit="1" customWidth="1"/>
    <col min="4" max="4" width="8.42578125" customWidth="1"/>
    <col min="5" max="5" width="53.42578125" bestFit="1" customWidth="1"/>
    <col min="6" max="6" width="15.5703125" customWidth="1"/>
    <col min="7" max="7" width="5" bestFit="1" customWidth="1"/>
    <col min="8" max="8" width="8.42578125" customWidth="1"/>
    <col min="9" max="9" width="13.7109375" customWidth="1"/>
    <col min="10" max="10" width="15.5703125" bestFit="1" customWidth="1"/>
    <col min="11" max="11" width="22.28515625" customWidth="1"/>
    <col min="13" max="13" width="12.42578125" bestFit="1" customWidth="1"/>
    <col min="15" max="15" width="23.7109375" bestFit="1" customWidth="1"/>
  </cols>
  <sheetData>
    <row r="2" spans="1:9">
      <c r="A2" s="13" t="s">
        <v>514</v>
      </c>
    </row>
    <row r="4" spans="1:9" ht="15.75">
      <c r="A4" s="13" t="s">
        <v>379</v>
      </c>
      <c r="B4" s="13" t="s">
        <v>678</v>
      </c>
      <c r="C4" s="252">
        <v>2</v>
      </c>
      <c r="D4" s="228"/>
      <c r="E4" s="13" t="s">
        <v>509</v>
      </c>
      <c r="F4" s="13"/>
      <c r="H4" s="13"/>
      <c r="I4" s="211"/>
    </row>
    <row r="5" spans="1:9" ht="15.75">
      <c r="A5" s="13" t="s">
        <v>381</v>
      </c>
      <c r="B5" s="13" t="s">
        <v>677</v>
      </c>
      <c r="C5" s="229">
        <v>1.5</v>
      </c>
      <c r="D5" s="228" t="s">
        <v>1</v>
      </c>
      <c r="E5" s="13" t="s">
        <v>510</v>
      </c>
      <c r="F5" s="13"/>
    </row>
    <row r="6" spans="1:9" ht="15.75">
      <c r="A6" s="13" t="s">
        <v>382</v>
      </c>
      <c r="B6" s="13" t="s">
        <v>736</v>
      </c>
      <c r="C6" s="258">
        <f ca="1">('3.) Preliminary Sizing II'!C140/C4-4*PI()*POWER(C5,3)/3)/(PI()*POWER(C5,2))</f>
        <v>9.7370064495386615</v>
      </c>
      <c r="D6" s="259" t="s">
        <v>1</v>
      </c>
    </row>
    <row r="7" spans="1:9" ht="15.75">
      <c r="A7" s="13" t="s">
        <v>383</v>
      </c>
      <c r="B7" s="13" t="s">
        <v>735</v>
      </c>
      <c r="C7" s="256">
        <f ca="1">C6+2*C5+2*G7</f>
        <v>13.037006449538662</v>
      </c>
      <c r="D7" s="257" t="s">
        <v>1</v>
      </c>
      <c r="E7" s="13" t="s">
        <v>525</v>
      </c>
      <c r="F7" s="13" t="s">
        <v>737</v>
      </c>
      <c r="G7" s="212">
        <v>0.15</v>
      </c>
      <c r="H7" s="212" t="s">
        <v>1</v>
      </c>
    </row>
    <row r="8" spans="1:9" ht="15.75">
      <c r="A8" s="13" t="s">
        <v>384</v>
      </c>
      <c r="B8" s="13" t="s">
        <v>676</v>
      </c>
      <c r="C8" s="258">
        <f ca="1">PI()*2*C5*C6+2*PI()*C5*2*C5</f>
        <v>120.04345767178943</v>
      </c>
      <c r="D8" s="259" t="s">
        <v>29</v>
      </c>
    </row>
    <row r="9" spans="1:9" ht="15.75">
      <c r="A9" s="13" t="s">
        <v>385</v>
      </c>
      <c r="B9" s="13" t="s">
        <v>679</v>
      </c>
      <c r="C9" s="258">
        <f ca="1">C8*G9</f>
        <v>360.13037301536826</v>
      </c>
      <c r="D9" s="259" t="s">
        <v>28</v>
      </c>
      <c r="E9" s="13" t="s">
        <v>386</v>
      </c>
      <c r="F9" s="13" t="s">
        <v>738</v>
      </c>
      <c r="G9" s="212">
        <v>3</v>
      </c>
      <c r="H9" s="212" t="s">
        <v>6</v>
      </c>
      <c r="I9" s="13" t="s">
        <v>513</v>
      </c>
    </row>
    <row r="10" spans="1:9" ht="15.75">
      <c r="A10" s="13" t="s">
        <v>387</v>
      </c>
      <c r="B10" s="13" t="s">
        <v>680</v>
      </c>
      <c r="C10" s="258">
        <f ca="1">C8*G10</f>
        <v>600.21728835894714</v>
      </c>
      <c r="D10" s="259" t="s">
        <v>28</v>
      </c>
      <c r="E10" s="13" t="s">
        <v>388</v>
      </c>
      <c r="F10" s="13" t="s">
        <v>675</v>
      </c>
      <c r="G10" s="212">
        <v>5</v>
      </c>
      <c r="H10" s="212" t="s">
        <v>6</v>
      </c>
      <c r="I10" s="13" t="s">
        <v>512</v>
      </c>
    </row>
    <row r="11" spans="1:9" ht="15.75">
      <c r="A11" s="13" t="s">
        <v>389</v>
      </c>
      <c r="B11" s="13" t="s">
        <v>681</v>
      </c>
      <c r="C11" s="258">
        <f ca="1">('3.) Preliminary Sizing II'!C140/2)*G11</f>
        <v>995.56811739918032</v>
      </c>
      <c r="D11" s="259" t="s">
        <v>28</v>
      </c>
      <c r="E11" s="13" t="s">
        <v>390</v>
      </c>
      <c r="F11" s="13" t="s">
        <v>674</v>
      </c>
      <c r="G11" s="212">
        <v>12</v>
      </c>
      <c r="H11" s="212" t="s">
        <v>6</v>
      </c>
      <c r="I11" s="13" t="s">
        <v>511</v>
      </c>
    </row>
    <row r="12" spans="1:9" ht="15.75">
      <c r="A12" s="13" t="s">
        <v>391</v>
      </c>
      <c r="B12" s="13" t="s">
        <v>392</v>
      </c>
      <c r="C12" s="258">
        <f ca="1">C9+C10+C11</f>
        <v>1955.9157787734957</v>
      </c>
      <c r="D12" s="259" t="s">
        <v>28</v>
      </c>
    </row>
    <row r="13" spans="1:9">
      <c r="A13" s="13"/>
      <c r="B13" s="13"/>
      <c r="C13" s="44"/>
      <c r="D13" s="38"/>
    </row>
    <row r="14" spans="1:9" ht="15.75">
      <c r="A14" s="13" t="s">
        <v>393</v>
      </c>
      <c r="B14" s="13" t="s">
        <v>631</v>
      </c>
      <c r="C14" s="44">
        <f ca="1">C12*C4</f>
        <v>3911.8315575469915</v>
      </c>
      <c r="D14" s="38" t="s">
        <v>28</v>
      </c>
    </row>
    <row r="15" spans="1:9">
      <c r="A15" s="13"/>
      <c r="B15" s="13"/>
      <c r="C15" s="44"/>
      <c r="D15" s="38"/>
    </row>
    <row r="16" spans="1:9">
      <c r="A16" s="13"/>
      <c r="B16" s="13"/>
      <c r="C16" s="44"/>
      <c r="D16" s="38"/>
    </row>
    <row r="17" spans="1:11">
      <c r="A17" s="13"/>
      <c r="B17" s="13"/>
      <c r="C17" s="44"/>
      <c r="D17" s="38"/>
    </row>
    <row r="24" spans="1:11">
      <c r="K24" s="13"/>
    </row>
    <row r="25" spans="1:11">
      <c r="K25" s="13"/>
    </row>
    <row r="26" spans="1:11">
      <c r="K26" s="13"/>
    </row>
    <row r="27" spans="1:11">
      <c r="K27" s="13"/>
    </row>
    <row r="28" spans="1:11">
      <c r="K28" s="13"/>
    </row>
    <row r="32" spans="1:11">
      <c r="A32" s="13"/>
      <c r="B32" s="13"/>
      <c r="D32" s="38"/>
      <c r="H32" s="13"/>
      <c r="I32" s="13"/>
    </row>
    <row r="67" spans="1:9">
      <c r="A67" s="13"/>
      <c r="B67" s="13"/>
      <c r="D67" s="38"/>
      <c r="H67" s="13"/>
      <c r="I67" s="13"/>
    </row>
  </sheetData>
  <phoneticPr fontId="18" type="noConversion"/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9"/>
  <sheetViews>
    <sheetView workbookViewId="0">
      <selection activeCell="A2" sqref="A2"/>
    </sheetView>
  </sheetViews>
  <sheetFormatPr baseColWidth="10" defaultRowHeight="12.75"/>
  <cols>
    <col min="1" max="1" width="35.5703125" bestFit="1" customWidth="1"/>
    <col min="5" max="5" width="63.5703125" bestFit="1" customWidth="1"/>
  </cols>
  <sheetData>
    <row r="1" spans="1:8">
      <c r="A1" s="12" t="s">
        <v>706</v>
      </c>
    </row>
    <row r="3" spans="1:8" ht="15.75">
      <c r="A3" s="13" t="s">
        <v>394</v>
      </c>
      <c r="B3" s="13" t="s">
        <v>632</v>
      </c>
      <c r="C3" s="211">
        <f ca="1">'5.) Fuel consumption'!C27/'7.) Fuel cell'!G4*G5</f>
        <v>25522.446156238508</v>
      </c>
      <c r="D3" s="38" t="s">
        <v>28</v>
      </c>
      <c r="E3" s="13" t="s">
        <v>447</v>
      </c>
      <c r="F3" s="214" t="s">
        <v>671</v>
      </c>
      <c r="G3" s="212">
        <v>8</v>
      </c>
      <c r="H3" s="13" t="s">
        <v>515</v>
      </c>
    </row>
    <row r="4" spans="1:8" ht="14.25">
      <c r="A4" s="13"/>
      <c r="B4" s="13"/>
      <c r="C4" s="211"/>
      <c r="D4" s="38"/>
      <c r="E4" s="13" t="s">
        <v>448</v>
      </c>
      <c r="F4" s="214" t="s">
        <v>670</v>
      </c>
      <c r="G4" s="212">
        <v>1.6</v>
      </c>
      <c r="H4" s="13" t="s">
        <v>515</v>
      </c>
    </row>
    <row r="5" spans="1:8" ht="15.75">
      <c r="A5" s="13"/>
      <c r="B5" s="13"/>
      <c r="C5" s="12"/>
      <c r="D5" s="38"/>
      <c r="E5" s="13" t="s">
        <v>526</v>
      </c>
      <c r="F5" s="13" t="s">
        <v>672</v>
      </c>
      <c r="G5">
        <v>1.18</v>
      </c>
      <c r="H5" s="13" t="s">
        <v>604</v>
      </c>
    </row>
    <row r="8" spans="1:8">
      <c r="A8" s="12" t="s">
        <v>707</v>
      </c>
      <c r="B8" s="13"/>
      <c r="D8" s="38"/>
      <c r="E8" s="13"/>
      <c r="G8" s="13"/>
    </row>
    <row r="9" spans="1:8">
      <c r="A9" s="13"/>
      <c r="B9" s="13"/>
      <c r="D9" s="38"/>
      <c r="E9" s="13"/>
      <c r="G9" s="13"/>
    </row>
    <row r="10" spans="1:8" ht="14.25">
      <c r="A10" s="13" t="s">
        <v>401</v>
      </c>
      <c r="B10" s="214" t="s">
        <v>673</v>
      </c>
      <c r="C10" s="212">
        <v>0.6</v>
      </c>
      <c r="D10" s="38"/>
      <c r="E10" s="13"/>
      <c r="G10" s="13"/>
    </row>
    <row r="11" spans="1:8" ht="15.75">
      <c r="A11" s="13" t="s">
        <v>402</v>
      </c>
      <c r="B11" s="13" t="s">
        <v>656</v>
      </c>
      <c r="C11" s="13">
        <f ca="1">'5.) Fuel consumption'!C27*(1-C10)</f>
        <v>13842.682661010718</v>
      </c>
      <c r="D11" s="13" t="s">
        <v>380</v>
      </c>
      <c r="E11" s="13" t="s">
        <v>606</v>
      </c>
      <c r="G11" s="13"/>
    </row>
    <row r="12" spans="1:8" ht="15.75">
      <c r="A12" s="13" t="s">
        <v>403</v>
      </c>
      <c r="B12" s="13" t="s">
        <v>625</v>
      </c>
      <c r="C12" s="212">
        <v>14.3</v>
      </c>
      <c r="D12" s="212" t="s">
        <v>404</v>
      </c>
      <c r="E12" s="13"/>
      <c r="G12" s="13"/>
    </row>
    <row r="13" spans="1:8" ht="15.75">
      <c r="A13" s="13" t="s">
        <v>405</v>
      </c>
      <c r="B13" s="13" t="s">
        <v>739</v>
      </c>
      <c r="C13" s="212">
        <v>20.149999999999999</v>
      </c>
      <c r="D13" s="212" t="s">
        <v>17</v>
      </c>
      <c r="E13" s="13"/>
      <c r="G13" s="13"/>
    </row>
    <row r="14" spans="1:8" ht="15.75">
      <c r="A14" s="13" t="s">
        <v>605</v>
      </c>
      <c r="B14" s="13" t="s">
        <v>740</v>
      </c>
      <c r="C14" s="212">
        <v>283.14999999999998</v>
      </c>
      <c r="D14" s="212" t="s">
        <v>17</v>
      </c>
      <c r="E14" s="13"/>
      <c r="G14" s="13"/>
      <c r="H14" s="13" t="s">
        <v>604</v>
      </c>
    </row>
    <row r="15" spans="1:8" ht="15.75">
      <c r="A15" s="13" t="s">
        <v>710</v>
      </c>
      <c r="B15" s="13" t="s">
        <v>742</v>
      </c>
      <c r="C15" s="13">
        <v>353.15</v>
      </c>
      <c r="D15" s="13" t="s">
        <v>17</v>
      </c>
      <c r="E15" s="13"/>
      <c r="G15" s="13"/>
      <c r="H15" s="13"/>
    </row>
    <row r="16" spans="1:8" ht="15.75">
      <c r="A16" s="13" t="s">
        <v>711</v>
      </c>
      <c r="B16" s="13" t="s">
        <v>741</v>
      </c>
      <c r="C16">
        <v>4.2</v>
      </c>
      <c r="D16" s="13" t="s">
        <v>404</v>
      </c>
      <c r="E16" s="13"/>
      <c r="G16" s="13"/>
      <c r="H16" s="13"/>
    </row>
    <row r="17" spans="1:8" ht="15.75">
      <c r="A17" s="13" t="s">
        <v>566</v>
      </c>
      <c r="B17" s="13" t="s">
        <v>712</v>
      </c>
      <c r="C17">
        <v>334</v>
      </c>
      <c r="D17" s="13" t="s">
        <v>567</v>
      </c>
      <c r="E17" s="13"/>
      <c r="G17" s="13"/>
      <c r="H17" s="13"/>
    </row>
    <row r="18" spans="1:8">
      <c r="A18" s="13"/>
      <c r="B18" s="13"/>
      <c r="C18" s="212"/>
      <c r="D18" s="212"/>
      <c r="E18" s="13"/>
      <c r="G18" s="13"/>
      <c r="H18" s="13"/>
    </row>
    <row r="19" spans="1:8" ht="15.75">
      <c r="A19" s="13" t="s">
        <v>406</v>
      </c>
      <c r="B19" s="13" t="s">
        <v>657</v>
      </c>
      <c r="C19" s="13">
        <f ca="1">C12*(C14-C13)*'5.) Fuel consumption'!C29</f>
        <v>3500.555662663588</v>
      </c>
      <c r="D19" s="13" t="s">
        <v>380</v>
      </c>
      <c r="E19" s="13" t="s">
        <v>607</v>
      </c>
      <c r="G19" s="13"/>
    </row>
    <row r="20" spans="1:8" ht="15.75">
      <c r="A20" s="13" t="s">
        <v>713</v>
      </c>
      <c r="B20" s="13" t="s">
        <v>715</v>
      </c>
      <c r="C20" s="13">
        <f ca="1">C16*(C15-T0)*'5.) Fuel consumption'!C29*9</f>
        <v>2286.916765445621</v>
      </c>
      <c r="D20" s="13" t="s">
        <v>380</v>
      </c>
      <c r="E20" s="13" t="s">
        <v>714</v>
      </c>
      <c r="G20" s="13"/>
    </row>
    <row r="21" spans="1:8" ht="15.75">
      <c r="A21" s="13" t="s">
        <v>407</v>
      </c>
      <c r="B21" s="13" t="s">
        <v>658</v>
      </c>
      <c r="C21" s="211">
        <f ca="1">C11-C19-C20</f>
        <v>8055.2102329015088</v>
      </c>
      <c r="D21" s="211" t="s">
        <v>380</v>
      </c>
      <c r="E21" s="13" t="s">
        <v>608</v>
      </c>
      <c r="G21" s="13"/>
    </row>
    <row r="22" spans="1:8">
      <c r="A22" s="13"/>
      <c r="B22" s="13"/>
      <c r="C22" s="211"/>
      <c r="D22" s="211"/>
      <c r="E22" s="13"/>
      <c r="G22" s="13"/>
    </row>
    <row r="23" spans="1:8">
      <c r="A23" s="13"/>
      <c r="B23" s="13"/>
      <c r="D23" s="38"/>
      <c r="E23" s="13"/>
      <c r="G23" s="13"/>
    </row>
    <row r="24" spans="1:8">
      <c r="A24" s="12" t="s">
        <v>408</v>
      </c>
      <c r="B24" s="13"/>
      <c r="D24" s="38"/>
      <c r="E24" s="13"/>
      <c r="G24" s="13"/>
    </row>
    <row r="25" spans="1:8">
      <c r="A25" s="13"/>
      <c r="B25" s="13"/>
      <c r="D25" s="38"/>
      <c r="E25" s="13"/>
      <c r="G25" s="13"/>
    </row>
    <row r="26" spans="1:8" ht="15.75">
      <c r="A26" s="13" t="s">
        <v>409</v>
      </c>
      <c r="B26" s="13" t="s">
        <v>633</v>
      </c>
      <c r="C26" s="13">
        <f ca="1">C21/F26</f>
        <v>805.52102329015088</v>
      </c>
      <c r="D26" s="13" t="s">
        <v>28</v>
      </c>
      <c r="E26" s="13" t="s">
        <v>576</v>
      </c>
      <c r="F26" s="225">
        <v>10</v>
      </c>
      <c r="G26" s="212" t="s">
        <v>395</v>
      </c>
      <c r="H26" s="13" t="s">
        <v>517</v>
      </c>
    </row>
    <row r="27" spans="1:8" ht="15.75">
      <c r="A27" s="13" t="s">
        <v>410</v>
      </c>
      <c r="B27" s="13" t="s">
        <v>634</v>
      </c>
      <c r="C27" s="13">
        <f ca="1">C21/F27</f>
        <v>241.89820519223753</v>
      </c>
      <c r="D27" s="13" t="s">
        <v>28</v>
      </c>
      <c r="E27" s="13" t="s">
        <v>577</v>
      </c>
      <c r="F27" s="225">
        <v>33.299999999999997</v>
      </c>
      <c r="G27" s="212" t="s">
        <v>395</v>
      </c>
      <c r="H27" s="13" t="s">
        <v>517</v>
      </c>
    </row>
    <row r="28" spans="1:8" ht="15.75">
      <c r="A28" s="13" t="s">
        <v>411</v>
      </c>
      <c r="B28" s="13" t="s">
        <v>635</v>
      </c>
      <c r="C28" s="13">
        <f ca="1">C21/F28</f>
        <v>168.87233192665636</v>
      </c>
      <c r="D28" s="13" t="s">
        <v>28</v>
      </c>
      <c r="E28" s="13" t="s">
        <v>578</v>
      </c>
      <c r="F28" s="226">
        <v>47.7</v>
      </c>
      <c r="G28" s="212" t="s">
        <v>395</v>
      </c>
      <c r="H28" s="13" t="s">
        <v>517</v>
      </c>
    </row>
    <row r="29" spans="1:8" ht="15.75">
      <c r="A29" s="13" t="s">
        <v>412</v>
      </c>
      <c r="B29" s="13" t="s">
        <v>636</v>
      </c>
      <c r="C29" s="13">
        <f ca="1">C21/F29</f>
        <v>47.383589605302994</v>
      </c>
      <c r="D29" s="13" t="s">
        <v>28</v>
      </c>
      <c r="E29" s="13" t="s">
        <v>579</v>
      </c>
      <c r="F29" s="226">
        <v>170</v>
      </c>
      <c r="G29" s="212" t="s">
        <v>395</v>
      </c>
      <c r="H29" s="13" t="s">
        <v>517</v>
      </c>
    </row>
    <row r="30" spans="1:8" ht="15.75">
      <c r="A30" s="13" t="s">
        <v>413</v>
      </c>
      <c r="B30" s="13" t="s">
        <v>637</v>
      </c>
      <c r="C30" s="13">
        <f ca="1">C26/F30</f>
        <v>15.000391495161095</v>
      </c>
      <c r="D30" s="13" t="s">
        <v>28</v>
      </c>
      <c r="E30" s="13" t="s">
        <v>580</v>
      </c>
      <c r="F30" s="226">
        <v>53.7</v>
      </c>
      <c r="G30" s="212" t="s">
        <v>395</v>
      </c>
      <c r="H30" s="13" t="s">
        <v>517</v>
      </c>
    </row>
    <row r="31" spans="1:8" ht="15.75">
      <c r="A31" s="13" t="s">
        <v>414</v>
      </c>
      <c r="B31" s="13" t="s">
        <v>743</v>
      </c>
      <c r="C31" s="13">
        <f ca="1">C21/F31</f>
        <v>142.06719987480614</v>
      </c>
      <c r="D31" s="13" t="s">
        <v>28</v>
      </c>
      <c r="E31" s="13" t="s">
        <v>581</v>
      </c>
      <c r="F31" s="226">
        <v>56.7</v>
      </c>
      <c r="G31" s="212" t="s">
        <v>395</v>
      </c>
      <c r="H31" s="13" t="s">
        <v>517</v>
      </c>
    </row>
    <row r="32" spans="1:8" ht="15.75">
      <c r="A32" s="13" t="s">
        <v>415</v>
      </c>
      <c r="B32" s="13" t="s">
        <v>638</v>
      </c>
      <c r="C32" s="13">
        <f ca="1">C21/F32</f>
        <v>4.7383589605302996</v>
      </c>
      <c r="D32" s="13" t="s">
        <v>28</v>
      </c>
      <c r="E32" s="13" t="s">
        <v>582</v>
      </c>
      <c r="F32" s="226">
        <v>1700</v>
      </c>
      <c r="G32" s="212" t="s">
        <v>395</v>
      </c>
      <c r="H32" s="13" t="s">
        <v>517</v>
      </c>
    </row>
    <row r="33" spans="1:8" ht="15.75">
      <c r="A33" s="13" t="s">
        <v>626</v>
      </c>
      <c r="B33" s="13" t="s">
        <v>639</v>
      </c>
      <c r="C33" s="13">
        <f ca="1">SUM(C26:C32)</f>
        <v>1425.4811003448456</v>
      </c>
      <c r="D33" s="13" t="s">
        <v>28</v>
      </c>
      <c r="E33" s="13"/>
      <c r="G33" s="13"/>
    </row>
    <row r="34" spans="1:8">
      <c r="A34" s="13"/>
      <c r="B34" s="13"/>
      <c r="D34" s="38"/>
      <c r="E34" s="13"/>
      <c r="G34" s="13"/>
    </row>
    <row r="35" spans="1:8">
      <c r="A35" s="12" t="s">
        <v>416</v>
      </c>
      <c r="B35" s="13"/>
      <c r="D35" s="38"/>
    </row>
    <row r="36" spans="1:8">
      <c r="A36" s="13"/>
      <c r="B36" s="13"/>
      <c r="D36" s="38"/>
    </row>
    <row r="37" spans="1:8" ht="15.75">
      <c r="A37" s="13" t="s">
        <v>583</v>
      </c>
      <c r="B37" s="13" t="s">
        <v>640</v>
      </c>
      <c r="C37" s="13">
        <f ca="1">C21/F37</f>
        <v>146.72514085430799</v>
      </c>
      <c r="D37" s="13" t="s">
        <v>28</v>
      </c>
      <c r="E37" s="13" t="s">
        <v>584</v>
      </c>
      <c r="F37" s="225">
        <v>54.9</v>
      </c>
      <c r="G37" s="212" t="s">
        <v>395</v>
      </c>
      <c r="H37" s="13" t="s">
        <v>517</v>
      </c>
    </row>
    <row r="38" spans="1:8" ht="15.75">
      <c r="A38" s="13" t="s">
        <v>585</v>
      </c>
      <c r="B38" s="13" t="s">
        <v>744</v>
      </c>
      <c r="C38" s="13">
        <f ca="1">C21/F38</f>
        <v>58.455807205381049</v>
      </c>
      <c r="D38" s="13" t="s">
        <v>28</v>
      </c>
      <c r="E38" s="13" t="s">
        <v>586</v>
      </c>
      <c r="F38" s="225">
        <v>137.80000000000001</v>
      </c>
      <c r="G38" s="212" t="s">
        <v>395</v>
      </c>
      <c r="H38" s="13" t="s">
        <v>517</v>
      </c>
    </row>
    <row r="39" spans="1:8" ht="15.75">
      <c r="A39" s="13" t="s">
        <v>417</v>
      </c>
      <c r="B39" s="13" t="s">
        <v>641</v>
      </c>
      <c r="C39" s="13">
        <f ca="1">C21/F39</f>
        <v>116.9116144107621</v>
      </c>
      <c r="D39" s="13" t="s">
        <v>28</v>
      </c>
      <c r="E39" s="13" t="s">
        <v>587</v>
      </c>
      <c r="F39" s="226">
        <v>68.900000000000006</v>
      </c>
      <c r="G39" s="212" t="s">
        <v>395</v>
      </c>
      <c r="H39" s="13" t="s">
        <v>517</v>
      </c>
    </row>
    <row r="40" spans="1:8" ht="15.75">
      <c r="A40" s="13" t="s">
        <v>418</v>
      </c>
      <c r="B40" s="13" t="s">
        <v>642</v>
      </c>
      <c r="C40" s="13">
        <f ca="1">C21/F40</f>
        <v>58.455807205381049</v>
      </c>
      <c r="D40" s="13" t="s">
        <v>28</v>
      </c>
      <c r="E40" s="13" t="s">
        <v>588</v>
      </c>
      <c r="F40" s="226">
        <v>137.80000000000001</v>
      </c>
      <c r="G40" s="212" t="s">
        <v>395</v>
      </c>
      <c r="H40" s="13" t="s">
        <v>517</v>
      </c>
    </row>
    <row r="41" spans="1:8" ht="15.75">
      <c r="A41" s="13" t="s">
        <v>419</v>
      </c>
      <c r="B41" s="13" t="s">
        <v>745</v>
      </c>
      <c r="C41" s="13">
        <f ca="1">C21/F41</f>
        <v>47.383589605302994</v>
      </c>
      <c r="D41" s="13" t="s">
        <v>28</v>
      </c>
      <c r="E41" s="13" t="s">
        <v>589</v>
      </c>
      <c r="F41" s="226">
        <v>170</v>
      </c>
      <c r="G41" s="212" t="s">
        <v>395</v>
      </c>
      <c r="H41" s="13" t="s">
        <v>517</v>
      </c>
    </row>
    <row r="42" spans="1:8" ht="15.75">
      <c r="A42" s="13" t="s">
        <v>627</v>
      </c>
      <c r="B42" s="13" t="s">
        <v>746</v>
      </c>
      <c r="C42" s="13">
        <f ca="1">SUM(C37:C41)</f>
        <v>427.93195928113522</v>
      </c>
      <c r="D42" s="13" t="s">
        <v>28</v>
      </c>
    </row>
    <row r="43" spans="1:8">
      <c r="A43" s="13"/>
      <c r="B43" s="13"/>
      <c r="D43" s="38"/>
      <c r="E43" s="13"/>
      <c r="G43" s="13"/>
    </row>
    <row r="44" spans="1:8">
      <c r="A44" s="12" t="s">
        <v>420</v>
      </c>
      <c r="B44" s="13"/>
      <c r="D44" s="38"/>
      <c r="E44" s="13"/>
      <c r="G44" s="13"/>
    </row>
    <row r="45" spans="1:8">
      <c r="A45" s="12"/>
      <c r="B45" s="13"/>
      <c r="D45" s="38"/>
      <c r="E45" s="13"/>
      <c r="G45" s="13"/>
    </row>
    <row r="46" spans="1:8">
      <c r="A46" s="12" t="s">
        <v>709</v>
      </c>
      <c r="B46" s="13"/>
      <c r="D46" s="38"/>
      <c r="E46" s="13"/>
      <c r="G46" s="13"/>
    </row>
    <row r="47" spans="1:8">
      <c r="A47" s="13"/>
      <c r="B47" s="13"/>
      <c r="D47" s="38"/>
      <c r="E47" s="13"/>
      <c r="G47" s="13"/>
    </row>
    <row r="48" spans="1:8" ht="15.75">
      <c r="A48" s="13" t="s">
        <v>421</v>
      </c>
      <c r="B48" s="13" t="s">
        <v>643</v>
      </c>
      <c r="C48" s="212">
        <v>70</v>
      </c>
      <c r="D48" s="212" t="s">
        <v>28</v>
      </c>
      <c r="E48" s="13"/>
      <c r="G48" s="13"/>
      <c r="H48" s="13" t="s">
        <v>518</v>
      </c>
    </row>
    <row r="49" spans="1:8" ht="15.75">
      <c r="A49" s="13" t="s">
        <v>422</v>
      </c>
      <c r="B49" s="13" t="s">
        <v>644</v>
      </c>
      <c r="C49" s="13">
        <f ca="1">F49*'5.) Fuel consumption'!C29*9+'5.) Fuel consumption'!C34*F50*9</f>
        <v>612.88442244774012</v>
      </c>
      <c r="D49" s="13" t="s">
        <v>28</v>
      </c>
      <c r="E49" s="13" t="s">
        <v>423</v>
      </c>
      <c r="F49" s="212">
        <v>70</v>
      </c>
      <c r="G49" s="212" t="s">
        <v>424</v>
      </c>
    </row>
    <row r="50" spans="1:8" ht="15.75">
      <c r="A50" s="13" t="s">
        <v>425</v>
      </c>
      <c r="B50" s="13" t="s">
        <v>645</v>
      </c>
      <c r="C50" s="212">
        <v>50</v>
      </c>
      <c r="D50" s="212" t="s">
        <v>28</v>
      </c>
      <c r="E50" s="13" t="s">
        <v>491</v>
      </c>
      <c r="F50" s="212">
        <v>450</v>
      </c>
      <c r="G50" s="13" t="s">
        <v>424</v>
      </c>
      <c r="H50" s="13" t="s">
        <v>518</v>
      </c>
    </row>
    <row r="51" spans="1:8">
      <c r="A51" s="13"/>
      <c r="B51" s="13"/>
      <c r="C51" s="212"/>
      <c r="D51" s="212"/>
      <c r="E51" s="13"/>
      <c r="F51" s="212"/>
      <c r="G51" s="13"/>
      <c r="H51" s="13"/>
    </row>
    <row r="52" spans="1:8" ht="15.75">
      <c r="A52" s="13" t="s">
        <v>628</v>
      </c>
      <c r="B52" s="13" t="s">
        <v>646</v>
      </c>
      <c r="C52" s="13">
        <f ca="1">SUM(C48:C50)</f>
        <v>732.88442244774012</v>
      </c>
      <c r="D52" s="13" t="s">
        <v>28</v>
      </c>
      <c r="E52" s="13"/>
      <c r="G52" s="13"/>
    </row>
    <row r="53" spans="1:8">
      <c r="A53" s="13"/>
      <c r="B53" s="13"/>
      <c r="C53" s="13"/>
      <c r="D53" s="13"/>
      <c r="E53" s="13"/>
      <c r="G53" s="13"/>
    </row>
    <row r="54" spans="1:8">
      <c r="A54" s="13"/>
      <c r="B54" s="13"/>
      <c r="C54" s="13"/>
      <c r="D54" s="13"/>
      <c r="E54" s="13"/>
      <c r="G54" s="13"/>
    </row>
    <row r="55" spans="1:8">
      <c r="E55" s="13"/>
      <c r="G55" s="13"/>
    </row>
    <row r="56" spans="1:8">
      <c r="A56" s="13"/>
      <c r="B56" s="13"/>
      <c r="D56" s="38"/>
      <c r="E56" s="13"/>
      <c r="G56" s="13"/>
    </row>
    <row r="57" spans="1:8" ht="15.75">
      <c r="A57" s="13" t="s">
        <v>629</v>
      </c>
      <c r="B57" s="13" t="s">
        <v>647</v>
      </c>
      <c r="C57" s="211">
        <f ca="1">SUM(C52,C42,C33)</f>
        <v>2586.2974820737209</v>
      </c>
      <c r="D57" s="211" t="s">
        <v>28</v>
      </c>
      <c r="E57" s="13"/>
      <c r="G57" s="13"/>
    </row>
    <row r="59" spans="1:8" ht="15.75">
      <c r="A59" s="13" t="s">
        <v>630</v>
      </c>
      <c r="B59" s="13" t="s">
        <v>631</v>
      </c>
      <c r="C59" s="215">
        <f ca="1">SUM(C3,C57)</f>
        <v>28108.743638312229</v>
      </c>
      <c r="D59" s="215" t="s">
        <v>28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27"/>
  <sheetViews>
    <sheetView workbookViewId="0">
      <selection activeCell="A2" sqref="A2"/>
    </sheetView>
  </sheetViews>
  <sheetFormatPr baseColWidth="10" defaultRowHeight="12.75"/>
  <cols>
    <col min="1" max="1" width="36.7109375" bestFit="1" customWidth="1"/>
    <col min="2" max="2" width="14" bestFit="1" customWidth="1"/>
    <col min="5" max="5" width="17.5703125" bestFit="1" customWidth="1"/>
  </cols>
  <sheetData>
    <row r="1" spans="1:5">
      <c r="A1" s="13" t="s">
        <v>473</v>
      </c>
    </row>
    <row r="3" spans="1:5" ht="15.75">
      <c r="A3" s="13" t="s">
        <v>474</v>
      </c>
      <c r="B3" s="13" t="s">
        <v>659</v>
      </c>
      <c r="C3">
        <v>1.004</v>
      </c>
      <c r="D3" s="13" t="s">
        <v>404</v>
      </c>
    </row>
    <row r="4" spans="1:5">
      <c r="A4" s="13" t="s">
        <v>481</v>
      </c>
      <c r="B4" s="13" t="s">
        <v>482</v>
      </c>
      <c r="C4">
        <v>1.2250000000000001</v>
      </c>
      <c r="D4" s="13" t="s">
        <v>5</v>
      </c>
    </row>
    <row r="5" spans="1:5">
      <c r="A5" s="13"/>
      <c r="B5" s="13"/>
      <c r="D5" s="13"/>
    </row>
    <row r="6" spans="1:5" ht="15.75">
      <c r="A6" s="13" t="s">
        <v>565</v>
      </c>
      <c r="B6" s="13" t="s">
        <v>660</v>
      </c>
      <c r="C6">
        <v>1.2430000000000001</v>
      </c>
      <c r="D6" s="13" t="s">
        <v>404</v>
      </c>
      <c r="E6" s="13" t="s">
        <v>568</v>
      </c>
    </row>
    <row r="7" spans="1:5" ht="15.75">
      <c r="A7" s="13" t="s">
        <v>566</v>
      </c>
      <c r="B7" s="13" t="s">
        <v>661</v>
      </c>
      <c r="C7">
        <v>195.35</v>
      </c>
      <c r="D7" s="13" t="s">
        <v>567</v>
      </c>
      <c r="E7" s="13" t="s">
        <v>568</v>
      </c>
    </row>
    <row r="8" spans="1:5" ht="15.75">
      <c r="A8" s="13" t="s">
        <v>663</v>
      </c>
      <c r="B8" s="13" t="s">
        <v>664</v>
      </c>
      <c r="C8">
        <v>0.82499999999999996</v>
      </c>
      <c r="D8" s="13" t="s">
        <v>404</v>
      </c>
      <c r="E8" s="13" t="s">
        <v>568</v>
      </c>
    </row>
    <row r="9" spans="1:5" ht="15.75">
      <c r="A9" s="13" t="s">
        <v>662</v>
      </c>
      <c r="B9" s="13" t="s">
        <v>665</v>
      </c>
      <c r="C9">
        <v>373.15</v>
      </c>
      <c r="D9" s="13" t="s">
        <v>17</v>
      </c>
      <c r="E9" s="13" t="s">
        <v>568</v>
      </c>
    </row>
    <row r="10" spans="1:5">
      <c r="A10" s="13"/>
    </row>
    <row r="12" spans="1:5" ht="15.75">
      <c r="A12" s="13" t="s">
        <v>475</v>
      </c>
      <c r="B12" s="255" t="s">
        <v>666</v>
      </c>
      <c r="C12">
        <v>328.15</v>
      </c>
      <c r="D12" s="13" t="s">
        <v>17</v>
      </c>
      <c r="E12" s="13" t="s">
        <v>571</v>
      </c>
    </row>
    <row r="13" spans="1:5" ht="15.75">
      <c r="A13" s="13" t="s">
        <v>476</v>
      </c>
      <c r="B13" s="13" t="s">
        <v>667</v>
      </c>
      <c r="C13">
        <v>380.15</v>
      </c>
      <c r="D13" s="13" t="s">
        <v>17</v>
      </c>
      <c r="E13" s="13" t="s">
        <v>572</v>
      </c>
    </row>
    <row r="16" spans="1:5" ht="15.75">
      <c r="A16" s="13" t="s">
        <v>477</v>
      </c>
      <c r="B16" s="13" t="s">
        <v>561</v>
      </c>
      <c r="C16" s="215">
        <f>C13-C12</f>
        <v>52</v>
      </c>
      <c r="D16" s="13" t="s">
        <v>17</v>
      </c>
      <c r="E16" s="13" t="s">
        <v>570</v>
      </c>
    </row>
    <row r="18" spans="1:5" ht="15.75">
      <c r="A18" s="13" t="s">
        <v>478</v>
      </c>
      <c r="B18" s="13" t="s">
        <v>562</v>
      </c>
      <c r="C18" s="215">
        <f ca="1">'7.) Fuel cell'!C21/'7.1.) Heat Exchanger'!C3/'7.1.) Heat Exchanger'!C16</f>
        <v>154.29072618950178</v>
      </c>
      <c r="D18" s="13" t="s">
        <v>439</v>
      </c>
    </row>
    <row r="19" spans="1:5" ht="15.75">
      <c r="A19" s="13" t="s">
        <v>479</v>
      </c>
      <c r="B19" s="13" t="s">
        <v>563</v>
      </c>
      <c r="C19" s="215">
        <f ca="1">'7.) Fuel cell'!C21/(C8*(C13-C9)+C7+C6*(C16-(C9-C12)))</f>
        <v>38.38995278421887</v>
      </c>
      <c r="D19" s="13" t="s">
        <v>439</v>
      </c>
    </row>
    <row r="21" spans="1:5" ht="15.75">
      <c r="A21" s="13" t="s">
        <v>480</v>
      </c>
      <c r="B21" s="13" t="s">
        <v>564</v>
      </c>
      <c r="C21" s="215">
        <f ca="1">C18/C4/'1.) Preliminary Sizing I'!C71</f>
        <v>1.9357216596237443</v>
      </c>
      <c r="D21" s="13" t="s">
        <v>29</v>
      </c>
      <c r="E21" s="13" t="s">
        <v>569</v>
      </c>
    </row>
    <row r="23" spans="1:5" ht="15.75">
      <c r="A23" t="s">
        <v>484</v>
      </c>
      <c r="B23" s="13" t="s">
        <v>668</v>
      </c>
      <c r="C23" s="215">
        <f ca="1">C18*'3.) Preliminary Sizing II'!C70</f>
        <v>23290.44502563569</v>
      </c>
      <c r="D23" t="s">
        <v>483</v>
      </c>
      <c r="E23" s="13" t="s">
        <v>708</v>
      </c>
    </row>
    <row r="24" spans="1:5" ht="15.75">
      <c r="A24" t="s">
        <v>485</v>
      </c>
      <c r="B24" s="13" t="s">
        <v>654</v>
      </c>
      <c r="C24" s="215">
        <f ca="1">C23*'3.) Preliminary Sizing II'!C70/1000</f>
        <v>3515.731910069052</v>
      </c>
      <c r="D24" t="s">
        <v>380</v>
      </c>
    </row>
    <row r="26" spans="1:5" ht="15.75">
      <c r="A26" s="13" t="s">
        <v>652</v>
      </c>
      <c r="B26" s="13" t="s">
        <v>669</v>
      </c>
      <c r="C26" s="215">
        <f ca="1">C18*'1.) Preliminary Sizing I'!C71</f>
        <v>10039.235636595004</v>
      </c>
      <c r="D26" t="s">
        <v>483</v>
      </c>
    </row>
    <row r="27" spans="1:5" ht="15.75">
      <c r="A27" s="13" t="s">
        <v>653</v>
      </c>
      <c r="B27" s="13" t="s">
        <v>655</v>
      </c>
      <c r="C27" s="215">
        <f ca="1">C26*'1.) Preliminary Sizing I'!C71/1000</f>
        <v>653.22300734583462</v>
      </c>
      <c r="D27" t="s">
        <v>380</v>
      </c>
    </row>
  </sheetData>
  <phoneticPr fontId="18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25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17</vt:i4>
      </vt:variant>
    </vt:vector>
  </HeadingPairs>
  <TitlesOfParts>
    <vt:vector size="43" baseType="lpstr">
      <vt:lpstr>Abstract</vt:lpstr>
      <vt:lpstr>1.) Preliminary Sizing I</vt:lpstr>
      <vt:lpstr>2.) Max. Glide Ratio in Cruise</vt:lpstr>
      <vt:lpstr>2.1.) Wetted Area</vt:lpstr>
      <vt:lpstr>3.) Preliminary Sizing II</vt:lpstr>
      <vt:lpstr>5.) Fuel consumption</vt:lpstr>
      <vt:lpstr>6.) Fuel Containment System</vt:lpstr>
      <vt:lpstr>7.) Fuel cell</vt:lpstr>
      <vt:lpstr>7.1.) Heat Exchanger</vt:lpstr>
      <vt:lpstr>8.) Electric Propulsion System</vt:lpstr>
      <vt:lpstr>8.1.) Thrust Device</vt:lpstr>
      <vt:lpstr>9.) Mass H2 Powertrain</vt:lpstr>
      <vt:lpstr>(c)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4.) Matching Chart</vt:lpstr>
      <vt:lpstr>Acoef</vt:lpstr>
      <vt:lpstr>CL</vt:lpstr>
      <vt:lpstr>CL_m</vt:lpstr>
      <vt:lpstr>e</vt:lpstr>
      <vt:lpstr>euler</vt:lpstr>
      <vt:lpstr>g</vt:lpstr>
      <vt:lpstr>gamma</vt:lpstr>
      <vt:lpstr>L</vt:lpstr>
      <vt:lpstr>L_D</vt:lpstr>
      <vt:lpstr>L_D_max</vt:lpstr>
      <vt:lpstr>M</vt:lpstr>
      <vt:lpstr>ncoef</vt:lpstr>
      <vt:lpstr>p0</vt:lpstr>
      <vt:lpstr>propefcruise</vt:lpstr>
      <vt:lpstr>Rconstant</vt:lpstr>
      <vt:lpstr>T0</vt:lpstr>
      <vt:lpstr>V_CR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Dieter SCHOLZ</cp:lastModifiedBy>
  <cp:lastPrinted>2022-03-30T13:34:53Z</cp:lastPrinted>
  <dcterms:created xsi:type="dcterms:W3CDTF">1998-10-31T17:05:42Z</dcterms:created>
  <dcterms:modified xsi:type="dcterms:W3CDTF">2023-07-06T08:13:30Z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ff_formula" linkTarget="Prop_eff_formula">
    <vt:lpwstr>#BEZUG!</vt:lpwstr>
  </property>
</Properties>
</file>