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Dateien\HAW\Arbeiten\Camilo\Abgabe-6\"/>
    </mc:Choice>
  </mc:AlternateContent>
  <xr:revisionPtr revIDLastSave="0" documentId="13_ncr:1_{C64794E2-A4B2-41F5-9AF8-B939E26D2E52}" xr6:coauthVersionLast="47" xr6:coauthVersionMax="47" xr10:uidLastSave="{00000000-0000-0000-0000-000000000000}"/>
  <bookViews>
    <workbookView xWindow="-120" yWindow="-120" windowWidth="19440" windowHeight="14880" activeTab="3" xr2:uid="{00000000-000D-0000-FFFF-FFFF00000000}"/>
  </bookViews>
  <sheets>
    <sheet name="Calculation P" sheetId="1" r:id="rId1"/>
    <sheet name="Calculation Oswald-factor" sheetId="2" r:id="rId2"/>
    <sheet name="Evaluation" sheetId="4" r:id="rId3"/>
    <sheet name="Sorted" sheetId="5" r:id="rId4"/>
    <sheet name="Diagrams" sheetId="8" r:id="rId5"/>
    <sheet name="Oswald-factor Method 2" sheetId="10" r:id="rId6"/>
    <sheet name="(c)" sheetId="11" r:id="rId7"/>
  </sheets>
  <externalReferences>
    <externalReference r:id="rId8"/>
    <externalReference r:id="rId9"/>
  </externalReferences>
  <definedNames>
    <definedName name="_xlnm._FilterDatabase" localSheetId="1" hidden="1">'Calculation Oswald-factor'!$A$1:$S$1</definedName>
    <definedName name="_xlnm._FilterDatabase" localSheetId="0" hidden="1">'Calculation P'!$A$1:$U$90</definedName>
    <definedName name="_xlnm._FilterDatabase" localSheetId="5" hidden="1">'Oswald-factor Method 2'!$A$1:$N$1</definedName>
    <definedName name="_xlnm._FilterDatabase" localSheetId="3" hidden="1">Sorted!$A$1:$J$1</definedName>
    <definedName name="A" localSheetId="6">[1]Inputs_Outputs!$B$4</definedName>
    <definedName name="A">[1]Inputs_Outputs!$B$4</definedName>
    <definedName name="a_sound">[1]Inputs_Outputs!$J$5</definedName>
    <definedName name="BPR" localSheetId="6">[1]Inputs_Outputs!$F$3</definedName>
    <definedName name="BPR">[1]Inputs_Outputs!$F$3</definedName>
    <definedName name="c_dw">[1]Fuel!$C$23</definedName>
    <definedName name="Cd">[1]Fuel!$C$31</definedName>
    <definedName name="Cd0">[1]Fuel!$C$28</definedName>
    <definedName name="Cdoc">[1]DOC!$C$92</definedName>
    <definedName name="CF_AIC">[1]Environmental!$C$65</definedName>
    <definedName name="CF_NOx">[1]Environmental!$C$64</definedName>
    <definedName name="CL" localSheetId="6">[1]Fuel!$C$29</definedName>
    <definedName name="CL">[1]Fuel!$C$29</definedName>
    <definedName name="CL_m">#REF!</definedName>
    <definedName name="d_f">[1]Inputs_Outputs!#REF!</definedName>
    <definedName name="df">[1]Inputs_Outputs!#REF!</definedName>
    <definedName name="DmG">'[2]Schneeballfaktor '!$B$32</definedName>
    <definedName name="DmL">'[2]Schneeballfaktor '!$B$4</definedName>
    <definedName name="_xlnm.Print_Area" localSheetId="4">Diagrams!$B$3</definedName>
    <definedName name="e" localSheetId="6">[1]Fuel!$C$15</definedName>
    <definedName name="e">[1]Fuel!$C$15</definedName>
    <definedName name="E_glide">[1]Fuel!$C$33</definedName>
    <definedName name="EI_NOx">[1]Environmental!$C$50</definedName>
    <definedName name="FL">'[1]Flight time'!$B$167</definedName>
    <definedName name="fuel_km">[1]Fuel!$I$41</definedName>
    <definedName name="fuel_mile">[1]Fuel!$I$42</definedName>
    <definedName name="g" localSheetId="6">[1]Inputs_Outputs!$N$2</definedName>
    <definedName name="g">[1]Inputs_Outputs!$N$2</definedName>
    <definedName name="gamma">#REF!</definedName>
    <definedName name="H">[1]Inputs_Outputs!$J$3</definedName>
    <definedName name="Hft">[1]Inputs_Outputs!$J$4</definedName>
    <definedName name="k_inf">[1]DOC!$C$10</definedName>
    <definedName name="L">[1]Inputs_Outputs!$N$4</definedName>
    <definedName name="L_D">#REF!</definedName>
    <definedName name="L_D_max">#REF!</definedName>
    <definedName name="M" localSheetId="6">[1]Inputs_Outputs!$J$2</definedName>
    <definedName name="M">[1]Inputs_Outputs!$J$2</definedName>
    <definedName name="m_e">[1]Inputs_Outputs!$F$8</definedName>
    <definedName name="M_opt">[1]Inputs_Outputs!$B$13</definedName>
    <definedName name="m_PL">[1]DOC!$C$84</definedName>
    <definedName name="m_PLmax">[1]Inputs_Outputs!$B$10</definedName>
    <definedName name="mF">'[2]Schneeballfaktor '!$B$9</definedName>
    <definedName name="Mff">[1]DOC!$C$43</definedName>
    <definedName name="mFmMTO">'[2]Schneeballfaktor '!$B$8</definedName>
    <definedName name="mFOB">[1]DOC!$C$50</definedName>
    <definedName name="mMPL">'[2]Schneeballfaktor '!$B$10</definedName>
    <definedName name="mMTO">'[2]Schneeballfaktor '!$B$5</definedName>
    <definedName name="mMTOG">'[2]Schneeballfaktor '!$B$13</definedName>
    <definedName name="mOE">'[2]Schneeballfaktor '!$B$7</definedName>
    <definedName name="mOEmMTO">'[2]Schneeballfaktor '!$B$6</definedName>
    <definedName name="MTOW">[1]Inputs_Outputs!$B$2</definedName>
    <definedName name="MZFW">[1]Inputs_Outputs!$B$6</definedName>
    <definedName name="n_E">[1]Inputs_Outputs!$F$2</definedName>
    <definedName name="n_PAX">[1]Inputs_Outputs!$B$11</definedName>
    <definedName name="n_shafts">[1]Inputs_Outputs!$F$7</definedName>
    <definedName name="n_stages">[1]Inputs_Outputs!$F$6</definedName>
    <definedName name="nt_a">[1]DOC!$C$40</definedName>
    <definedName name="OAPR">[1]Inputs_Outputs!$F$5</definedName>
    <definedName name="OEW">[1]Inputs_Outputs!$B$9</definedName>
    <definedName name="p">[1]Inputs_Outputs!$J$7</definedName>
    <definedName name="p_t">[1]Inputs_Outputs!$N$9</definedName>
    <definedName name="p0" localSheetId="6">[1]Inputs_Outputs!$N$6</definedName>
    <definedName name="p0">[1]Inputs_Outputs!$N$6</definedName>
    <definedName name="phi">[1]Inputs_Outputs!$B$7</definedName>
    <definedName name="phi_rad">[1]Inputs_Outputs!$B$8</definedName>
    <definedName name="price_fuel">[1]DOC!$C$7</definedName>
    <definedName name="R_const">[1]Inputs_Outputs!$N$3</definedName>
    <definedName name="range">[1]Inputs_Outputs!$J$12</definedName>
    <definedName name="range_added">'[1]Flight time'!$B$170</definedName>
    <definedName name="range_mile">[1]DOC!$D$41</definedName>
    <definedName name="rho">[1]Inputs_Outputs!$J$8</definedName>
    <definedName name="rho_t">[1]Inputs_Outputs!$N$10</definedName>
    <definedName name="rho0">[1]Inputs_Outputs!$N$7</definedName>
    <definedName name="SS">[1]Inputs_Outputs!$B$3</definedName>
    <definedName name="Swet">[1]Inputs_Outputs!#REF!</definedName>
    <definedName name="T">[1]Inputs_Outputs!$J$6</definedName>
    <definedName name="T_t">[1]Inputs_Outputs!$N$8</definedName>
    <definedName name="T_to">[1]Inputs_Outputs!$F$4</definedName>
    <definedName name="T0">[1]Inputs_Outputs!$N$5</definedName>
    <definedName name="TAS">[1]Inputs_Outputs!$J$10</definedName>
    <definedName name="TAS_regulated">'[1]Flight time'!$B$166</definedName>
    <definedName name="tb">[1]DOC!$C$79</definedName>
    <definedName name="tf">[1]DOC!$C$59</definedName>
    <definedName name="tf_added">'[1]Flight time'!$B$168</definedName>
    <definedName name="TSFC">[1]Fuel!$I$35</definedName>
    <definedName name="Uaf">[1]DOC!$C$96</definedName>
    <definedName name="V_CR">#REF!</definedName>
    <definedName name="w_co2">[1]Inputs_Outputs!$B$164</definedName>
    <definedName name="w_doc">[1]Inputs_Outputs!$B$157</definedName>
    <definedName name="w_env">[1]Inputs_Outputs!$B$158</definedName>
    <definedName name="w_resource">[1]Inputs_Outputs!$B$163</definedName>
    <definedName name="xxxx">#REF!</definedName>
    <definedName name="xxxxx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7" i="1" l="1"/>
  <c r="S8" i="1"/>
  <c r="S9" i="1"/>
  <c r="S10" i="1"/>
  <c r="S11" i="1"/>
  <c r="S12" i="1"/>
  <c r="S13" i="1"/>
  <c r="S14" i="1"/>
  <c r="S15" i="1"/>
  <c r="S16" i="1"/>
  <c r="S17" i="1"/>
  <c r="S18" i="1"/>
  <c r="S21" i="1"/>
  <c r="S23" i="1"/>
  <c r="S24" i="1"/>
  <c r="S26" i="1"/>
  <c r="S27" i="1"/>
  <c r="S28" i="1"/>
  <c r="S29" i="1"/>
  <c r="S30" i="1"/>
  <c r="S32" i="1"/>
  <c r="S33" i="1"/>
  <c r="S36" i="1"/>
  <c r="S37" i="1"/>
  <c r="S38" i="1"/>
  <c r="S39" i="1"/>
  <c r="S40" i="1"/>
  <c r="S41" i="1"/>
  <c r="S42" i="1"/>
  <c r="S43" i="1"/>
  <c r="S44" i="1"/>
  <c r="S45" i="1"/>
  <c r="S47" i="1"/>
  <c r="S49" i="1"/>
  <c r="S50" i="1"/>
  <c r="S51" i="1"/>
  <c r="S52" i="1"/>
  <c r="S53" i="1"/>
  <c r="S54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I3" i="10"/>
  <c r="I4" i="10"/>
  <c r="I5" i="10"/>
  <c r="I6" i="10"/>
  <c r="I7" i="10"/>
  <c r="I8" i="10"/>
  <c r="I9" i="10"/>
  <c r="I10" i="10"/>
  <c r="I11" i="10"/>
  <c r="I12" i="10"/>
  <c r="I13" i="10"/>
  <c r="I2" i="10"/>
  <c r="G13" i="10"/>
  <c r="G12" i="10"/>
  <c r="G11" i="10"/>
  <c r="G10" i="10"/>
  <c r="G9" i="10"/>
  <c r="G8" i="10"/>
  <c r="G7" i="10"/>
  <c r="G6" i="10"/>
  <c r="G5" i="10"/>
  <c r="G4" i="10"/>
  <c r="G3" i="10"/>
  <c r="G2" i="10"/>
  <c r="S3" i="1"/>
  <c r="S4" i="1"/>
  <c r="S5" i="1"/>
  <c r="S2" i="1"/>
  <c r="J3" i="10"/>
  <c r="J4" i="10"/>
  <c r="J5" i="10"/>
  <c r="J6" i="10"/>
  <c r="J7" i="10"/>
  <c r="J8" i="10"/>
  <c r="J9" i="10"/>
  <c r="J10" i="10"/>
  <c r="J11" i="10"/>
  <c r="J12" i="10"/>
  <c r="J13" i="10"/>
  <c r="J2" i="10"/>
  <c r="E3" i="10"/>
  <c r="E6" i="10"/>
  <c r="E7" i="10"/>
  <c r="E8" i="10"/>
  <c r="E9" i="10"/>
  <c r="E11" i="10"/>
  <c r="E12" i="10"/>
  <c r="E13" i="10"/>
  <c r="E2" i="10"/>
  <c r="E90" i="2"/>
  <c r="Q90" i="1"/>
  <c r="O90" i="1"/>
  <c r="M90" i="1"/>
  <c r="E89" i="2"/>
  <c r="Q89" i="1"/>
  <c r="O89" i="1"/>
  <c r="M89" i="1"/>
  <c r="M88" i="2"/>
  <c r="E88" i="2"/>
  <c r="Q88" i="1"/>
  <c r="O88" i="1"/>
  <c r="M88" i="1"/>
  <c r="M87" i="2"/>
  <c r="E87" i="2"/>
  <c r="Q87" i="1"/>
  <c r="O87" i="1"/>
  <c r="M87" i="1"/>
  <c r="Q86" i="1"/>
  <c r="O86" i="1"/>
  <c r="M86" i="1"/>
  <c r="M86" i="2"/>
  <c r="K86" i="2"/>
  <c r="I86" i="2"/>
  <c r="E86" i="2"/>
  <c r="K85" i="2"/>
  <c r="I85" i="2"/>
  <c r="E85" i="2"/>
  <c r="Q85" i="1"/>
  <c r="O85" i="1"/>
  <c r="M85" i="1"/>
  <c r="E84" i="2"/>
  <c r="Q84" i="1"/>
  <c r="O84" i="1"/>
  <c r="M84" i="1"/>
  <c r="Q83" i="1"/>
  <c r="O83" i="1"/>
  <c r="M83" i="1"/>
  <c r="Q82" i="1"/>
  <c r="Q81" i="1"/>
  <c r="O81" i="1"/>
  <c r="O82" i="1"/>
  <c r="M82" i="1"/>
  <c r="M81" i="1"/>
  <c r="E83" i="2"/>
  <c r="K81" i="2"/>
  <c r="I81" i="2"/>
  <c r="E82" i="2"/>
  <c r="E81" i="2"/>
  <c r="M80" i="2"/>
  <c r="K80" i="2"/>
  <c r="I80" i="2"/>
  <c r="E80" i="2"/>
  <c r="Q80" i="1"/>
  <c r="O80" i="1"/>
  <c r="M80" i="1"/>
  <c r="M79" i="2"/>
  <c r="K79" i="2"/>
  <c r="I79" i="2"/>
  <c r="E79" i="2"/>
  <c r="Q79" i="1"/>
  <c r="O79" i="1"/>
  <c r="M79" i="1"/>
  <c r="K78" i="2"/>
  <c r="I78" i="2"/>
  <c r="E78" i="2"/>
  <c r="Q78" i="1"/>
  <c r="O78" i="1"/>
  <c r="M78" i="1"/>
  <c r="E77" i="2"/>
  <c r="Q77" i="1"/>
  <c r="O77" i="1"/>
  <c r="M77" i="1"/>
  <c r="Q76" i="1"/>
  <c r="O76" i="1"/>
  <c r="M76" i="1"/>
  <c r="M76" i="2"/>
  <c r="K76" i="2"/>
  <c r="I76" i="2"/>
  <c r="E76" i="2"/>
  <c r="E75" i="2"/>
  <c r="Q75" i="1"/>
  <c r="O75" i="1"/>
  <c r="M75" i="1"/>
  <c r="M74" i="2"/>
  <c r="M73" i="2"/>
  <c r="K74" i="2"/>
  <c r="K73" i="2"/>
  <c r="I74" i="2"/>
  <c r="I73" i="2"/>
  <c r="E74" i="2"/>
  <c r="E73" i="2"/>
  <c r="Q73" i="1"/>
  <c r="Q74" i="1"/>
  <c r="O74" i="1"/>
  <c r="O73" i="1"/>
  <c r="M74" i="1"/>
  <c r="M73" i="1"/>
  <c r="E72" i="2"/>
  <c r="Q72" i="1"/>
  <c r="O72" i="1"/>
  <c r="M72" i="1"/>
  <c r="K71" i="2"/>
  <c r="K70" i="2"/>
  <c r="I71" i="2"/>
  <c r="I70" i="2"/>
  <c r="E71" i="2"/>
  <c r="E70" i="2"/>
  <c r="Q71" i="1"/>
  <c r="Q70" i="1"/>
  <c r="O71" i="1"/>
  <c r="O70" i="1"/>
  <c r="M71" i="1"/>
  <c r="M70" i="1"/>
  <c r="M68" i="2"/>
  <c r="M69" i="2"/>
  <c r="K69" i="2"/>
  <c r="I69" i="2"/>
  <c r="G69" i="2"/>
  <c r="E69" i="2"/>
  <c r="E68" i="2"/>
  <c r="K68" i="2"/>
  <c r="I68" i="2"/>
  <c r="G68" i="2"/>
  <c r="M67" i="2"/>
  <c r="K67" i="2"/>
  <c r="I67" i="2"/>
  <c r="G67" i="2"/>
  <c r="E67" i="2"/>
  <c r="M66" i="2"/>
  <c r="K66" i="2"/>
  <c r="I66" i="2"/>
  <c r="G66" i="2"/>
  <c r="E66" i="2"/>
  <c r="Q69" i="1"/>
  <c r="O69" i="1"/>
  <c r="M69" i="1"/>
  <c r="Q68" i="1"/>
  <c r="O68" i="1"/>
  <c r="M68" i="1"/>
  <c r="Q67" i="1"/>
  <c r="O67" i="1"/>
  <c r="M67" i="1"/>
  <c r="Q66" i="1"/>
  <c r="O66" i="1"/>
  <c r="M66" i="1"/>
  <c r="Q65" i="1"/>
  <c r="Q64" i="1"/>
  <c r="O65" i="1"/>
  <c r="O64" i="1"/>
  <c r="M65" i="1"/>
  <c r="M64" i="1"/>
  <c r="M65" i="2"/>
  <c r="K65" i="2"/>
  <c r="I65" i="2"/>
  <c r="M64" i="2"/>
  <c r="K64" i="2"/>
  <c r="I64" i="2"/>
  <c r="E65" i="2"/>
  <c r="E64" i="2"/>
  <c r="K63" i="2"/>
  <c r="I63" i="2"/>
  <c r="E63" i="2"/>
  <c r="Q63" i="1"/>
  <c r="O63" i="1"/>
  <c r="M63" i="1"/>
  <c r="K62" i="2"/>
  <c r="I62" i="2"/>
  <c r="G62" i="2"/>
  <c r="E62" i="2"/>
  <c r="Q62" i="1"/>
  <c r="Q61" i="1"/>
  <c r="O62" i="1"/>
  <c r="M62" i="1"/>
  <c r="K61" i="2"/>
  <c r="I61" i="2"/>
  <c r="G61" i="2"/>
  <c r="E61" i="2"/>
  <c r="O61" i="1"/>
  <c r="M61" i="1"/>
  <c r="M60" i="2"/>
  <c r="M59" i="2"/>
  <c r="K60" i="2"/>
  <c r="K59" i="2"/>
  <c r="I60" i="2"/>
  <c r="I59" i="2"/>
  <c r="G60" i="2"/>
  <c r="G59" i="2"/>
  <c r="E60" i="2"/>
  <c r="E59" i="2"/>
  <c r="Q60" i="1"/>
  <c r="Q59" i="1"/>
  <c r="O60" i="1"/>
  <c r="O59" i="1"/>
  <c r="M60" i="1"/>
  <c r="M59" i="1"/>
  <c r="E58" i="2"/>
  <c r="O58" i="1"/>
  <c r="Q58" i="1"/>
  <c r="M58" i="1"/>
  <c r="M57" i="2"/>
  <c r="M56" i="2"/>
  <c r="M55" i="2"/>
  <c r="M54" i="2"/>
  <c r="K57" i="2"/>
  <c r="K56" i="2"/>
  <c r="K55" i="2"/>
  <c r="K54" i="2"/>
  <c r="I57" i="2"/>
  <c r="I56" i="2"/>
  <c r="I55" i="2"/>
  <c r="I54" i="2"/>
  <c r="E57" i="2"/>
  <c r="E56" i="2"/>
  <c r="E55" i="2"/>
  <c r="E54" i="2"/>
  <c r="Q57" i="1"/>
  <c r="Q56" i="1"/>
  <c r="Q55" i="1"/>
  <c r="Q54" i="1"/>
  <c r="O57" i="1"/>
  <c r="O56" i="1"/>
  <c r="O55" i="1"/>
  <c r="O54" i="1"/>
  <c r="M57" i="1"/>
  <c r="M56" i="1"/>
  <c r="M55" i="1"/>
  <c r="M54" i="1"/>
  <c r="M53" i="2"/>
  <c r="K53" i="2"/>
  <c r="I53" i="2"/>
  <c r="E53" i="2"/>
  <c r="Q53" i="1"/>
  <c r="O53" i="1"/>
  <c r="M53" i="1"/>
  <c r="K52" i="2"/>
  <c r="I52" i="2"/>
  <c r="Q52" i="1"/>
  <c r="O52" i="1"/>
  <c r="M52" i="1"/>
  <c r="Q51" i="1"/>
  <c r="Q50" i="1"/>
  <c r="O51" i="1"/>
  <c r="O50" i="1"/>
  <c r="M51" i="1"/>
  <c r="M50" i="1"/>
  <c r="E52" i="2"/>
  <c r="E51" i="2"/>
  <c r="E50" i="2"/>
  <c r="G49" i="2"/>
  <c r="E49" i="2"/>
  <c r="Q49" i="1"/>
  <c r="O49" i="1"/>
  <c r="M49" i="1"/>
  <c r="M42" i="2"/>
  <c r="M36" i="2"/>
  <c r="M30" i="2"/>
  <c r="K49" i="2"/>
  <c r="I49" i="2"/>
  <c r="E48" i="2"/>
  <c r="Q48" i="1"/>
  <c r="O48" i="1"/>
  <c r="M48" i="1"/>
  <c r="M48" i="2"/>
  <c r="M47" i="2"/>
  <c r="M46" i="2"/>
  <c r="M45" i="2"/>
  <c r="M44" i="2"/>
  <c r="M43" i="2"/>
  <c r="K48" i="2"/>
  <c r="K47" i="2"/>
  <c r="I48" i="2"/>
  <c r="K46" i="2"/>
  <c r="K45" i="2"/>
  <c r="K44" i="2"/>
  <c r="K43" i="2"/>
  <c r="I47" i="2"/>
  <c r="I46" i="2"/>
  <c r="I45" i="2"/>
  <c r="I44" i="2"/>
  <c r="I43" i="2"/>
  <c r="E47" i="2"/>
  <c r="E46" i="2"/>
  <c r="E45" i="2"/>
  <c r="E44" i="2"/>
  <c r="E43" i="2"/>
  <c r="Q47" i="1"/>
  <c r="Q46" i="1"/>
  <c r="Q45" i="1"/>
  <c r="Q44" i="1"/>
  <c r="Q43" i="1"/>
  <c r="O47" i="1"/>
  <c r="O46" i="1"/>
  <c r="O45" i="1"/>
  <c r="O44" i="1"/>
  <c r="O43" i="1"/>
  <c r="M47" i="1"/>
  <c r="M46" i="1"/>
  <c r="M45" i="1"/>
  <c r="M44" i="1"/>
  <c r="M43" i="1"/>
  <c r="P48" i="1"/>
  <c r="P47" i="1"/>
  <c r="P46" i="1"/>
  <c r="P45" i="1"/>
  <c r="P44" i="1"/>
  <c r="P43" i="1"/>
  <c r="E42" i="2"/>
  <c r="Q42" i="1"/>
  <c r="O42" i="1"/>
  <c r="M42" i="1"/>
  <c r="E41" i="2"/>
  <c r="Q41" i="1"/>
  <c r="O41" i="1"/>
  <c r="M41" i="1"/>
  <c r="M40" i="2"/>
  <c r="M39" i="2"/>
  <c r="M38" i="2"/>
  <c r="M37" i="2"/>
  <c r="K40" i="2"/>
  <c r="K39" i="2"/>
  <c r="K38" i="2"/>
  <c r="K37" i="2"/>
  <c r="I40" i="2"/>
  <c r="I39" i="2"/>
  <c r="I38" i="2"/>
  <c r="I37" i="2"/>
  <c r="E40" i="2"/>
  <c r="E39" i="2"/>
  <c r="E38" i="2"/>
  <c r="E37" i="2"/>
  <c r="Q40" i="1"/>
  <c r="Q39" i="1"/>
  <c r="Q38" i="1"/>
  <c r="Q37" i="1"/>
  <c r="O40" i="1"/>
  <c r="O39" i="1"/>
  <c r="O38" i="1"/>
  <c r="O37" i="1"/>
  <c r="M40" i="1"/>
  <c r="M39" i="1"/>
  <c r="M38" i="1"/>
  <c r="M37" i="1"/>
  <c r="E36" i="2"/>
  <c r="Q36" i="1"/>
  <c r="O36" i="1"/>
  <c r="M36" i="1"/>
  <c r="K35" i="2"/>
  <c r="E35" i="2"/>
  <c r="Q35" i="1"/>
  <c r="O35" i="1"/>
  <c r="M35" i="1"/>
  <c r="K34" i="2"/>
  <c r="I34" i="2"/>
  <c r="G34" i="2"/>
  <c r="E34" i="2"/>
  <c r="Q34" i="1"/>
  <c r="P34" i="1"/>
  <c r="O34" i="1"/>
  <c r="M34" i="1"/>
  <c r="K33" i="2"/>
  <c r="E33" i="2"/>
  <c r="Q33" i="1"/>
  <c r="O33" i="1"/>
  <c r="M33" i="1"/>
  <c r="K32" i="2"/>
  <c r="E32" i="2"/>
  <c r="Q32" i="1"/>
  <c r="O32" i="1"/>
  <c r="M32" i="1"/>
  <c r="M31" i="2"/>
  <c r="K31" i="2"/>
  <c r="I31" i="2"/>
  <c r="G31" i="2"/>
  <c r="E31" i="2"/>
  <c r="Q31" i="1"/>
  <c r="O31" i="1"/>
  <c r="M31" i="1"/>
  <c r="E30" i="2"/>
  <c r="Q30" i="1"/>
  <c r="O30" i="1"/>
  <c r="M30" i="1"/>
  <c r="E29" i="2"/>
  <c r="M29" i="1"/>
  <c r="M29" i="2"/>
  <c r="K29" i="2"/>
  <c r="I29" i="2"/>
  <c r="O29" i="1"/>
  <c r="Q29" i="1"/>
  <c r="M28" i="2"/>
  <c r="K28" i="2"/>
  <c r="I28" i="2"/>
  <c r="E28" i="2"/>
  <c r="Q28" i="1"/>
  <c r="O28" i="1"/>
  <c r="M28" i="1"/>
  <c r="E27" i="2"/>
  <c r="Q27" i="1"/>
  <c r="O27" i="1"/>
  <c r="M27" i="1"/>
  <c r="M26" i="2"/>
  <c r="K26" i="2"/>
  <c r="I26" i="2"/>
  <c r="M25" i="2"/>
  <c r="I25" i="2"/>
  <c r="K25" i="2"/>
  <c r="M24" i="2"/>
  <c r="K24" i="2"/>
  <c r="I24" i="2"/>
  <c r="E26" i="2"/>
  <c r="E25" i="2"/>
  <c r="E24" i="2"/>
  <c r="Q26" i="1"/>
  <c r="Q25" i="1"/>
  <c r="Q24" i="1"/>
  <c r="O26" i="1"/>
  <c r="O25" i="1"/>
  <c r="O24" i="1"/>
  <c r="M26" i="1"/>
  <c r="M25" i="1"/>
  <c r="M24" i="1"/>
  <c r="M23" i="2"/>
  <c r="M22" i="2"/>
  <c r="K23" i="2"/>
  <c r="K22" i="2"/>
  <c r="I23" i="2"/>
  <c r="I22" i="2"/>
  <c r="E23" i="2"/>
  <c r="E22" i="2"/>
  <c r="Q23" i="1"/>
  <c r="Q22" i="1"/>
  <c r="O23" i="1"/>
  <c r="M23" i="1"/>
  <c r="O22" i="1"/>
  <c r="M22" i="1"/>
  <c r="M21" i="2"/>
  <c r="K21" i="2"/>
  <c r="I21" i="2"/>
  <c r="Q21" i="1"/>
  <c r="O21" i="1"/>
  <c r="M21" i="1"/>
  <c r="E21" i="2"/>
  <c r="M20" i="2"/>
  <c r="K20" i="2"/>
  <c r="I20" i="2"/>
  <c r="E20" i="2"/>
  <c r="Q20" i="1"/>
  <c r="O20" i="1"/>
  <c r="M20" i="1"/>
  <c r="M19" i="2"/>
  <c r="K19" i="2"/>
  <c r="E19" i="2"/>
  <c r="Q19" i="1"/>
  <c r="P19" i="1"/>
  <c r="O19" i="1"/>
  <c r="M19" i="1"/>
  <c r="M18" i="2"/>
  <c r="K18" i="2"/>
  <c r="I18" i="2"/>
  <c r="E18" i="2"/>
  <c r="O18" i="1"/>
  <c r="M18" i="1"/>
  <c r="Q18" i="1"/>
  <c r="M17" i="2"/>
  <c r="M16" i="2"/>
  <c r="K17" i="2"/>
  <c r="K16" i="2"/>
  <c r="I17" i="2"/>
  <c r="I16" i="2"/>
  <c r="E17" i="2"/>
  <c r="E16" i="2"/>
  <c r="Q17" i="1"/>
  <c r="Q16" i="1"/>
  <c r="O17" i="1"/>
  <c r="O16" i="1"/>
  <c r="M17" i="1"/>
  <c r="M16" i="1"/>
  <c r="E15" i="2"/>
  <c r="E14" i="2"/>
  <c r="O15" i="1"/>
  <c r="O14" i="1"/>
  <c r="M15" i="1"/>
  <c r="M14" i="1"/>
  <c r="Q15" i="1"/>
  <c r="Q14" i="1"/>
  <c r="M15" i="2"/>
  <c r="M14" i="2"/>
  <c r="K15" i="2"/>
  <c r="K14" i="2"/>
  <c r="I15" i="2"/>
  <c r="I14" i="2"/>
  <c r="M13" i="2"/>
  <c r="M12" i="2"/>
  <c r="K13" i="2"/>
  <c r="K12" i="2"/>
  <c r="I13" i="2"/>
  <c r="I12" i="2"/>
  <c r="E13" i="2"/>
  <c r="E12" i="2"/>
  <c r="O13" i="1"/>
  <c r="M13" i="1"/>
  <c r="Q13" i="1"/>
  <c r="Q12" i="1"/>
  <c r="O12" i="1"/>
  <c r="M12" i="1"/>
  <c r="K11" i="2"/>
  <c r="I11" i="2"/>
  <c r="E11" i="2"/>
  <c r="Q11" i="1"/>
  <c r="O11" i="1"/>
  <c r="M11" i="1"/>
  <c r="M10" i="2"/>
  <c r="K10" i="2"/>
  <c r="I10" i="2"/>
  <c r="E10" i="2"/>
  <c r="Q10" i="1"/>
  <c r="O10" i="1"/>
  <c r="M10" i="1"/>
  <c r="K9" i="2"/>
  <c r="M9" i="2"/>
  <c r="G9" i="2"/>
  <c r="E9" i="2"/>
  <c r="Q9" i="1"/>
  <c r="O9" i="1"/>
  <c r="M9" i="1"/>
  <c r="Q8" i="1"/>
  <c r="O8" i="1"/>
  <c r="M8" i="1"/>
  <c r="P6" i="1"/>
  <c r="M8" i="2"/>
  <c r="K8" i="2"/>
  <c r="M7" i="2"/>
  <c r="K7" i="2"/>
  <c r="E8" i="2"/>
  <c r="E7" i="2"/>
  <c r="Q7" i="1"/>
  <c r="O7" i="1"/>
  <c r="M7" i="1"/>
  <c r="M6" i="2"/>
  <c r="K6" i="2"/>
  <c r="E6" i="2"/>
  <c r="Q6" i="1"/>
  <c r="O6" i="1"/>
  <c r="M6" i="1"/>
  <c r="Q5" i="1"/>
  <c r="O5" i="1"/>
  <c r="M5" i="1"/>
  <c r="M5" i="2"/>
  <c r="K5" i="2"/>
  <c r="E5" i="2"/>
  <c r="M4" i="2"/>
  <c r="K4" i="2"/>
  <c r="E4" i="2"/>
  <c r="Q4" i="1"/>
  <c r="O4" i="1"/>
  <c r="M4" i="1"/>
  <c r="M3" i="2"/>
  <c r="K3" i="2"/>
  <c r="I3" i="2"/>
  <c r="E3" i="2"/>
  <c r="Q3" i="1"/>
  <c r="O3" i="1"/>
  <c r="M3" i="1"/>
  <c r="M2" i="2"/>
  <c r="K2" i="2"/>
  <c r="I2" i="2"/>
  <c r="H2" i="2"/>
  <c r="R6" i="2"/>
  <c r="P2" i="1"/>
  <c r="E2" i="2"/>
  <c r="Q2" i="1"/>
  <c r="O2" i="1"/>
  <c r="M2" i="1"/>
  <c r="P84" i="1"/>
  <c r="R34" i="2"/>
  <c r="R14" i="2"/>
  <c r="H84" i="2"/>
  <c r="H30" i="2"/>
  <c r="H83" i="2"/>
  <c r="H41" i="2"/>
  <c r="H42" i="2"/>
  <c r="H27" i="2"/>
  <c r="H82" i="2"/>
  <c r="H75" i="2"/>
  <c r="H72" i="2"/>
  <c r="H64" i="2"/>
  <c r="H77" i="2"/>
  <c r="H88" i="2"/>
  <c r="H87" i="2"/>
  <c r="H58" i="2"/>
  <c r="H90" i="2"/>
  <c r="H51" i="2"/>
  <c r="H50" i="2"/>
  <c r="H89" i="2"/>
  <c r="H36" i="2"/>
  <c r="R30" i="2"/>
  <c r="R27" i="2"/>
  <c r="R42" i="2"/>
  <c r="C42" i="2"/>
  <c r="O42" i="2" s="1"/>
  <c r="P42" i="1"/>
  <c r="R36" i="2"/>
  <c r="C36" i="2"/>
  <c r="N36" i="2" s="1"/>
  <c r="P36" i="1"/>
  <c r="P30" i="1"/>
  <c r="R18" i="2"/>
  <c r="S18" i="2" s="1"/>
  <c r="P18" i="2" s="1"/>
  <c r="C18" i="2"/>
  <c r="N18" i="2" s="1"/>
  <c r="P18" i="1"/>
  <c r="R82" i="2"/>
  <c r="C82" i="2"/>
  <c r="N82" i="2" s="1"/>
  <c r="R81" i="2"/>
  <c r="S81" i="2" s="1"/>
  <c r="C81" i="2"/>
  <c r="N81" i="2" s="1"/>
  <c r="S30" i="2" l="1"/>
  <c r="P30" i="2" s="1"/>
  <c r="S42" i="2"/>
  <c r="P42" i="2" s="1"/>
  <c r="S82" i="2"/>
  <c r="S27" i="2"/>
  <c r="S36" i="2"/>
  <c r="P36" i="2" s="1"/>
  <c r="N42" i="2"/>
  <c r="O36" i="2"/>
  <c r="O18" i="2"/>
  <c r="L82" i="2"/>
  <c r="O82" i="2"/>
  <c r="O81" i="2"/>
  <c r="L81" i="2"/>
  <c r="P82" i="1"/>
  <c r="P81" i="1"/>
  <c r="R77" i="2"/>
  <c r="S77" i="2" s="1"/>
  <c r="P81" i="2" l="1"/>
  <c r="Q81" i="2" s="1"/>
  <c r="R81" i="1" s="1"/>
  <c r="T81" i="1" s="1"/>
  <c r="Q36" i="2"/>
  <c r="R36" i="1" s="1"/>
  <c r="Q42" i="2"/>
  <c r="R42" i="1" s="1"/>
  <c r="Q18" i="2"/>
  <c r="R18" i="1" s="1"/>
  <c r="P82" i="2"/>
  <c r="C77" i="2"/>
  <c r="L77" i="2" s="1"/>
  <c r="P77" i="1"/>
  <c r="R72" i="2"/>
  <c r="S72" i="2" s="1"/>
  <c r="C72" i="2"/>
  <c r="N72" i="2" s="1"/>
  <c r="P72" i="1"/>
  <c r="R75" i="2"/>
  <c r="S75" i="2" s="1"/>
  <c r="R84" i="2"/>
  <c r="S84" i="2" s="1"/>
  <c r="C84" i="2"/>
  <c r="L84" i="2" s="1"/>
  <c r="R83" i="2"/>
  <c r="S83" i="2" s="1"/>
  <c r="P83" i="1"/>
  <c r="C83" i="2"/>
  <c r="N83" i="2" s="1"/>
  <c r="C75" i="2"/>
  <c r="L75" i="2" s="1"/>
  <c r="P75" i="1"/>
  <c r="R76" i="2"/>
  <c r="S76" i="2" s="1"/>
  <c r="P76" i="2" s="1"/>
  <c r="P76" i="1"/>
  <c r="C76" i="2"/>
  <c r="O76" i="2" s="1"/>
  <c r="R58" i="2"/>
  <c r="S58" i="2" s="1"/>
  <c r="P58" i="1"/>
  <c r="R41" i="2"/>
  <c r="S41" i="2" s="1"/>
  <c r="P49" i="1"/>
  <c r="C41" i="2"/>
  <c r="O41" i="2" s="1"/>
  <c r="P41" i="1"/>
  <c r="P27" i="1"/>
  <c r="R80" i="2"/>
  <c r="S80" i="2" s="1"/>
  <c r="P80" i="2" s="1"/>
  <c r="C80" i="2"/>
  <c r="O80" i="2" s="1"/>
  <c r="P80" i="1"/>
  <c r="P79" i="1"/>
  <c r="R79" i="2"/>
  <c r="S79" i="2" s="1"/>
  <c r="P79" i="2" s="1"/>
  <c r="C79" i="2"/>
  <c r="N79" i="2" s="1"/>
  <c r="R86" i="2"/>
  <c r="S86" i="2" s="1"/>
  <c r="R87" i="2"/>
  <c r="R88" i="2"/>
  <c r="R89" i="2"/>
  <c r="S89" i="2" s="1"/>
  <c r="R90" i="2"/>
  <c r="S90" i="2" s="1"/>
  <c r="Q82" i="2" l="1"/>
  <c r="R82" i="1" s="1"/>
  <c r="T82" i="1" s="1"/>
  <c r="P77" i="2"/>
  <c r="O77" i="2"/>
  <c r="N77" i="2"/>
  <c r="O72" i="2"/>
  <c r="L72" i="2"/>
  <c r="P75" i="2"/>
  <c r="P84" i="2"/>
  <c r="O84" i="2"/>
  <c r="N84" i="2"/>
  <c r="L83" i="2"/>
  <c r="O83" i="2"/>
  <c r="N75" i="2"/>
  <c r="O75" i="2"/>
  <c r="N76" i="2"/>
  <c r="L41" i="2"/>
  <c r="N41" i="2"/>
  <c r="N80" i="2"/>
  <c r="O79" i="2"/>
  <c r="Q79" i="2" s="1"/>
  <c r="R79" i="1" s="1"/>
  <c r="S87" i="2"/>
  <c r="P87" i="2" s="1"/>
  <c r="S88" i="2"/>
  <c r="P88" i="1"/>
  <c r="C87" i="2"/>
  <c r="N87" i="2" s="1"/>
  <c r="C88" i="2"/>
  <c r="N88" i="2" s="1"/>
  <c r="C89" i="2"/>
  <c r="C90" i="2"/>
  <c r="L90" i="2" s="1"/>
  <c r="P87" i="1"/>
  <c r="P89" i="1"/>
  <c r="P90" i="1"/>
  <c r="P86" i="2"/>
  <c r="C86" i="2"/>
  <c r="N86" i="2" s="1"/>
  <c r="P86" i="1"/>
  <c r="R3" i="2"/>
  <c r="S3" i="2" s="1"/>
  <c r="P3" i="2" s="1"/>
  <c r="C3" i="2"/>
  <c r="N3" i="2" s="1"/>
  <c r="P3" i="1"/>
  <c r="P50" i="1"/>
  <c r="P51" i="1"/>
  <c r="R49" i="2"/>
  <c r="S49" i="2" s="1"/>
  <c r="R50" i="2"/>
  <c r="S50" i="2" s="1"/>
  <c r="R51" i="2"/>
  <c r="S51" i="2" s="1"/>
  <c r="R52" i="2"/>
  <c r="S52" i="2" s="1"/>
  <c r="C49" i="2"/>
  <c r="C50" i="2"/>
  <c r="N50" i="2" s="1"/>
  <c r="C51" i="2"/>
  <c r="N51" i="2" s="1"/>
  <c r="C52" i="2"/>
  <c r="L52" i="2" s="1"/>
  <c r="P52" i="1"/>
  <c r="R63" i="2"/>
  <c r="S63" i="2" s="1"/>
  <c r="C63" i="2"/>
  <c r="N63" i="2" s="1"/>
  <c r="P63" i="1"/>
  <c r="R61" i="2"/>
  <c r="S61" i="2" s="1"/>
  <c r="R62" i="2"/>
  <c r="S62" i="2" s="1"/>
  <c r="P62" i="1"/>
  <c r="P61" i="1"/>
  <c r="R59" i="2"/>
  <c r="S59" i="2" s="1"/>
  <c r="P59" i="2" s="1"/>
  <c r="R60" i="2"/>
  <c r="S60" i="2" s="1"/>
  <c r="P60" i="2" s="1"/>
  <c r="C58" i="2"/>
  <c r="O58" i="2" s="1"/>
  <c r="C59" i="2"/>
  <c r="N59" i="2" s="1"/>
  <c r="C60" i="2"/>
  <c r="N60" i="2" s="1"/>
  <c r="C61" i="2"/>
  <c r="N61" i="2" s="1"/>
  <c r="C62" i="2"/>
  <c r="N62" i="2" s="1"/>
  <c r="P59" i="1"/>
  <c r="P60" i="1"/>
  <c r="R71" i="2"/>
  <c r="S71" i="2" s="1"/>
  <c r="P71" i="1"/>
  <c r="R70" i="2"/>
  <c r="S70" i="2" s="1"/>
  <c r="P70" i="1"/>
  <c r="R73" i="2"/>
  <c r="S73" i="2" s="1"/>
  <c r="P73" i="2" s="1"/>
  <c r="R74" i="2"/>
  <c r="S74" i="2" s="1"/>
  <c r="P74" i="2" s="1"/>
  <c r="C70" i="2"/>
  <c r="N70" i="2" s="1"/>
  <c r="C71" i="2"/>
  <c r="N71" i="2" s="1"/>
  <c r="D10" i="10" s="1"/>
  <c r="C73" i="2"/>
  <c r="N73" i="2" s="1"/>
  <c r="C74" i="2"/>
  <c r="N74" i="2" s="1"/>
  <c r="P74" i="1"/>
  <c r="P73" i="1"/>
  <c r="R85" i="2"/>
  <c r="S85" i="2" s="1"/>
  <c r="C85" i="2"/>
  <c r="L85" i="2" s="1"/>
  <c r="P85" i="1"/>
  <c r="R78" i="2"/>
  <c r="S78" i="2" s="1"/>
  <c r="P78" i="1"/>
  <c r="C78" i="2"/>
  <c r="L78" i="2" s="1"/>
  <c r="R69" i="2"/>
  <c r="S69" i="2" s="1"/>
  <c r="P69" i="2" s="1"/>
  <c r="P69" i="1"/>
  <c r="C69" i="2"/>
  <c r="N69" i="2" s="1"/>
  <c r="R68" i="2"/>
  <c r="S68" i="2" s="1"/>
  <c r="P68" i="2" s="1"/>
  <c r="P68" i="1"/>
  <c r="C68" i="2"/>
  <c r="N68" i="2" s="1"/>
  <c r="T18" i="1"/>
  <c r="T36" i="1"/>
  <c r="T42" i="1"/>
  <c r="C66" i="2"/>
  <c r="N66" i="2" s="1"/>
  <c r="P67" i="1"/>
  <c r="P66" i="1"/>
  <c r="R66" i="2"/>
  <c r="S66" i="2" s="1"/>
  <c r="P66" i="2" s="1"/>
  <c r="R67" i="2"/>
  <c r="S67" i="2" s="1"/>
  <c r="P67" i="2" s="1"/>
  <c r="C67" i="2"/>
  <c r="N67" i="2" s="1"/>
  <c r="R65" i="2"/>
  <c r="S65" i="2" s="1"/>
  <c r="P65" i="2" s="1"/>
  <c r="P65" i="1"/>
  <c r="C65" i="2"/>
  <c r="N65" i="2" s="1"/>
  <c r="R64" i="2"/>
  <c r="S64" i="2" s="1"/>
  <c r="P64" i="2" s="1"/>
  <c r="C64" i="2"/>
  <c r="N64" i="2" s="1"/>
  <c r="P64" i="1"/>
  <c r="P83" i="2" l="1"/>
  <c r="Q80" i="2"/>
  <c r="R80" i="1" s="1"/>
  <c r="T80" i="1" s="1"/>
  <c r="N89" i="2"/>
  <c r="L89" i="2"/>
  <c r="P41" i="2"/>
  <c r="Q76" i="2"/>
  <c r="R76" i="1" s="1"/>
  <c r="T76" i="1" s="1"/>
  <c r="P72" i="2"/>
  <c r="Q77" i="2"/>
  <c r="R77" i="1" s="1"/>
  <c r="Q75" i="2"/>
  <c r="R75" i="1" s="1"/>
  <c r="Q84" i="2"/>
  <c r="R84" i="1" s="1"/>
  <c r="Q83" i="2"/>
  <c r="R83" i="1" s="1"/>
  <c r="T79" i="1"/>
  <c r="L58" i="2"/>
  <c r="N58" i="2"/>
  <c r="N49" i="2"/>
  <c r="L49" i="2"/>
  <c r="P88" i="2"/>
  <c r="O89" i="2"/>
  <c r="O88" i="2"/>
  <c r="O87" i="2"/>
  <c r="Q87" i="2" s="1"/>
  <c r="R87" i="1" s="1"/>
  <c r="N90" i="2"/>
  <c r="P90" i="2"/>
  <c r="O90" i="2"/>
  <c r="O86" i="2"/>
  <c r="Q86" i="2" s="1"/>
  <c r="R86" i="1" s="1"/>
  <c r="O3" i="2"/>
  <c r="L50" i="2"/>
  <c r="L51" i="2"/>
  <c r="O50" i="2"/>
  <c r="P52" i="2"/>
  <c r="O51" i="2"/>
  <c r="O52" i="2"/>
  <c r="N52" i="2"/>
  <c r="O49" i="2"/>
  <c r="O63" i="2"/>
  <c r="L63" i="2"/>
  <c r="L62" i="2"/>
  <c r="L61" i="2"/>
  <c r="O62" i="2"/>
  <c r="O61" i="2"/>
  <c r="O60" i="2"/>
  <c r="O59" i="2"/>
  <c r="O71" i="2"/>
  <c r="L71" i="2"/>
  <c r="E10" i="10" s="1"/>
  <c r="O70" i="2"/>
  <c r="L70" i="2"/>
  <c r="O73" i="2"/>
  <c r="Q73" i="2" s="1"/>
  <c r="R73" i="1" s="1"/>
  <c r="O74" i="2"/>
  <c r="Q74" i="2" s="1"/>
  <c r="R74" i="1" s="1"/>
  <c r="P85" i="2"/>
  <c r="O85" i="2"/>
  <c r="N85" i="2"/>
  <c r="P78" i="2"/>
  <c r="O78" i="2"/>
  <c r="N78" i="2"/>
  <c r="O69" i="2"/>
  <c r="O68" i="2"/>
  <c r="O67" i="2"/>
  <c r="O66" i="2"/>
  <c r="O65" i="2"/>
  <c r="O64" i="2"/>
  <c r="Q72" i="2" l="1"/>
  <c r="R72" i="1" s="1"/>
  <c r="P58" i="2"/>
  <c r="P71" i="2"/>
  <c r="C10" i="10" s="1"/>
  <c r="K10" i="10" s="1"/>
  <c r="L10" i="10" s="1"/>
  <c r="P70" i="2"/>
  <c r="P89" i="2"/>
  <c r="P62" i="2"/>
  <c r="Q62" i="2" s="1"/>
  <c r="R62" i="1" s="1"/>
  <c r="P50" i="2"/>
  <c r="P61" i="2"/>
  <c r="P63" i="2"/>
  <c r="P51" i="2"/>
  <c r="P49" i="2"/>
  <c r="Q41" i="2"/>
  <c r="R41" i="1" s="1"/>
  <c r="T41" i="1" s="1"/>
  <c r="U41" i="1" s="1"/>
  <c r="Q3" i="2"/>
  <c r="R3" i="1" s="1"/>
  <c r="T77" i="1"/>
  <c r="U77" i="1" s="1"/>
  <c r="T84" i="1"/>
  <c r="U84" i="1" s="1"/>
  <c r="T72" i="1"/>
  <c r="U72" i="1" s="1"/>
  <c r="T83" i="1"/>
  <c r="U83" i="1" s="1"/>
  <c r="Q52" i="2"/>
  <c r="R52" i="1" s="1"/>
  <c r="T75" i="1"/>
  <c r="U75" i="1" s="1"/>
  <c r="Q78" i="2"/>
  <c r="R78" i="1" s="1"/>
  <c r="Q85" i="2"/>
  <c r="R85" i="1" s="1"/>
  <c r="Q88" i="2"/>
  <c r="R88" i="1" s="1"/>
  <c r="Q69" i="2"/>
  <c r="R69" i="1" s="1"/>
  <c r="T69" i="1" s="1"/>
  <c r="U69" i="1" s="1"/>
  <c r="Q90" i="2"/>
  <c r="R90" i="1" s="1"/>
  <c r="Q68" i="2"/>
  <c r="R68" i="1" s="1"/>
  <c r="T68" i="1" s="1"/>
  <c r="U68" i="1" s="1"/>
  <c r="Q66" i="2"/>
  <c r="R66" i="1" s="1"/>
  <c r="T66" i="1" s="1"/>
  <c r="U66" i="1" s="1"/>
  <c r="Q64" i="2"/>
  <c r="R64" i="1" s="1"/>
  <c r="T64" i="1" s="1"/>
  <c r="U64" i="1" s="1"/>
  <c r="Q59" i="2"/>
  <c r="R59" i="1" s="1"/>
  <c r="T59" i="1" s="1"/>
  <c r="U59" i="1" s="1"/>
  <c r="Q65" i="2"/>
  <c r="R65" i="1" s="1"/>
  <c r="T65" i="1" s="1"/>
  <c r="U65" i="1" s="1"/>
  <c r="Q67" i="2"/>
  <c r="R67" i="1" s="1"/>
  <c r="T67" i="1" s="1"/>
  <c r="U67" i="1" s="1"/>
  <c r="Q60" i="2"/>
  <c r="R60" i="1" s="1"/>
  <c r="T60" i="1" s="1"/>
  <c r="U60" i="1" s="1"/>
  <c r="T73" i="1"/>
  <c r="U73" i="1" s="1"/>
  <c r="T74" i="1"/>
  <c r="U74" i="1" s="1"/>
  <c r="T86" i="1"/>
  <c r="U86" i="1" s="1"/>
  <c r="T87" i="1"/>
  <c r="U87" i="1" s="1"/>
  <c r="R43" i="2"/>
  <c r="S43" i="2" s="1"/>
  <c r="P43" i="2" s="1"/>
  <c r="R44" i="2"/>
  <c r="S44" i="2" s="1"/>
  <c r="P44" i="2" s="1"/>
  <c r="R45" i="2"/>
  <c r="S45" i="2" s="1"/>
  <c r="P45" i="2" s="1"/>
  <c r="R46" i="2"/>
  <c r="S46" i="2" s="1"/>
  <c r="P46" i="2" s="1"/>
  <c r="C12" i="10" s="1"/>
  <c r="R47" i="2"/>
  <c r="S47" i="2" s="1"/>
  <c r="P47" i="2" s="1"/>
  <c r="R48" i="2"/>
  <c r="S48" i="2" s="1"/>
  <c r="P48" i="2" s="1"/>
  <c r="C13" i="10" s="1"/>
  <c r="C43" i="2"/>
  <c r="O43" i="2" s="1"/>
  <c r="C44" i="2"/>
  <c r="N44" i="2" s="1"/>
  <c r="C45" i="2"/>
  <c r="N45" i="2" s="1"/>
  <c r="C46" i="2"/>
  <c r="N46" i="2" s="1"/>
  <c r="D12" i="10" s="1"/>
  <c r="C47" i="2"/>
  <c r="O47" i="2" s="1"/>
  <c r="C48" i="2"/>
  <c r="O48" i="2" s="1"/>
  <c r="U36" i="1"/>
  <c r="U42" i="1"/>
  <c r="U76" i="1"/>
  <c r="U79" i="1"/>
  <c r="U80" i="1"/>
  <c r="U81" i="1"/>
  <c r="U82" i="1"/>
  <c r="U18" i="1"/>
  <c r="R31" i="2"/>
  <c r="S31" i="2" s="1"/>
  <c r="P31" i="2" s="1"/>
  <c r="C11" i="10" s="1"/>
  <c r="P31" i="1"/>
  <c r="R29" i="2"/>
  <c r="S29" i="2" s="1"/>
  <c r="P29" i="2" s="1"/>
  <c r="P29" i="1"/>
  <c r="R28" i="2"/>
  <c r="S28" i="2" s="1"/>
  <c r="P28" i="2" s="1"/>
  <c r="P28" i="1"/>
  <c r="R53" i="2"/>
  <c r="S53" i="2" s="1"/>
  <c r="P53" i="2" s="1"/>
  <c r="C53" i="2"/>
  <c r="N53" i="2" s="1"/>
  <c r="P53" i="1"/>
  <c r="R54" i="2"/>
  <c r="S54" i="2" s="1"/>
  <c r="P54" i="2" s="1"/>
  <c r="R55" i="2"/>
  <c r="S55" i="2" s="1"/>
  <c r="P55" i="2" s="1"/>
  <c r="C7" i="10" s="1"/>
  <c r="R56" i="2"/>
  <c r="S56" i="2" s="1"/>
  <c r="P56" i="2" s="1"/>
  <c r="R57" i="2"/>
  <c r="S57" i="2" s="1"/>
  <c r="P57" i="2" s="1"/>
  <c r="R37" i="2"/>
  <c r="S37" i="2" s="1"/>
  <c r="P37" i="2" s="1"/>
  <c r="R38" i="2"/>
  <c r="S38" i="2" s="1"/>
  <c r="P38" i="2" s="1"/>
  <c r="R39" i="2"/>
  <c r="S39" i="2" s="1"/>
  <c r="P39" i="2" s="1"/>
  <c r="R40" i="2"/>
  <c r="S40" i="2" s="1"/>
  <c r="P40" i="2" s="1"/>
  <c r="C54" i="2"/>
  <c r="N54" i="2" s="1"/>
  <c r="C55" i="2"/>
  <c r="N55" i="2" s="1"/>
  <c r="D7" i="10" s="1"/>
  <c r="K7" i="10" s="1"/>
  <c r="L7" i="10" s="1"/>
  <c r="C56" i="2"/>
  <c r="N56" i="2" s="1"/>
  <c r="C57" i="2"/>
  <c r="O57" i="2" s="1"/>
  <c r="C37" i="2"/>
  <c r="O37" i="2" s="1"/>
  <c r="C38" i="2"/>
  <c r="O38" i="2" s="1"/>
  <c r="C39" i="2"/>
  <c r="O39" i="2" s="1"/>
  <c r="C40" i="2"/>
  <c r="N40" i="2" s="1"/>
  <c r="P57" i="1"/>
  <c r="P56" i="1"/>
  <c r="P55" i="1"/>
  <c r="P54" i="1"/>
  <c r="P40" i="1"/>
  <c r="P39" i="1"/>
  <c r="P38" i="1"/>
  <c r="P37" i="1"/>
  <c r="R21" i="2"/>
  <c r="S21" i="2" s="1"/>
  <c r="P21" i="2" s="1"/>
  <c r="P21" i="1"/>
  <c r="R25" i="2"/>
  <c r="S25" i="2" s="1"/>
  <c r="P25" i="2" s="1"/>
  <c r="C9" i="10" s="1"/>
  <c r="R26" i="2"/>
  <c r="S26" i="2" s="1"/>
  <c r="P26" i="2" s="1"/>
  <c r="P26" i="1"/>
  <c r="P25" i="1"/>
  <c r="P24" i="1"/>
  <c r="R22" i="2"/>
  <c r="S22" i="2" s="1"/>
  <c r="P22" i="2" s="1"/>
  <c r="C8" i="10" s="1"/>
  <c r="R23" i="2"/>
  <c r="S23" i="2" s="1"/>
  <c r="P23" i="2" s="1"/>
  <c r="R24" i="2"/>
  <c r="S24" i="2" s="1"/>
  <c r="P24" i="2" s="1"/>
  <c r="C21" i="2"/>
  <c r="N21" i="2" s="1"/>
  <c r="C22" i="2"/>
  <c r="N22" i="2" s="1"/>
  <c r="D8" i="10" s="1"/>
  <c r="C23" i="2"/>
  <c r="N23" i="2" s="1"/>
  <c r="C24" i="2"/>
  <c r="O24" i="2" s="1"/>
  <c r="C25" i="2"/>
  <c r="N25" i="2" s="1"/>
  <c r="D9" i="10" s="1"/>
  <c r="K9" i="10" s="1"/>
  <c r="L9" i="10" s="1"/>
  <c r="C26" i="2"/>
  <c r="N26" i="2" s="1"/>
  <c r="C27" i="2"/>
  <c r="N27" i="2" s="1"/>
  <c r="C28" i="2"/>
  <c r="O28" i="2" s="1"/>
  <c r="C29" i="2"/>
  <c r="N29" i="2" s="1"/>
  <c r="C30" i="2"/>
  <c r="C31" i="2"/>
  <c r="O31" i="2" s="1"/>
  <c r="P23" i="1"/>
  <c r="P22" i="1"/>
  <c r="R17" i="2"/>
  <c r="S17" i="2" s="1"/>
  <c r="P17" i="2" s="1"/>
  <c r="R16" i="2"/>
  <c r="S16" i="2" s="1"/>
  <c r="P16" i="2" s="1"/>
  <c r="P17" i="1"/>
  <c r="P16" i="1"/>
  <c r="R12" i="2"/>
  <c r="S12" i="2" s="1"/>
  <c r="P12" i="2" s="1"/>
  <c r="R13" i="2"/>
  <c r="S13" i="2" s="1"/>
  <c r="P13" i="2" s="1"/>
  <c r="S14" i="2"/>
  <c r="P14" i="2" s="1"/>
  <c r="R15" i="2"/>
  <c r="S15" i="2" s="1"/>
  <c r="P15" i="2" s="1"/>
  <c r="P15" i="1"/>
  <c r="P14" i="1"/>
  <c r="P13" i="1"/>
  <c r="P12" i="1"/>
  <c r="R11" i="2"/>
  <c r="R10" i="2"/>
  <c r="P11" i="1"/>
  <c r="P10" i="1"/>
  <c r="C10" i="2"/>
  <c r="O10" i="2" s="1"/>
  <c r="H11" i="2"/>
  <c r="C11" i="2"/>
  <c r="L11" i="2" s="1"/>
  <c r="C12" i="2"/>
  <c r="N12" i="2" s="1"/>
  <c r="C13" i="2"/>
  <c r="N13" i="2" s="1"/>
  <c r="C14" i="2"/>
  <c r="N14" i="2" s="1"/>
  <c r="C15" i="2"/>
  <c r="N15" i="2" s="1"/>
  <c r="C16" i="2"/>
  <c r="N16" i="2" s="1"/>
  <c r="C17" i="2"/>
  <c r="N17" i="2" s="1"/>
  <c r="R20" i="2"/>
  <c r="C20" i="2"/>
  <c r="N20" i="2" s="1"/>
  <c r="D3" i="10" s="1"/>
  <c r="P20" i="1"/>
  <c r="R19" i="2"/>
  <c r="H19" i="2"/>
  <c r="C19" i="2"/>
  <c r="O19" i="2" s="1"/>
  <c r="R35" i="2"/>
  <c r="H35" i="2"/>
  <c r="C35" i="2"/>
  <c r="O35" i="2" s="1"/>
  <c r="P35" i="1"/>
  <c r="R33" i="2"/>
  <c r="H33" i="2"/>
  <c r="C33" i="2"/>
  <c r="O33" i="2" s="1"/>
  <c r="P33" i="1"/>
  <c r="R32" i="2"/>
  <c r="H32" i="2"/>
  <c r="C32" i="2"/>
  <c r="O32" i="2" s="1"/>
  <c r="P32" i="1"/>
  <c r="P9" i="1"/>
  <c r="L9" i="2"/>
  <c r="R9" i="2"/>
  <c r="H9" i="2"/>
  <c r="C9" i="2"/>
  <c r="O9" i="2" s="1"/>
  <c r="H8" i="2"/>
  <c r="H7" i="2"/>
  <c r="H6" i="2"/>
  <c r="R7" i="2"/>
  <c r="R8" i="2"/>
  <c r="C6" i="2"/>
  <c r="O6" i="2" s="1"/>
  <c r="C7" i="2"/>
  <c r="O7" i="2" s="1"/>
  <c r="C8" i="2"/>
  <c r="O8" i="2" s="1"/>
  <c r="P7" i="1"/>
  <c r="P8" i="1"/>
  <c r="R4" i="2"/>
  <c r="R5" i="2"/>
  <c r="H4" i="2"/>
  <c r="H5" i="2"/>
  <c r="C4" i="2"/>
  <c r="O4" i="2" s="1"/>
  <c r="C5" i="2"/>
  <c r="N5" i="2" s="1"/>
  <c r="P5" i="1"/>
  <c r="P4" i="1"/>
  <c r="S34" i="2"/>
  <c r="C34" i="2"/>
  <c r="N34" i="2" s="1"/>
  <c r="D4" i="10" s="1"/>
  <c r="R2" i="2"/>
  <c r="K12" i="10" l="1"/>
  <c r="L12" i="10" s="1"/>
  <c r="K8" i="10"/>
  <c r="L8" i="10" s="1"/>
  <c r="S25" i="1"/>
  <c r="S22" i="1"/>
  <c r="V22" i="1" s="1"/>
  <c r="S71" i="1"/>
  <c r="V71" i="1" s="1"/>
  <c r="S55" i="1"/>
  <c r="V55" i="1" s="1"/>
  <c r="S46" i="1"/>
  <c r="V46" i="1" s="1"/>
  <c r="Q71" i="2"/>
  <c r="R71" i="1" s="1"/>
  <c r="T71" i="1" s="1"/>
  <c r="U71" i="1" s="1"/>
  <c r="M10" i="10"/>
  <c r="N10" i="10" s="1"/>
  <c r="Q49" i="2"/>
  <c r="R49" i="1" s="1"/>
  <c r="T49" i="1" s="1"/>
  <c r="U49" i="1" s="1"/>
  <c r="Q58" i="2"/>
  <c r="R58" i="1" s="1"/>
  <c r="T58" i="1" s="1"/>
  <c r="U58" i="1" s="1"/>
  <c r="Q51" i="2"/>
  <c r="R51" i="1" s="1"/>
  <c r="T51" i="1" s="1"/>
  <c r="U51" i="1" s="1"/>
  <c r="Q63" i="2"/>
  <c r="R63" i="1" s="1"/>
  <c r="T63" i="1" s="1"/>
  <c r="U63" i="1" s="1"/>
  <c r="Q89" i="2"/>
  <c r="R89" i="1" s="1"/>
  <c r="T89" i="1" s="1"/>
  <c r="U89" i="1" s="1"/>
  <c r="Q61" i="2"/>
  <c r="R61" i="1" s="1"/>
  <c r="T61" i="1" s="1"/>
  <c r="U61" i="1" s="1"/>
  <c r="Q70" i="2"/>
  <c r="R70" i="1" s="1"/>
  <c r="T70" i="1" s="1"/>
  <c r="U70" i="1" s="1"/>
  <c r="Q50" i="2"/>
  <c r="R50" i="1" s="1"/>
  <c r="T50" i="1" s="1"/>
  <c r="U50" i="1" s="1"/>
  <c r="S10" i="2"/>
  <c r="P10" i="2" s="1"/>
  <c r="T3" i="1"/>
  <c r="U3" i="1" s="1"/>
  <c r="T85" i="1"/>
  <c r="U85" i="1" s="1"/>
  <c r="T88" i="1"/>
  <c r="U88" i="1" s="1"/>
  <c r="T90" i="1"/>
  <c r="U90" i="1" s="1"/>
  <c r="T52" i="1"/>
  <c r="U52" i="1" s="1"/>
  <c r="T78" i="1"/>
  <c r="U78" i="1" s="1"/>
  <c r="T62" i="1"/>
  <c r="U62" i="1" s="1"/>
  <c r="O30" i="2"/>
  <c r="N30" i="2"/>
  <c r="O27" i="2"/>
  <c r="L27" i="2"/>
  <c r="N47" i="2"/>
  <c r="O46" i="2"/>
  <c r="N48" i="2"/>
  <c r="D13" i="10" s="1"/>
  <c r="K13" i="10" s="1"/>
  <c r="L13" i="10" s="1"/>
  <c r="N43" i="2"/>
  <c r="O44" i="2"/>
  <c r="O45" i="2"/>
  <c r="N31" i="2"/>
  <c r="D11" i="10" s="1"/>
  <c r="K11" i="10" s="1"/>
  <c r="L11" i="10" s="1"/>
  <c r="O29" i="2"/>
  <c r="N28" i="2"/>
  <c r="O53" i="2"/>
  <c r="O55" i="2"/>
  <c r="O56" i="2"/>
  <c r="N57" i="2"/>
  <c r="O54" i="2"/>
  <c r="N38" i="2"/>
  <c r="N39" i="2"/>
  <c r="N37" i="2"/>
  <c r="O40" i="2"/>
  <c r="O21" i="2"/>
  <c r="O26" i="2"/>
  <c r="O25" i="2"/>
  <c r="N24" i="2"/>
  <c r="O23" i="2"/>
  <c r="O22" i="2"/>
  <c r="O17" i="2"/>
  <c r="O16" i="2"/>
  <c r="O15" i="2"/>
  <c r="O13" i="2"/>
  <c r="O14" i="2"/>
  <c r="O12" i="2"/>
  <c r="S11" i="2"/>
  <c r="P11" i="2" s="1"/>
  <c r="O11" i="2"/>
  <c r="N11" i="2"/>
  <c r="N10" i="2"/>
  <c r="O20" i="2"/>
  <c r="S20" i="2"/>
  <c r="S2" i="2"/>
  <c r="P2" i="2" s="1"/>
  <c r="S7" i="2"/>
  <c r="P7" i="2" s="1"/>
  <c r="N19" i="2"/>
  <c r="D2" i="10" s="1"/>
  <c r="L35" i="2"/>
  <c r="E5" i="10" s="1"/>
  <c r="N9" i="2"/>
  <c r="S33" i="2"/>
  <c r="N6" i="2"/>
  <c r="D6" i="10" s="1"/>
  <c r="K6" i="10" s="1"/>
  <c r="L6" i="10" s="1"/>
  <c r="L32" i="2"/>
  <c r="S35" i="2"/>
  <c r="N35" i="2"/>
  <c r="D5" i="10" s="1"/>
  <c r="N7" i="2"/>
  <c r="N32" i="2"/>
  <c r="S5" i="2"/>
  <c r="P5" i="2" s="1"/>
  <c r="S6" i="2"/>
  <c r="P6" i="2" s="1"/>
  <c r="C6" i="10" s="1"/>
  <c r="S32" i="2"/>
  <c r="S19" i="2"/>
  <c r="P19" i="2" s="1"/>
  <c r="C2" i="10" s="1"/>
  <c r="O5" i="2"/>
  <c r="S4" i="2"/>
  <c r="P4" i="2" s="1"/>
  <c r="N8" i="2"/>
  <c r="O34" i="2"/>
  <c r="N4" i="2"/>
  <c r="S9" i="2"/>
  <c r="P9" i="2" s="1"/>
  <c r="L33" i="2"/>
  <c r="L34" i="2"/>
  <c r="E4" i="10" s="1"/>
  <c r="N33" i="2"/>
  <c r="S8" i="2"/>
  <c r="P8" i="2" s="1"/>
  <c r="K2" i="10" l="1"/>
  <c r="L2" i="10" s="1"/>
  <c r="W71" i="1"/>
  <c r="V25" i="1"/>
  <c r="S6" i="1"/>
  <c r="V6" i="1" s="1"/>
  <c r="S48" i="1"/>
  <c r="V48" i="1" s="1"/>
  <c r="S19" i="1"/>
  <c r="V19" i="1" s="1"/>
  <c r="S31" i="1"/>
  <c r="V31" i="1" s="1"/>
  <c r="P27" i="2"/>
  <c r="Q38" i="2"/>
  <c r="R38" i="1" s="1"/>
  <c r="T38" i="1" s="1"/>
  <c r="U38" i="1" s="1"/>
  <c r="P34" i="2"/>
  <c r="C4" i="10" s="1"/>
  <c r="K4" i="10" s="1"/>
  <c r="L4" i="10" s="1"/>
  <c r="Q43" i="2"/>
  <c r="R43" i="1" s="1"/>
  <c r="T43" i="1" s="1"/>
  <c r="U43" i="1" s="1"/>
  <c r="Q47" i="2"/>
  <c r="R47" i="1" s="1"/>
  <c r="T47" i="1" s="1"/>
  <c r="U47" i="1" s="1"/>
  <c r="Q40" i="2"/>
  <c r="R40" i="1" s="1"/>
  <c r="T40" i="1" s="1"/>
  <c r="U40" i="1" s="1"/>
  <c r="Q45" i="2"/>
  <c r="R45" i="1" s="1"/>
  <c r="T45" i="1" s="1"/>
  <c r="U45" i="1" s="1"/>
  <c r="Q46" i="2"/>
  <c r="Q39" i="2"/>
  <c r="R39" i="1" s="1"/>
  <c r="T39" i="1" s="1"/>
  <c r="U39" i="1" s="1"/>
  <c r="Q22" i="2"/>
  <c r="Q54" i="2"/>
  <c r="R54" i="1" s="1"/>
  <c r="T54" i="1" s="1"/>
  <c r="U54" i="1" s="1"/>
  <c r="Q29" i="2"/>
  <c r="R29" i="1" s="1"/>
  <c r="T29" i="1" s="1"/>
  <c r="U29" i="1" s="1"/>
  <c r="Q31" i="2"/>
  <c r="Q24" i="2"/>
  <c r="R24" i="1" s="1"/>
  <c r="T24" i="1" s="1"/>
  <c r="U24" i="1" s="1"/>
  <c r="Q23" i="2"/>
  <c r="R23" i="1" s="1"/>
  <c r="T23" i="1" s="1"/>
  <c r="U23" i="1" s="1"/>
  <c r="Q56" i="2"/>
  <c r="R56" i="1" s="1"/>
  <c r="T56" i="1" s="1"/>
  <c r="U56" i="1" s="1"/>
  <c r="Q55" i="2"/>
  <c r="Q44" i="2"/>
  <c r="R44" i="1" s="1"/>
  <c r="T44" i="1" s="1"/>
  <c r="U44" i="1" s="1"/>
  <c r="Q25" i="2"/>
  <c r="Q28" i="2"/>
  <c r="R28" i="1" s="1"/>
  <c r="T28" i="1" s="1"/>
  <c r="U28" i="1" s="1"/>
  <c r="Q48" i="2"/>
  <c r="Q37" i="2"/>
  <c r="R37" i="1" s="1"/>
  <c r="T37" i="1" s="1"/>
  <c r="U37" i="1" s="1"/>
  <c r="Q26" i="2"/>
  <c r="R26" i="1" s="1"/>
  <c r="T26" i="1" s="1"/>
  <c r="U26" i="1" s="1"/>
  <c r="Q30" i="2"/>
  <c r="R30" i="1" s="1"/>
  <c r="Q53" i="2"/>
  <c r="R53" i="1" s="1"/>
  <c r="T53" i="1" s="1"/>
  <c r="U53" i="1" s="1"/>
  <c r="Q57" i="2"/>
  <c r="R57" i="1" s="1"/>
  <c r="T57" i="1" s="1"/>
  <c r="U57" i="1" s="1"/>
  <c r="Q8" i="2"/>
  <c r="R8" i="1" s="1"/>
  <c r="Q7" i="2"/>
  <c r="R7" i="1" s="1"/>
  <c r="Q19" i="2"/>
  <c r="Q12" i="2"/>
  <c r="R12" i="1" s="1"/>
  <c r="T12" i="1" s="1"/>
  <c r="U12" i="1" s="1"/>
  <c r="Q17" i="2"/>
  <c r="R17" i="1" s="1"/>
  <c r="T17" i="1" s="1"/>
  <c r="U17" i="1" s="1"/>
  <c r="Q9" i="2"/>
  <c r="R9" i="1" s="1"/>
  <c r="T9" i="1" s="1"/>
  <c r="U9" i="1" s="1"/>
  <c r="Q21" i="2"/>
  <c r="R21" i="1" s="1"/>
  <c r="T21" i="1" s="1"/>
  <c r="U21" i="1" s="1"/>
  <c r="Q6" i="2"/>
  <c r="Q13" i="2"/>
  <c r="R13" i="1" s="1"/>
  <c r="T13" i="1" s="1"/>
  <c r="U13" i="1" s="1"/>
  <c r="Q15" i="2"/>
  <c r="R15" i="1" s="1"/>
  <c r="T15" i="1" s="1"/>
  <c r="U15" i="1" s="1"/>
  <c r="Q5" i="2"/>
  <c r="R5" i="1" s="1"/>
  <c r="Q16" i="2"/>
  <c r="R16" i="1" s="1"/>
  <c r="T16" i="1" s="1"/>
  <c r="U16" i="1" s="1"/>
  <c r="Q11" i="2"/>
  <c r="R11" i="1" s="1"/>
  <c r="Q10" i="2"/>
  <c r="R10" i="1" s="1"/>
  <c r="T10" i="1" s="1"/>
  <c r="U10" i="1" s="1"/>
  <c r="Q4" i="2"/>
  <c r="R4" i="1" s="1"/>
  <c r="Q14" i="2"/>
  <c r="R14" i="1" s="1"/>
  <c r="T14" i="1" s="1"/>
  <c r="U14" i="1" s="1"/>
  <c r="P20" i="2"/>
  <c r="C3" i="10" s="1"/>
  <c r="K3" i="10" s="1"/>
  <c r="L3" i="10" s="1"/>
  <c r="S20" i="1" s="1"/>
  <c r="V20" i="1" s="1"/>
  <c r="P32" i="2"/>
  <c r="P35" i="2"/>
  <c r="C5" i="10" s="1"/>
  <c r="K5" i="10" s="1"/>
  <c r="L5" i="10" s="1"/>
  <c r="P33" i="2"/>
  <c r="C2" i="2"/>
  <c r="O2" i="2" s="1"/>
  <c r="S34" i="1" l="1"/>
  <c r="V34" i="1" s="1"/>
  <c r="S35" i="1"/>
  <c r="V35" i="1" s="1"/>
  <c r="R46" i="1"/>
  <c r="T46" i="1" s="1"/>
  <c r="U46" i="1" s="1"/>
  <c r="W46" i="1" s="1"/>
  <c r="M12" i="10"/>
  <c r="N12" i="10" s="1"/>
  <c r="R19" i="1"/>
  <c r="T19" i="1" s="1"/>
  <c r="U19" i="1" s="1"/>
  <c r="W19" i="1" s="1"/>
  <c r="M2" i="10"/>
  <c r="N2" i="10" s="1"/>
  <c r="R22" i="1"/>
  <c r="T22" i="1" s="1"/>
  <c r="U22" i="1" s="1"/>
  <c r="M8" i="10"/>
  <c r="N8" i="10" s="1"/>
  <c r="R48" i="1"/>
  <c r="T48" i="1" s="1"/>
  <c r="U48" i="1" s="1"/>
  <c r="W48" i="1" s="1"/>
  <c r="M13" i="10"/>
  <c r="N13" i="10" s="1"/>
  <c r="R31" i="1"/>
  <c r="T31" i="1" s="1"/>
  <c r="U31" i="1" s="1"/>
  <c r="M11" i="10"/>
  <c r="N11" i="10" s="1"/>
  <c r="R25" i="1"/>
  <c r="T25" i="1" s="1"/>
  <c r="U25" i="1" s="1"/>
  <c r="M9" i="10"/>
  <c r="N9" i="10" s="1"/>
  <c r="R6" i="1"/>
  <c r="T6" i="1" s="1"/>
  <c r="U6" i="1" s="1"/>
  <c r="W6" i="1" s="1"/>
  <c r="M6" i="10"/>
  <c r="N6" i="10" s="1"/>
  <c r="R55" i="1"/>
  <c r="T55" i="1" s="1"/>
  <c r="U55" i="1" s="1"/>
  <c r="W55" i="1" s="1"/>
  <c r="M7" i="10"/>
  <c r="N7" i="10" s="1"/>
  <c r="Q27" i="2"/>
  <c r="R27" i="1" s="1"/>
  <c r="T27" i="1" s="1"/>
  <c r="U27" i="1" s="1"/>
  <c r="Q32" i="2"/>
  <c r="R32" i="1" s="1"/>
  <c r="T32" i="1" s="1"/>
  <c r="U32" i="1" s="1"/>
  <c r="Q35" i="2"/>
  <c r="Q34" i="2"/>
  <c r="Q33" i="2"/>
  <c r="R33" i="1" s="1"/>
  <c r="T33" i="1" s="1"/>
  <c r="U33" i="1" s="1"/>
  <c r="T30" i="1"/>
  <c r="U30" i="1" s="1"/>
  <c r="T8" i="1"/>
  <c r="U8" i="1" s="1"/>
  <c r="T11" i="1"/>
  <c r="U11" i="1" s="1"/>
  <c r="Q20" i="2"/>
  <c r="T4" i="1"/>
  <c r="U4" i="1" s="1"/>
  <c r="T7" i="1"/>
  <c r="U7" i="1" s="1"/>
  <c r="N2" i="2"/>
  <c r="W22" i="1" l="1"/>
  <c r="W31" i="1"/>
  <c r="R35" i="1"/>
  <c r="T35" i="1" s="1"/>
  <c r="U35" i="1" s="1"/>
  <c r="W35" i="1" s="1"/>
  <c r="M5" i="10"/>
  <c r="N5" i="10" s="1"/>
  <c r="R34" i="1"/>
  <c r="T34" i="1" s="1"/>
  <c r="U34" i="1" s="1"/>
  <c r="W34" i="1" s="1"/>
  <c r="M4" i="10"/>
  <c r="N4" i="10" s="1"/>
  <c r="R20" i="1"/>
  <c r="T20" i="1" s="1"/>
  <c r="U20" i="1" s="1"/>
  <c r="W20" i="1" s="1"/>
  <c r="M3" i="10"/>
  <c r="N3" i="10" s="1"/>
  <c r="Q2" i="2"/>
  <c r="T5" i="1"/>
  <c r="U5" i="1" s="1"/>
  <c r="W25" i="1" l="1"/>
  <c r="R2" i="1"/>
  <c r="T2" i="1" s="1"/>
  <c r="U2" i="1" s="1"/>
</calcChain>
</file>

<file path=xl/sharedStrings.xml><?xml version="1.0" encoding="utf-8"?>
<sst xmlns="http://schemas.openxmlformats.org/spreadsheetml/2006/main" count="1495" uniqueCount="576">
  <si>
    <t>Type Designator</t>
  </si>
  <si>
    <t>Model</t>
  </si>
  <si>
    <t>A388</t>
  </si>
  <si>
    <t>Airbus A-380-800</t>
  </si>
  <si>
    <t>A124</t>
  </si>
  <si>
    <t>Antonov An-124</t>
  </si>
  <si>
    <t>A332</t>
  </si>
  <si>
    <t>Airbus A-330-200</t>
  </si>
  <si>
    <t>A333</t>
  </si>
  <si>
    <t>Airbus A-330-300</t>
  </si>
  <si>
    <t>A343</t>
  </si>
  <si>
    <t>Airbus A-340-300</t>
  </si>
  <si>
    <t>A345</t>
  </si>
  <si>
    <t>Airbus A-340-500</t>
  </si>
  <si>
    <t>A346</t>
  </si>
  <si>
    <t>Airbus A-340-600</t>
  </si>
  <si>
    <t>A359</t>
  </si>
  <si>
    <t>Airbus A-350-900 XWB</t>
  </si>
  <si>
    <t>B744</t>
  </si>
  <si>
    <t>Boeing 747-400</t>
  </si>
  <si>
    <t>B748</t>
  </si>
  <si>
    <t>Boeing 747-8</t>
  </si>
  <si>
    <t>B772</t>
  </si>
  <si>
    <t>Boeing 777-200</t>
  </si>
  <si>
    <t>B773</t>
  </si>
  <si>
    <t>Boeing 777-300</t>
  </si>
  <si>
    <t>B77L</t>
  </si>
  <si>
    <t>Boeing 777-200LR</t>
  </si>
  <si>
    <t>B77W</t>
  </si>
  <si>
    <t>Boeing 777-300ER</t>
  </si>
  <si>
    <t>B788</t>
  </si>
  <si>
    <t>Boeing 787-8</t>
  </si>
  <si>
    <t>B789</t>
  </si>
  <si>
    <t>Boeing 787-9</t>
  </si>
  <si>
    <t>IL96</t>
  </si>
  <si>
    <t>A306</t>
  </si>
  <si>
    <t>Airbus A-300-600</t>
  </si>
  <si>
    <t>A310</t>
  </si>
  <si>
    <t>Airbus A-310</t>
  </si>
  <si>
    <t>B703</t>
  </si>
  <si>
    <t>B752</t>
  </si>
  <si>
    <t>Boeing 757-200</t>
  </si>
  <si>
    <t>B753</t>
  </si>
  <si>
    <t>Boeing 757-300</t>
  </si>
  <si>
    <t>B762</t>
  </si>
  <si>
    <t>Boeing 767-200</t>
  </si>
  <si>
    <t>B763</t>
  </si>
  <si>
    <t>Boeing 767-300</t>
  </si>
  <si>
    <t>B764</t>
  </si>
  <si>
    <t>C135</t>
  </si>
  <si>
    <t>Boeing C-135</t>
  </si>
  <si>
    <t>DC10</t>
  </si>
  <si>
    <t>DC85</t>
  </si>
  <si>
    <t>Douglas DC-8-50</t>
  </si>
  <si>
    <t>IL76</t>
  </si>
  <si>
    <t>Ilyushin Il-76</t>
  </si>
  <si>
    <t>MD11</t>
  </si>
  <si>
    <t>McDonnell Douglas MD-11</t>
  </si>
  <si>
    <t>A318</t>
  </si>
  <si>
    <t>Airbus A-318</t>
  </si>
  <si>
    <t>A319</t>
  </si>
  <si>
    <t>Airbus A-319</t>
  </si>
  <si>
    <t>A320</t>
  </si>
  <si>
    <t>Airbus A-320</t>
  </si>
  <si>
    <t>A321</t>
  </si>
  <si>
    <t>Airbus A-321</t>
  </si>
  <si>
    <t>AN12</t>
  </si>
  <si>
    <t>Antonov An-12</t>
  </si>
  <si>
    <t>B736</t>
  </si>
  <si>
    <t>Boeing 737-600</t>
  </si>
  <si>
    <t>B737</t>
  </si>
  <si>
    <t>Boeing 737-700</t>
  </si>
  <si>
    <t>B738</t>
  </si>
  <si>
    <t>Boeing 737-800</t>
  </si>
  <si>
    <t>B739</t>
  </si>
  <si>
    <t>Boeing 737-900</t>
  </si>
  <si>
    <t>C130</t>
  </si>
  <si>
    <t>IL18</t>
  </si>
  <si>
    <t>Ilyushin Il-18</t>
  </si>
  <si>
    <t>MD81</t>
  </si>
  <si>
    <t>McDonnell Douglas MD-81</t>
  </si>
  <si>
    <t>MD82</t>
  </si>
  <si>
    <t>McDonnell Douglas MD-82</t>
  </si>
  <si>
    <t>MD83</t>
  </si>
  <si>
    <t>McDonnell Douglas MD-83</t>
  </si>
  <si>
    <t>MD87</t>
  </si>
  <si>
    <t>McDonnell Douglas MD-87</t>
  </si>
  <si>
    <t>MD88</t>
  </si>
  <si>
    <t>McDonnell Douglas MD-88</t>
  </si>
  <si>
    <t>MD90</t>
  </si>
  <si>
    <t>McDonnell Douglas MD-90</t>
  </si>
  <si>
    <t>T204</t>
  </si>
  <si>
    <t>Tupolev Tu-204</t>
  </si>
  <si>
    <t>AT43</t>
  </si>
  <si>
    <t>ATR-42-300</t>
  </si>
  <si>
    <t>AT45</t>
  </si>
  <si>
    <t>ATR-42-500</t>
  </si>
  <si>
    <t>AT72</t>
  </si>
  <si>
    <t>ATR-72</t>
  </si>
  <si>
    <t>B712</t>
  </si>
  <si>
    <t>Boeing 717-200</t>
  </si>
  <si>
    <t>B732</t>
  </si>
  <si>
    <t>Boeing 737-200</t>
  </si>
  <si>
    <t>B733</t>
  </si>
  <si>
    <t>Boeing 737-300</t>
  </si>
  <si>
    <t>B734</t>
  </si>
  <si>
    <t>Boeing 737-400</t>
  </si>
  <si>
    <t>B735</t>
  </si>
  <si>
    <t>Boeing 737-500</t>
  </si>
  <si>
    <t>CL60</t>
  </si>
  <si>
    <t>Bombardier Challenger 650</t>
  </si>
  <si>
    <t>CRJ1</t>
  </si>
  <si>
    <t>Canadair CRJ-100</t>
  </si>
  <si>
    <t>CRJ2</t>
  </si>
  <si>
    <t>Canadair CRJ-200</t>
  </si>
  <si>
    <t>CRJ7</t>
  </si>
  <si>
    <t>Canadair CRJ-700</t>
  </si>
  <si>
    <t>CRJ9</t>
  </si>
  <si>
    <t>Canadair CRJ-900</t>
  </si>
  <si>
    <t>DH8D</t>
  </si>
  <si>
    <t>De Havilland DHC-8</t>
  </si>
  <si>
    <t>E135</t>
  </si>
  <si>
    <t>Embraer ERJ-135</t>
  </si>
  <si>
    <t>E145</t>
  </si>
  <si>
    <t>Embraer ERJ-145</t>
  </si>
  <si>
    <t>E170</t>
  </si>
  <si>
    <t>Embraer ERJ-170</t>
  </si>
  <si>
    <t>E175</t>
  </si>
  <si>
    <t>Embraer ERJ-175</t>
  </si>
  <si>
    <t>E190</t>
  </si>
  <si>
    <t>Embraer ERJ-190</t>
  </si>
  <si>
    <t>E195</t>
  </si>
  <si>
    <t>Embraer ERJ-195</t>
  </si>
  <si>
    <t>F70</t>
  </si>
  <si>
    <t>Fokker 70</t>
  </si>
  <si>
    <t>F100</t>
  </si>
  <si>
    <t>Fokker 100</t>
  </si>
  <si>
    <t>GLF4</t>
  </si>
  <si>
    <t>Gulfstream 4</t>
  </si>
  <si>
    <t>RJ85</t>
  </si>
  <si>
    <t>Avro RJ-85</t>
  </si>
  <si>
    <t>RJ1H</t>
  </si>
  <si>
    <t>Avro RJ-100</t>
  </si>
  <si>
    <t>FA10</t>
  </si>
  <si>
    <t>Dassault Falcon 10</t>
  </si>
  <si>
    <t>FA20</t>
  </si>
  <si>
    <t>Dassault Falcon 20</t>
  </si>
  <si>
    <t>D328</t>
  </si>
  <si>
    <t>Dornier 328</t>
  </si>
  <si>
    <t>E120</t>
  </si>
  <si>
    <t>Embraer EMB-120</t>
  </si>
  <si>
    <t>BE40</t>
  </si>
  <si>
    <t>/</t>
  </si>
  <si>
    <t>H25B</t>
  </si>
  <si>
    <t>Raytheon Hawker 800</t>
  </si>
  <si>
    <t>JS32</t>
  </si>
  <si>
    <t>British Aerospace Jetstream 32</t>
  </si>
  <si>
    <t>JS41</t>
  </si>
  <si>
    <t>British Aerospace Jetstream 41</t>
  </si>
  <si>
    <t>LJ35</t>
  </si>
  <si>
    <t>Learjet 35</t>
  </si>
  <si>
    <t>LJ60</t>
  </si>
  <si>
    <t>Learjet 60</t>
  </si>
  <si>
    <t>SF34</t>
  </si>
  <si>
    <t>Saab 340</t>
  </si>
  <si>
    <t>P180</t>
  </si>
  <si>
    <t>Piaggio P-180 Avanti</t>
  </si>
  <si>
    <t>C650</t>
  </si>
  <si>
    <t>Cessna 650</t>
  </si>
  <si>
    <t>C525</t>
  </si>
  <si>
    <t>Cessna 525</t>
  </si>
  <si>
    <t>C180</t>
  </si>
  <si>
    <t>Cessna 180</t>
  </si>
  <si>
    <t>C152</t>
  </si>
  <si>
    <t>Cessna 152</t>
  </si>
  <si>
    <t>WTC (EC)</t>
  </si>
  <si>
    <t>CAT-A</t>
  </si>
  <si>
    <t>CAT-B</t>
  </si>
  <si>
    <t>CAT-C</t>
  </si>
  <si>
    <t>CAT-D</t>
  </si>
  <si>
    <t>CAT-E</t>
  </si>
  <si>
    <t>CAT-F</t>
  </si>
  <si>
    <t>WTC (ICAO)</t>
  </si>
  <si>
    <t>WTC (FAA)</t>
  </si>
  <si>
    <t>J</t>
  </si>
  <si>
    <t>A</t>
  </si>
  <si>
    <t>H</t>
  </si>
  <si>
    <t>D</t>
  </si>
  <si>
    <t>B</t>
  </si>
  <si>
    <t>C</t>
  </si>
  <si>
    <t>M</t>
  </si>
  <si>
    <t>E</t>
  </si>
  <si>
    <t>F</t>
  </si>
  <si>
    <t>G</t>
  </si>
  <si>
    <t>L</t>
  </si>
  <si>
    <t>I</t>
  </si>
  <si>
    <t>Index</t>
  </si>
  <si>
    <t>Flügelspannweite [m]</t>
  </si>
  <si>
    <t>Geschwindigkeit (VAT) [m/s]</t>
  </si>
  <si>
    <t>Oswaldfaktor [-]</t>
  </si>
  <si>
    <t>Induzierte Leistung [W]</t>
  </si>
  <si>
    <t>f_diff_lambda</t>
  </si>
  <si>
    <t>Annahmen</t>
  </si>
  <si>
    <t>a_e</t>
  </si>
  <si>
    <t>b_e</t>
  </si>
  <si>
    <t>c_e</t>
  </si>
  <si>
    <t>M_comp</t>
  </si>
  <si>
    <t>k_wl</t>
  </si>
  <si>
    <t xml:space="preserve">Luftdichte [kg/m^3] </t>
  </si>
  <si>
    <t xml:space="preserve">Normfallbeschleunigung [m/s^2] </t>
  </si>
  <si>
    <t>max. Landemasse [kg]</t>
  </si>
  <si>
    <t>Boeing 767-400ER</t>
  </si>
  <si>
    <t>Boeing 707-320B</t>
  </si>
  <si>
    <t>McDonnell Douglas DC-10-30</t>
  </si>
  <si>
    <t>in MW</t>
  </si>
  <si>
    <t>De Havilland DHC-8 Q400</t>
  </si>
  <si>
    <t>Beechcraft Beechjet 400A</t>
  </si>
  <si>
    <t>Lockheed C-130J</t>
  </si>
  <si>
    <t>Ilyushin Il-96-300</t>
  </si>
  <si>
    <t>k_e_D0_jet</t>
  </si>
  <si>
    <t>k_e_D0_bjet</t>
  </si>
  <si>
    <t>k_e_D0_ga</t>
  </si>
  <si>
    <t>CAT I</t>
  </si>
  <si>
    <t>&gt; 15 MW</t>
  </si>
  <si>
    <t>CAT II</t>
  </si>
  <si>
    <t>5 - 15 MW</t>
  </si>
  <si>
    <t>CAT III</t>
  </si>
  <si>
    <t>1 - 5 MW</t>
  </si>
  <si>
    <t>CAT IV</t>
  </si>
  <si>
    <t>&lt; 1 MW</t>
  </si>
  <si>
    <t>LL</t>
  </si>
  <si>
    <t>WTC_NEU_EC</t>
  </si>
  <si>
    <t>WTC_NEU_ICAO</t>
  </si>
  <si>
    <t>WTC_NEU_FAA</t>
  </si>
  <si>
    <t>SO</t>
  </si>
  <si>
    <t>WTC (Dennis)</t>
  </si>
  <si>
    <t>Sources</t>
  </si>
  <si>
    <t>[1]</t>
  </si>
  <si>
    <t>https://www.airbus.com/sites/g/files/jlcbta136/files/2021-11/Airbus-Aircraft-AC-A380.pdf</t>
  </si>
  <si>
    <t>[2]</t>
  </si>
  <si>
    <t>https://contentzone.eurocontrol.int/aircraftperformance/details.aspx?ICAO=A388</t>
  </si>
  <si>
    <t>https://booksite.elsevier.com/9780340741528/appendices/data-a/table-1/table.htm</t>
  </si>
  <si>
    <t>https://www.volga-dnepr.com/files/booklet/an-124e_final.pdf</t>
  </si>
  <si>
    <t>[3]</t>
  </si>
  <si>
    <t>https://contentzone.eurocontrol.int/aircraftperformance/details.aspx?ICAO=A124</t>
  </si>
  <si>
    <t>[4]</t>
  </si>
  <si>
    <t>https://booksite.elsevier.com/9780340741528/appendices/data-a/table-7/table.htm</t>
  </si>
  <si>
    <t>https://www.airbus.com/sites/g/files/jlcbta136/files/2021-11/Airbus-Commercial-Aircraft-AC-A330.pdf</t>
  </si>
  <si>
    <t>[5]</t>
  </si>
  <si>
    <t>https://contentzone.eurocontrol.int/aircraftperformance/details.aspx?ICAO=A332</t>
  </si>
  <si>
    <t>[6]</t>
  </si>
  <si>
    <t>calc</t>
  </si>
  <si>
    <t>https://contentzone.eurocontrol.int/aircraftperformance/details.aspx?ICAO=A333</t>
  </si>
  <si>
    <t>[7]</t>
  </si>
  <si>
    <t>https://www.airbus.com/sites/g/files/jlcbta136/files/2021-11/Airbus-Commercial-Aircraft-AC-A340-200-300.pdf</t>
  </si>
  <si>
    <t>[8]</t>
  </si>
  <si>
    <t>https://contentzone.eurocontrol.int/aircraftperformance/details.aspx?ICAO=A343</t>
  </si>
  <si>
    <t>[9]</t>
  </si>
  <si>
    <t>https://www.airbus.com/sites/g/files/jlcbta136/files/2021-11/Airbus-Commercial-Aircraft-AC-A340-500_600.pdf</t>
  </si>
  <si>
    <t>[10]</t>
  </si>
  <si>
    <t>https://contentzone.eurocontrol.int/aircraftperformance/details.aspx?ICAO=A345</t>
  </si>
  <si>
    <t>[11]</t>
  </si>
  <si>
    <t>https://contentzone.eurocontrol.int/aircraftperformance/details.aspx?ICAO=A346</t>
  </si>
  <si>
    <t>[12]</t>
  </si>
  <si>
    <t>https://www.airbus.com/sites/g/files/jlcbta136/files/2021-11/Airbus-Commercial-Aircraft-AC-A350-900-1000.pdf</t>
  </si>
  <si>
    <t>[13]</t>
  </si>
  <si>
    <t>https://contentzone.eurocontrol.int/aircraftperformance/details.aspx?ICAO=A359</t>
  </si>
  <si>
    <t>[14]</t>
  </si>
  <si>
    <t>https://www.boeing.com/resources/boeingdotcom/commercial/airports/acaps/747_4.pdf</t>
  </si>
  <si>
    <t>[15]</t>
  </si>
  <si>
    <t>https://contentzone.eurocontrol.int/aircraftperformance/details.aspx?ICAO=B744</t>
  </si>
  <si>
    <t>[16]</t>
  </si>
  <si>
    <t>https://booksite.elsevier.com/9780340741528/appendices/data-a/table-3/table.htm</t>
  </si>
  <si>
    <t>https://www.boeing.com/resources/boeingdotcom/commercial/airports/acaps/747_8.pdf</t>
  </si>
  <si>
    <t>[17]</t>
  </si>
  <si>
    <t>https://contentzone.eurocontrol.int/aircraftperformance/details.aspx?ICAO=B748</t>
  </si>
  <si>
    <t>[18]</t>
  </si>
  <si>
    <t>https://www.boeing.com/resources/boeingdotcom/commercial/airports/acaps/777_23.pdf</t>
  </si>
  <si>
    <t>[19]</t>
  </si>
  <si>
    <t>https://contentzone.eurocontrol.int/aircraftperformance/details.aspx?ICAO=B772</t>
  </si>
  <si>
    <t>https://contentzone.eurocontrol.int/aircraftperformance/details.aspx?ICAO=B773</t>
  </si>
  <si>
    <t>[20]</t>
  </si>
  <si>
    <t>[21]</t>
  </si>
  <si>
    <t>https://booksite.elsevier.com/9780340741528/appendices/data-a/table-4/table.htm</t>
  </si>
  <si>
    <t>https://contentzone.eurocontrol.int/aircraftperformance/details.aspx?ICAO=B77L</t>
  </si>
  <si>
    <t>[22]</t>
  </si>
  <si>
    <t>https://contentzone.eurocontrol.int/aircraftperformance/details.aspx?ICAO=B77W</t>
  </si>
  <si>
    <t>[23]</t>
  </si>
  <si>
    <t>https://www.boeing.com/resources/boeingdotcom/commercial/airports/acaps/777_2lr3er.pdf</t>
  </si>
  <si>
    <t>[24]</t>
  </si>
  <si>
    <t>https://www.boeing.com/resources/boeingdotcom/commercial/airports/acaps/787.pdf</t>
  </si>
  <si>
    <t>[25]</t>
  </si>
  <si>
    <t>https://www.boeing.com/assets/pdf/commercial/airports/faqs/arcandapproachspeeds.pdf</t>
  </si>
  <si>
    <t>[26]</t>
  </si>
  <si>
    <t>https://www.lissys.uk/samp1/index.html</t>
  </si>
  <si>
    <t>https://contentzone.eurocontrol.int/aircraftperformance/details.aspx?ICAO=IL96</t>
  </si>
  <si>
    <t>[27]</t>
  </si>
  <si>
    <t>[28]</t>
  </si>
  <si>
    <t>https://www.airbus.com/sites/g/files/jlcbta136/files/2021-11/Airbus-Commercial-Aircraft-AC-A300-600-Dec-2009.pdf</t>
  </si>
  <si>
    <t>[29]</t>
  </si>
  <si>
    <t>https://contentzone.eurocontrol.int/aircraftperformance/details.aspx?ICAO=A306</t>
  </si>
  <si>
    <t>[30]</t>
  </si>
  <si>
    <t>https://www.airbus.com/sites/g/files/jlcbta136/files/2021-11/Airbus-Commercial-Aircraft-AC-A310-Dec-2009.pdf</t>
  </si>
  <si>
    <t>[31]</t>
  </si>
  <si>
    <t>https://contentzone.eurocontrol.int/aircraftperformance/details.aspx?ICAO=A310</t>
  </si>
  <si>
    <t>[32]</t>
  </si>
  <si>
    <t>https://www.boeing.com/resources/boeingdotcom/commercial/airports/acaps/707.pdf</t>
  </si>
  <si>
    <t>[33]</t>
  </si>
  <si>
    <t>https://booksite.elsevier.com/9780340741528/appendices/data-a/table-2/table.htm</t>
  </si>
  <si>
    <t>https://www.boeing.com/resources/boeingdotcom/commercial/airports/acaps/757_23.pdf</t>
  </si>
  <si>
    <t>[34]</t>
  </si>
  <si>
    <t>https://en.wikipedia.org/wiki/Thickness-to-chord_ratio</t>
  </si>
  <si>
    <t>https://www.boeing.com/resources/boeingdotcom/commercial/airports/acaps/767_REV_I.pdf</t>
  </si>
  <si>
    <t>[35]</t>
  </si>
  <si>
    <t>https://www.safie.hq.af.mil/Portals/78/documents/IEN/KC-135%20Landing%20Weight%20Leave-Behind.pdf?ver=2020-06-15-133055-253#:~:text=The%20maximum%20landing%20weight%20for,Air%20Operations%20Command%20(CAOC).</t>
  </si>
  <si>
    <t>[36]</t>
  </si>
  <si>
    <t>https://contentzone.eurocontrol.int/aircraftperformance/details.aspx?ICAO=C135</t>
  </si>
  <si>
    <t>[37]</t>
  </si>
  <si>
    <t>mess</t>
  </si>
  <si>
    <t>https://www.boeing.com/resources/boeingdotcom/commercial/airports/acaps/dc10.pdf</t>
  </si>
  <si>
    <t>[38]</t>
  </si>
  <si>
    <t>https://contentzone.eurocontrol.int/aircraftperformance/details.aspx?ICAO=DC85</t>
  </si>
  <si>
    <t>[39]</t>
  </si>
  <si>
    <t>https://en.wikipedia.org/wiki/Douglas_DC-8</t>
  </si>
  <si>
    <t>[40]</t>
  </si>
  <si>
    <t>https://www.globalsecurity.org/military/world/russia/il-76-specs.htm</t>
  </si>
  <si>
    <t>[41]</t>
  </si>
  <si>
    <t>https://contentzone.eurocontrol.int/aircraftperformance/details.aspx?ICAO=IL76</t>
  </si>
  <si>
    <t>[42]</t>
  </si>
  <si>
    <t>https://www.boeing.com/resources/boeingdotcom/commercial/airports/acaps/md11.pdf</t>
  </si>
  <si>
    <t>[43]</t>
  </si>
  <si>
    <t>https://contentzone.eurocontrol.int/aircraftperformance/details.aspx?ICAO=MD11</t>
  </si>
  <si>
    <t>[44]</t>
  </si>
  <si>
    <t>https://www.airbus.com/sites/g/files/jlcbta136/files/2021-11/Airbus-Commercial-Aircraft-AC-A318.pdf</t>
  </si>
  <si>
    <t>[45]</t>
  </si>
  <si>
    <t>https://contentzone.eurocontrol.int/aircraftperformance/details.aspx?ICAO=A318</t>
  </si>
  <si>
    <t>[46]</t>
  </si>
  <si>
    <t>https://www.airbus.com/sites/g/files/jlcbta136/files/2021-11/Airbus-Commercial-Aircraft-AC-A319.pdf</t>
  </si>
  <si>
    <t>[47]</t>
  </si>
  <si>
    <t>https://contentzone.eurocontrol.int/aircraftperformance/details.aspx?ICAO=A319</t>
  </si>
  <si>
    <t>[48]</t>
  </si>
  <si>
    <t>https://www.airbus.com/sites/g/files/jlcbta136/files/2021-11/Airbus-Commercial-Aircraft-AC-A320.pdf</t>
  </si>
  <si>
    <t>[49]</t>
  </si>
  <si>
    <t>https://contentzone.eurocontrol.int/aircraftperformance/details.aspx?ICAO=A320</t>
  </si>
  <si>
    <t>[50]</t>
  </si>
  <si>
    <t>https://www.airbus.com/sites/g/files/jlcbta136/files/2021-11/Airbus-Commercial-Aircraft-AC-A321.pdf</t>
  </si>
  <si>
    <t>[51]</t>
  </si>
  <si>
    <t>https://contentzone.eurocontrol.int/aircraftperformance/details.aspx?ICAO=A321</t>
  </si>
  <si>
    <t>[52]</t>
  </si>
  <si>
    <t>https://de.wikipedia.org/wiki/Antonow_An-12</t>
  </si>
  <si>
    <t>[53]</t>
  </si>
  <si>
    <t>https://contentzone.eurocontrol.int/aircraftperformance/details.aspx?ICAO=AN12</t>
  </si>
  <si>
    <t>[54]</t>
  </si>
  <si>
    <t>https://www.boeing.com/resources/boeingdotcom/commercial/airports/acaps/737NG_REV%20C.pdf</t>
  </si>
  <si>
    <t>[55]</t>
  </si>
  <si>
    <t>https://contentzone.eurocontrol.int/aircraftperformance/details.aspx?ICAO=B736</t>
  </si>
  <si>
    <t>https://contentzone.eurocontrol.int/aircraftperformance/details.aspx?ICAO=B737</t>
  </si>
  <si>
    <t>https://contentzone.eurocontrol.int/aircraftperformance/details.aspx?ICAO=B738</t>
  </si>
  <si>
    <t>https://contentzone.eurocontrol.int/aircraftperformance/details.aspx?ICAO=B739</t>
  </si>
  <si>
    <t>[56]</t>
  </si>
  <si>
    <t>[57]</t>
  </si>
  <si>
    <t>[58]</t>
  </si>
  <si>
    <t>[59]</t>
  </si>
  <si>
    <t>https://www.lockheedmartin.com/content/dam/lockheed-martin/aero/documents/C-130J/C130JPocketGuide.pdf</t>
  </si>
  <si>
    <t>[60]</t>
  </si>
  <si>
    <t>https://contentzone.eurocontrol.int/aircraftperformance/details.aspx?ICAO=C130</t>
  </si>
  <si>
    <t>[61]</t>
  </si>
  <si>
    <t>http://www.interflug.biz/Archiv/FZH/IL18/FZH_IL18.pdf</t>
  </si>
  <si>
    <t>[62]</t>
  </si>
  <si>
    <t>[63]</t>
  </si>
  <si>
    <t>[64]</t>
  </si>
  <si>
    <t>[65]</t>
  </si>
  <si>
    <t>[66]</t>
  </si>
  <si>
    <t>[67]</t>
  </si>
  <si>
    <t>[68]</t>
  </si>
  <si>
    <t>[69]</t>
  </si>
  <si>
    <t>https://contentzone.eurocontrol.int/aircraftperformance/details.aspx?ICAO=IL18</t>
  </si>
  <si>
    <t>https://www.boeing.com/resources/boeingdotcom/commercial/airports/acaps/md80.pdf</t>
  </si>
  <si>
    <t>https://contentzone.eurocontrol.int/aircraftperformance/details.aspx?ICAO=MD81</t>
  </si>
  <si>
    <t>https://contentzone.eurocontrol.int/aircraftperformance/details.aspx?ICAO=MD82</t>
  </si>
  <si>
    <t>https://contentzone.eurocontrol.int/aircraftperformance/details.aspx?ICAO=MD83</t>
  </si>
  <si>
    <t>https://contentzone.eurocontrol.int/aircraftperformance/details.aspx?ICAO=MD87</t>
  </si>
  <si>
    <t>https://contentzone.eurocontrol.int/aircraftperformance/details.aspx?ICAO=MD88</t>
  </si>
  <si>
    <t>https://booksite.elsevier.com/9780340741528/appendices/data-a/table-5/table.htm</t>
  </si>
  <si>
    <t>https://www.boeing.com/resources/boeingdotcom/commercial/airports/acaps/md90.pdf</t>
  </si>
  <si>
    <t>[70]</t>
  </si>
  <si>
    <t>https://contentzone.eurocontrol.int/aircraftperformance/details.aspx?ICAO=MD90</t>
  </si>
  <si>
    <t>[71]</t>
  </si>
  <si>
    <t>[72]</t>
  </si>
  <si>
    <t>https://contentzone.eurocontrol.int/aircraftperformance/details.aspx?ICAO=T204</t>
  </si>
  <si>
    <t>http://www.feamtechnicaltraining.com/files/ATR%2042%20REFRESHER.pdf</t>
  </si>
  <si>
    <t>[73]</t>
  </si>
  <si>
    <t>https://contentzone.eurocontrol.int/aircraftperformance/details.aspx?ICAO=AT43</t>
  </si>
  <si>
    <t>[74]</t>
  </si>
  <si>
    <t>https://contentzone.eurocontrol.int/aircraftperformance/details.aspx?ICAO=AT45</t>
  </si>
  <si>
    <t>[75]</t>
  </si>
  <si>
    <t>https://www.atr-aircraft.com/our-aircraft/atr-72-600/</t>
  </si>
  <si>
    <t>[76]</t>
  </si>
  <si>
    <t>https://contentzone.eurocontrol.int/aircraftperformance/details.aspx?ICAO=AT72</t>
  </si>
  <si>
    <t>[77]</t>
  </si>
  <si>
    <t>https://aviation-is.better-than.tv/atr72fcom.pdf</t>
  </si>
  <si>
    <t>https://www.boeing.com/resources/boeingdotcom/commercial/airports/acaps/717.pdf</t>
  </si>
  <si>
    <t>[78]</t>
  </si>
  <si>
    <t>https://contentzone.eurocontrol.int/aircraftperformance/details.aspx?ICAO=B712</t>
  </si>
  <si>
    <t>[79]</t>
  </si>
  <si>
    <t>[80]</t>
  </si>
  <si>
    <t>https://contentzone.eurocontrol.int/aircraftperformance/details.aspx?ICAO=CL60</t>
  </si>
  <si>
    <t>[81]</t>
  </si>
  <si>
    <t>https://businessaircraft.bombardier.com/en/aircraft/challenger-650#bba-pdp-section-5</t>
  </si>
  <si>
    <t>https://caisatech.net/uploads/XXI_3_BOMBARDIER_H51_CRJ100-200-440_O_APM_R11_10DIC2021.pdf</t>
  </si>
  <si>
    <t>[82]</t>
  </si>
  <si>
    <t>https://contentzone.eurocontrol.int/aircraftperformance/details.aspx?ICAO=CRJ1</t>
  </si>
  <si>
    <t>[83]</t>
  </si>
  <si>
    <t>[84]</t>
  </si>
  <si>
    <t>[86]</t>
  </si>
  <si>
    <t>[87]</t>
  </si>
  <si>
    <t>[88]</t>
  </si>
  <si>
    <t>[89]</t>
  </si>
  <si>
    <t>https://contentzone.eurocontrol.int/aircraftperformance/details.aspx?ICAO=CRJ2</t>
  </si>
  <si>
    <t>https://booksite.elsevier.com/9780340741528/appendices/data-a/table-8/table.htm</t>
  </si>
  <si>
    <t>https://customer.aero.bombardier.com/webd/BAG/CustSite/BRAD/RACSDocument.nsf/51aae8b2b3bfdf6685256c300045ff31/ec63f8639ff3ab9d85257c1500635bd8/$FILE/ATTE8Q23.pdf/CRJ700APMR15.pdf</t>
  </si>
  <si>
    <t>[85]</t>
  </si>
  <si>
    <t>https://customer.aero.bombardier.com/webd/BAG/CustSite/BRAD/RACSDocument.nsf/51aae8b2b3bfdf6685256c300045ff31/ec63f8639ff3ab9d85257c1500635bd8/$FILE/ATTQF1EY.pdf/CRJ900APMR11.pdf</t>
  </si>
  <si>
    <t>https://contentzone.eurocontrol.int/aircraftperformance/details.aspx?ICAO=CRJ7</t>
  </si>
  <si>
    <t>https://contentzone.eurocontrol.int/aircraftperformance/details.aspx?ICAO=CRJ9</t>
  </si>
  <si>
    <t>https://www.easa.europa.eu/en/downloads/7257/en</t>
  </si>
  <si>
    <t>[90]</t>
  </si>
  <si>
    <t>[91]</t>
  </si>
  <si>
    <t>[92]</t>
  </si>
  <si>
    <t>[93]</t>
  </si>
  <si>
    <t>https://contentzone.eurocontrol.int/aircraftperformance/details.aspx?ICAO=DH8D</t>
  </si>
  <si>
    <t>https://customer.aero.bombardier.com/webd/BAG/CustSite/BRAD/RACSDocument.nsf/51aae8b2b3bfdf6685256c300045ff31/ec63f8639ff3ab9d85257c1500635bd8/$FILE/ATTNBEOB.pdf/D8400-APM.pdf</t>
  </si>
  <si>
    <t>https://www.flyembraer.com/irj/go/km/docs/download_center/Anonymous/Ergonomia/Home%20Page/Documents/APM_145.pdf</t>
  </si>
  <si>
    <t>https://contentzone.eurocontrol.int/aircraftperformance/details.aspx?ICAO=E135</t>
  </si>
  <si>
    <t>https://contentzone.eurocontrol.int/aircraftperformance/details.aspx?ICAO=E145</t>
  </si>
  <si>
    <t>https://www.easa.europa.eu/downloads/8393/en</t>
  </si>
  <si>
    <t>[94]</t>
  </si>
  <si>
    <t>[95]</t>
  </si>
  <si>
    <t>[96]</t>
  </si>
  <si>
    <t>[97]</t>
  </si>
  <si>
    <t>[98]</t>
  </si>
  <si>
    <t>[99]</t>
  </si>
  <si>
    <t>[100]</t>
  </si>
  <si>
    <t>[101]</t>
  </si>
  <si>
    <t>[102]</t>
  </si>
  <si>
    <t>[103]</t>
  </si>
  <si>
    <t>https://www.flyembraer.com/irj/go/km/docs/download_center/Anonymous/Ergonomia/Home%20Page/Documents/APM_170.pdf</t>
  </si>
  <si>
    <t>https://contentzone.eurocontrol.int/aircraftperformance/details.aspx?ICAO=E170</t>
  </si>
  <si>
    <t>https://www.embraercommercialaviation.com/wp-content/uploads/2017/02/APM_E175.pdf</t>
  </si>
  <si>
    <t>https://www.flyembraer.com/irj/go/km/docs/download_center/Anonymous/Ergonomia/Home%20Page/Documents/APM_190.pdf</t>
  </si>
  <si>
    <t>https://contentzone.eurocontrol.int/aircraftperformance/details.aspx?ICAO=E190</t>
  </si>
  <si>
    <t>https://www.flyembraer.com/irj/go/km/docs/download_center/Anonymous/Ergonomia/Home%20Page/Documents/APM_195.pdf</t>
  </si>
  <si>
    <t>https://contentzone.eurocontrol.int/aircraftperformance/details.aspx?ICAO=E195</t>
  </si>
  <si>
    <t>https://contentzone.eurocontrol.int/aircraftperformance/details.aspx?ICAO=F70</t>
  </si>
  <si>
    <t>[104]</t>
  </si>
  <si>
    <t>[105]</t>
  </si>
  <si>
    <t>[106]</t>
  </si>
  <si>
    <t>[107]</t>
  </si>
  <si>
    <t>[108]</t>
  </si>
  <si>
    <t>[109]</t>
  </si>
  <si>
    <t>[110]</t>
  </si>
  <si>
    <t>[111]</t>
  </si>
  <si>
    <t>[112]</t>
  </si>
  <si>
    <t>[113]</t>
  </si>
  <si>
    <t>[114]</t>
  </si>
  <si>
    <t>[115]</t>
  </si>
  <si>
    <t>[116]</t>
  </si>
  <si>
    <t>[117]</t>
  </si>
  <si>
    <t>[118]</t>
  </si>
  <si>
    <t>[119]</t>
  </si>
  <si>
    <t>[120]</t>
  </si>
  <si>
    <t>[121]</t>
  </si>
  <si>
    <t>https://www.globalair.com/aircraft-for-sale/specifications?specid=236</t>
  </si>
  <si>
    <t>https://contentzone.eurocontrol.int/aircraftperformance/details.aspx?ICAO=GLF4</t>
  </si>
  <si>
    <t>https://contentzone.eurocontrol.int/aircraftperformance/details.aspx?ICAO=RJ85</t>
  </si>
  <si>
    <t>https://contentzone.eurocontrol.int/aircraftperformance/details.aspx?ICAO=RJ1H</t>
  </si>
  <si>
    <t>https://www.globalair.com/aircraft-for-sale/specifications?specid=200</t>
  </si>
  <si>
    <t>https://contentzone.eurocontrol.int/aircraftperformance/details.aspx?ICAO=FA10</t>
  </si>
  <si>
    <t>https://www.globalair.com/aircraft-for-sale/specifications?specid=208</t>
  </si>
  <si>
    <t>https://contentzone.eurocontrol.int/aircraftperformance/details.aspx?ICAO=FA20</t>
  </si>
  <si>
    <t>https://www.globalair.com/aircraft-for-sale/specifications?specid=716</t>
  </si>
  <si>
    <t>https://contentzone.eurocontrol.int/aircraftperformance/details.aspx?ICAO=D328</t>
  </si>
  <si>
    <t>https://www.flyembraer.com/irj/go/km/docs/download_center/Anonymous/Ergonomia/Home%20Page/Documents/APM_120.pdf</t>
  </si>
  <si>
    <t>https://contentzone.eurocontrol.int/aircraftperformance/details.aspx?ICAO=E120</t>
  </si>
  <si>
    <t>https://www.globalair.com/aircraft-for-sale/specifications?specid=33</t>
  </si>
  <si>
    <t>https://contentzone.eurocontrol.int/aircraftperformance/details.aspx?ICAO=BE40</t>
  </si>
  <si>
    <t>https://www.globalair.com/aircraft-for-sale/specifications?specid=904</t>
  </si>
  <si>
    <t>https://contentzone.eurocontrol.int/aircraftperformance/details.aspx?ICAO=H25B</t>
  </si>
  <si>
    <t>https://www.bfu-web.de/EN/Publications/Interim_Reports/IR2019/IR1_19-1422-EX_BAE-JS32_Muenster-Osnabr.pdf?__blob=publicationFile</t>
  </si>
  <si>
    <t>https://www.globalair.com/aircraft-for-sale/specifications?specid=24</t>
  </si>
  <si>
    <t>https://www.easa.europa.eu/sites/default/files/dfu/EASA-TCDS-A.191_BAe_Systems_Jetstream_3100_and_3200-02-30092009.pdf</t>
  </si>
  <si>
    <t>https://www.easa.europa.eu/sites/default/files/dfu/EASA-TCDS-A.189_BAe_Jetstream_4100-02-20102010.pdf</t>
  </si>
  <si>
    <t>https://contentzone.eurocontrol.int/aircraftperformance/details.aspx?ICAO=JS32</t>
  </si>
  <si>
    <t>https://contentzone.eurocontrol.int/aircraftperformance/details.aspx?ICAO=JS41</t>
  </si>
  <si>
    <t>[122]</t>
  </si>
  <si>
    <t>[123]</t>
  </si>
  <si>
    <t>[124]</t>
  </si>
  <si>
    <t>[125]</t>
  </si>
  <si>
    <t>[126]</t>
  </si>
  <si>
    <t>[127]</t>
  </si>
  <si>
    <t>[128]</t>
  </si>
  <si>
    <t>https://www.globalair.com/aircraft-for-sale/specifications?specid=25</t>
  </si>
  <si>
    <t>https://contentzone.eurocontrol.int/aircraftperformance/details.aspx?ICAO=LJ35</t>
  </si>
  <si>
    <t>https://www.globalair.com/aircraft-for-sale/specifications?specid=32</t>
  </si>
  <si>
    <t>https://contentzone.eurocontrol.int/aircraftperformance/details.aspx?ICAO=LJ60</t>
  </si>
  <si>
    <t>https://www.easa.europa.eu/en/downloads/7388/en</t>
  </si>
  <si>
    <t>[129]</t>
  </si>
  <si>
    <t>[130]</t>
  </si>
  <si>
    <t>[131]</t>
  </si>
  <si>
    <t>[132]</t>
  </si>
  <si>
    <t>[133]</t>
  </si>
  <si>
    <t>[134]</t>
  </si>
  <si>
    <t>[135]</t>
  </si>
  <si>
    <t>[136]</t>
  </si>
  <si>
    <t>[137]</t>
  </si>
  <si>
    <t>https://www.saabaircraftleasing.com/prod/datasheets/340b_jar.pdf</t>
  </si>
  <si>
    <t>https://contentzone.eurocontrol.int/aircraftperformance/details.aspx?ICAO=SF34</t>
  </si>
  <si>
    <t>https://www.smartcockpit.com/docs/P180_Avanti-Specification_and_Description.pdf</t>
  </si>
  <si>
    <t>https://contentzone.eurocontrol.int/aircraftperformance/details.aspx?ICAO=P180</t>
  </si>
  <si>
    <t>http://www.flugzeuginfo.net/acdata_php/acdata_cessna_650citation3_6_en.php</t>
  </si>
  <si>
    <t>https://contentzone.eurocontrol.int/aircraftperformance/details.aspx?ICAO=C650</t>
  </si>
  <si>
    <t>https://en.wikipedia.org/wiki/Cessna_Citation_III</t>
  </si>
  <si>
    <t>https://www.guardianjet.com/userfiles/files/specs/CJ1/CJ1_sn_525_2003_Spec(1).pdf</t>
  </si>
  <si>
    <t>https://contentzone.eurocontrol.int/aircraftperformance/details.aspx?ICAO=C525</t>
  </si>
  <si>
    <t>https://janes.migavia.com/usa/cessna/cessna-525-citation-cj1.html</t>
  </si>
  <si>
    <t>https://www.globalair.com/aircraft-for-sale/specifications?specid=358</t>
  </si>
  <si>
    <t>https://contentzone.eurocontrol.int/aircraftperformance/details.aspx?ICAO=C182</t>
  </si>
  <si>
    <t>[138]</t>
  </si>
  <si>
    <t>[139]</t>
  </si>
  <si>
    <t>[140]</t>
  </si>
  <si>
    <t>https://www.purdueaviationllc.com/storage/app/media/Data%20Sheets/C152%20Data%20Sheet.pdf</t>
  </si>
  <si>
    <t>https://contentzone.eurocontrol.int/aircraftperformance/details.aspx?ICAO=C152</t>
  </si>
  <si>
    <t>e_theo [-]</t>
  </si>
  <si>
    <t>S_wet [m^2]</t>
  </si>
  <si>
    <t>S_ref [m^2]</t>
  </si>
  <si>
    <t xml:space="preserve">k_e_F </t>
  </si>
  <si>
    <t>C_D_0 [-]</t>
  </si>
  <si>
    <t>Q</t>
  </si>
  <si>
    <t>https://www.fzt.haw-hamburg.de/pers/Scholz/arbeiten/TextSchlueter.pdf</t>
  </si>
  <si>
    <t>WTC (CAA)</t>
  </si>
  <si>
    <t>WTC_NEU_CAA</t>
  </si>
  <si>
    <t>UM</t>
  </si>
  <si>
    <t>LM</t>
  </si>
  <si>
    <t>S</t>
  </si>
  <si>
    <t>Aspect ratio [-]</t>
  </si>
  <si>
    <t>Oswald Factor M2 [-]</t>
  </si>
  <si>
    <t>Oswald Factor M1 [-]</t>
  </si>
  <si>
    <t>Deviation [%]</t>
  </si>
  <si>
    <t>wing span [m]</t>
  </si>
  <si>
    <t>fuselage diameter [m]</t>
  </si>
  <si>
    <t>winglet height [m]</t>
  </si>
  <si>
    <t>taper ratio [-]</t>
  </si>
  <si>
    <t>sweep angle [deg]</t>
  </si>
  <si>
    <t>aspect ratio [-]</t>
  </si>
  <si>
    <t>max. landing weight [kg]</t>
  </si>
  <si>
    <t>approach speed (VAT) [m/s]</t>
  </si>
  <si>
    <t>Oswald Factor [-]</t>
  </si>
  <si>
    <t>Oswald Factor M2</t>
  </si>
  <si>
    <t>Induced Power [W]</t>
  </si>
  <si>
    <t>Induced Power M2 [MW]</t>
  </si>
  <si>
    <t>k_e_F [-]</t>
  </si>
  <si>
    <t>k_e_WL [-]</t>
  </si>
  <si>
    <t xml:space="preserve">delta_lambda </t>
  </si>
  <si>
    <t>Assumptions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</si>
  <si>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</si>
  <si>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</si>
  <si>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</si>
  <si>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</si>
  <si>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</si>
  <si>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</si>
  <si>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</si>
  <si>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Dennis Camilo</t>
  </si>
  <si>
    <t>"Comparing Aircraft Wake Turbulence Categories with Induced Power Calculation"</t>
  </si>
  <si>
    <t>The spreadsheet for the Master Thesis</t>
  </si>
  <si>
    <t>https://www.gnu.org/licenses</t>
  </si>
  <si>
    <t>Copyright ©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</si>
</sst>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5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2" fillId="0" borderId="0" xfId="1" applyAlignment="1">
      <alignment horizontal="left" vertical="top"/>
    </xf>
    <xf numFmtId="0" fontId="0" fillId="0" borderId="0" xfId="0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2" fontId="0" fillId="0" borderId="0" xfId="0" applyNumberFormat="1"/>
    <xf numFmtId="0" fontId="2" fillId="0" borderId="0" xfId="1"/>
    <xf numFmtId="0" fontId="4" fillId="0" borderId="0" xfId="0" applyFont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0" fillId="0" borderId="0" xfId="0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6" fillId="3" borderId="0" xfId="2" applyFont="1" applyFill="1"/>
    <xf numFmtId="0" fontId="5" fillId="3" borderId="0" xfId="2" applyFill="1"/>
    <xf numFmtId="0" fontId="5" fillId="0" borderId="0" xfId="2"/>
    <xf numFmtId="0" fontId="7" fillId="3" borderId="0" xfId="2" applyFont="1" applyFill="1"/>
    <xf numFmtId="0" fontId="8" fillId="3" borderId="0" xfId="2" applyFont="1" applyFill="1"/>
    <xf numFmtId="0" fontId="2" fillId="3" borderId="0" xfId="1" applyFill="1" applyAlignment="1" applyProtection="1"/>
  </cellXfs>
  <cellStyles count="4">
    <cellStyle name="Hyperlink 2" xfId="3" xr:uid="{00000000-0005-0000-0000-000001000000}"/>
    <cellStyle name="Link" xfId="1" builtinId="8"/>
    <cellStyle name="Standard" xfId="0" builtinId="0"/>
    <cellStyle name="Standard 2" xfId="2" xr:uid="{00000000-0005-0000-0000-000003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microsoft.com/office/2011/relationships/chartColorStyle" Target="colors10.xml"/><Relationship Id="rId1" Type="http://schemas.microsoft.com/office/2011/relationships/chartStyle" Target="style10.xml"/><Relationship Id="rId4" Type="http://schemas.openxmlformats.org/officeDocument/2006/relationships/chartUserShapes" Target="../drawings/drawing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6.xml"/><Relationship Id="rId1" Type="http://schemas.microsoft.com/office/2011/relationships/chartStyle" Target="style6.xml"/><Relationship Id="rId4" Type="http://schemas.openxmlformats.org/officeDocument/2006/relationships/chartUserShapes" Target="../drawings/drawing4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11/relationships/chartColorStyle" Target="colors7.xml"/><Relationship Id="rId1" Type="http://schemas.microsoft.com/office/2011/relationships/chartStyle" Target="style7.xml"/><Relationship Id="rId4" Type="http://schemas.openxmlformats.org/officeDocument/2006/relationships/chartUserShapes" Target="../drawings/drawing5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Induced Power During</a:t>
            </a:r>
            <a:r>
              <a:rPr lang="de-DE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Approach (EURONTROL classification)</a:t>
            </a:r>
            <a:endParaRPr lang="de-DE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52CA-174E-AED2-BA9A0295548A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CA-174E-AED2-BA9A0295548A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2CA-174E-AED2-BA9A0295548A}"/>
              </c:ext>
            </c:extLst>
          </c:dPt>
          <c:dPt>
            <c:idx val="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CA-174E-AED2-BA9A0295548A}"/>
              </c:ext>
            </c:extLst>
          </c:dPt>
          <c:dPt>
            <c:idx val="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52CA-174E-AED2-BA9A0295548A}"/>
              </c:ext>
            </c:extLst>
          </c:dPt>
          <c:dPt>
            <c:idx val="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CA-174E-AED2-BA9A0295548A}"/>
              </c:ext>
            </c:extLst>
          </c:dPt>
          <c:dPt>
            <c:idx val="6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52CA-174E-AED2-BA9A0295548A}"/>
              </c:ext>
            </c:extLst>
          </c:dPt>
          <c:dPt>
            <c:idx val="7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52CA-174E-AED2-BA9A0295548A}"/>
              </c:ext>
            </c:extLst>
          </c:dPt>
          <c:dPt>
            <c:idx val="8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52CA-174E-AED2-BA9A0295548A}"/>
              </c:ext>
            </c:extLst>
          </c:dPt>
          <c:dPt>
            <c:idx val="9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52CA-174E-AED2-BA9A0295548A}"/>
              </c:ext>
            </c:extLst>
          </c:dPt>
          <c:dPt>
            <c:idx val="1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CA-174E-AED2-BA9A0295548A}"/>
              </c:ext>
            </c:extLst>
          </c:dPt>
          <c:dPt>
            <c:idx val="1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52CA-174E-AED2-BA9A0295548A}"/>
              </c:ext>
            </c:extLst>
          </c:dPt>
          <c:dPt>
            <c:idx val="12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CA-174E-AED2-BA9A0295548A}"/>
              </c:ext>
            </c:extLst>
          </c:dPt>
          <c:dPt>
            <c:idx val="1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52CA-174E-AED2-BA9A0295548A}"/>
              </c:ext>
            </c:extLst>
          </c:dPt>
          <c:dPt>
            <c:idx val="1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CA-174E-AED2-BA9A0295548A}"/>
              </c:ext>
            </c:extLst>
          </c:dPt>
          <c:dPt>
            <c:idx val="1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52CA-174E-AED2-BA9A0295548A}"/>
              </c:ext>
            </c:extLst>
          </c:dPt>
          <c:dPt>
            <c:idx val="16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CA-174E-AED2-BA9A0295548A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52CA-174E-AED2-BA9A0295548A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52CA-174E-AED2-BA9A0295548A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52CA-174E-AED2-BA9A0295548A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52CA-174E-AED2-BA9A0295548A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52CA-174E-AED2-BA9A0295548A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52CA-174E-AED2-BA9A0295548A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52CA-174E-AED2-BA9A0295548A}"/>
              </c:ext>
            </c:extLst>
          </c:dPt>
          <c:dPt>
            <c:idx val="24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52CA-174E-AED2-BA9A0295548A}"/>
              </c:ext>
            </c:extLst>
          </c:dPt>
          <c:dPt>
            <c:idx val="2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52CA-174E-AED2-BA9A0295548A}"/>
              </c:ext>
            </c:extLst>
          </c:dPt>
          <c:dPt>
            <c:idx val="26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52CA-174E-AED2-BA9A0295548A}"/>
              </c:ext>
            </c:extLst>
          </c:dPt>
          <c:dPt>
            <c:idx val="27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52CA-174E-AED2-BA9A0295548A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52CA-174E-AED2-BA9A0295548A}"/>
              </c:ext>
            </c:extLst>
          </c:dPt>
          <c:dPt>
            <c:idx val="29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52CA-174E-AED2-BA9A0295548A}"/>
              </c:ext>
            </c:extLst>
          </c:dPt>
          <c:dPt>
            <c:idx val="48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E-52CA-174E-AED2-BA9A0295548A}"/>
              </c:ext>
            </c:extLst>
          </c:dPt>
          <c:dPt>
            <c:idx val="49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F-9426-CC46-8255-419AAA579FF3}"/>
              </c:ext>
            </c:extLst>
          </c:dPt>
          <c:dPt>
            <c:idx val="5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52CA-174E-AED2-BA9A0295548A}"/>
              </c:ext>
            </c:extLst>
          </c:dPt>
          <c:dPt>
            <c:idx val="5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2-52CA-174E-AED2-BA9A0295548A}"/>
              </c:ext>
            </c:extLst>
          </c:dPt>
          <c:dPt>
            <c:idx val="5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4-52CA-174E-AED2-BA9A0295548A}"/>
              </c:ext>
            </c:extLst>
          </c:dPt>
          <c:dPt>
            <c:idx val="53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52CA-174E-AED2-BA9A0295548A}"/>
              </c:ext>
            </c:extLst>
          </c:dPt>
          <c:dPt>
            <c:idx val="54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6-52CA-174E-AED2-BA9A0295548A}"/>
              </c:ext>
            </c:extLst>
          </c:dPt>
          <c:dPt>
            <c:idx val="55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52CA-174E-AED2-BA9A0295548A}"/>
              </c:ext>
            </c:extLst>
          </c:dPt>
          <c:dPt>
            <c:idx val="56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B-52CA-174E-AED2-BA9A0295548A}"/>
              </c:ext>
            </c:extLst>
          </c:dPt>
          <c:dPt>
            <c:idx val="57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C-52CA-174E-AED2-BA9A0295548A}"/>
              </c:ext>
            </c:extLst>
          </c:dPt>
          <c:dPt>
            <c:idx val="58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E-52CA-174E-AED2-BA9A0295548A}"/>
              </c:ext>
            </c:extLst>
          </c:dPt>
          <c:dPt>
            <c:idx val="59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D-52CA-174E-AED2-BA9A0295548A}"/>
              </c:ext>
            </c:extLst>
          </c:dPt>
          <c:dPt>
            <c:idx val="6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A-52CA-174E-AED2-BA9A0295548A}"/>
              </c:ext>
            </c:extLst>
          </c:dPt>
          <c:dPt>
            <c:idx val="6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F-52CA-174E-AED2-BA9A0295548A}"/>
              </c:ext>
            </c:extLst>
          </c:dPt>
          <c:dPt>
            <c:idx val="6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0-52CA-174E-AED2-BA9A0295548A}"/>
              </c:ext>
            </c:extLst>
          </c:dPt>
          <c:dPt>
            <c:idx val="63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1-52CA-174E-AED2-BA9A0295548A}"/>
              </c:ext>
            </c:extLst>
          </c:dPt>
          <c:dPt>
            <c:idx val="64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2-52CA-174E-AED2-BA9A0295548A}"/>
              </c:ext>
            </c:extLst>
          </c:dPt>
          <c:dPt>
            <c:idx val="65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3-52CA-174E-AED2-BA9A0295548A}"/>
              </c:ext>
            </c:extLst>
          </c:dPt>
          <c:dPt>
            <c:idx val="66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4-52CA-174E-AED2-BA9A0295548A}"/>
              </c:ext>
            </c:extLst>
          </c:dPt>
          <c:dPt>
            <c:idx val="67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8-52CA-174E-AED2-BA9A0295548A}"/>
              </c:ext>
            </c:extLst>
          </c:dPt>
          <c:dPt>
            <c:idx val="68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5-52CA-174E-AED2-BA9A0295548A}"/>
              </c:ext>
            </c:extLst>
          </c:dPt>
          <c:dPt>
            <c:idx val="69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9-52CA-174E-AED2-BA9A0295548A}"/>
              </c:ext>
            </c:extLst>
          </c:dPt>
          <c:dPt>
            <c:idx val="7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6-52CA-174E-AED2-BA9A0295548A}"/>
              </c:ext>
            </c:extLst>
          </c:dPt>
          <c:dPt>
            <c:idx val="7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52CA-174E-AED2-BA9A0295548A}"/>
              </c:ext>
            </c:extLst>
          </c:dPt>
          <c:dPt>
            <c:idx val="7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0-52CA-174E-AED2-BA9A0295548A}"/>
              </c:ext>
            </c:extLst>
          </c:dPt>
          <c:dPt>
            <c:idx val="73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7-52CA-174E-AED2-BA9A0295548A}"/>
              </c:ext>
            </c:extLst>
          </c:dPt>
          <c:dPt>
            <c:idx val="74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8-52CA-174E-AED2-BA9A0295548A}"/>
              </c:ext>
            </c:extLst>
          </c:dPt>
          <c:dPt>
            <c:idx val="75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9-52CA-174E-AED2-BA9A0295548A}"/>
              </c:ext>
            </c:extLst>
          </c:dPt>
          <c:dPt>
            <c:idx val="76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A-52CA-174E-AED2-BA9A0295548A}"/>
              </c:ext>
            </c:extLst>
          </c:dPt>
          <c:dPt>
            <c:idx val="77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B-52CA-174E-AED2-BA9A0295548A}"/>
              </c:ext>
            </c:extLst>
          </c:dPt>
          <c:dPt>
            <c:idx val="78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C-52CA-174E-AED2-BA9A0295548A}"/>
              </c:ext>
            </c:extLst>
          </c:dPt>
          <c:dPt>
            <c:idx val="79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D-52CA-174E-AED2-BA9A0295548A}"/>
              </c:ext>
            </c:extLst>
          </c:dPt>
          <c:dPt>
            <c:idx val="80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E-52CA-174E-AED2-BA9A0295548A}"/>
              </c:ext>
            </c:extLst>
          </c:dPt>
          <c:dPt>
            <c:idx val="81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F-52CA-174E-AED2-BA9A0295548A}"/>
              </c:ext>
            </c:extLst>
          </c:dPt>
          <c:dPt>
            <c:idx val="82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0-52CA-174E-AED2-BA9A0295548A}"/>
              </c:ext>
            </c:extLst>
          </c:dPt>
          <c:dPt>
            <c:idx val="83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1-52CA-174E-AED2-BA9A0295548A}"/>
              </c:ext>
            </c:extLst>
          </c:dPt>
          <c:dPt>
            <c:idx val="84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3-52CA-174E-AED2-BA9A0295548A}"/>
              </c:ext>
            </c:extLst>
          </c:dPt>
          <c:dPt>
            <c:idx val="85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2-52CA-174E-AED2-BA9A0295548A}"/>
              </c:ext>
            </c:extLst>
          </c:dPt>
          <c:dPt>
            <c:idx val="86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4-52CA-174E-AED2-BA9A0295548A}"/>
              </c:ext>
            </c:extLst>
          </c:dPt>
          <c:cat>
            <c:strRef>
              <c:f>('Calculation P'!$B$2:$B$19,'Calculation P'!$B$20:$B$31,'Calculation P'!$B$32:$B$49,'Calculation P'!$B$50:$B$79,'Calculation P'!$B$80:$B$90)</c:f>
              <c:strCache>
                <c:ptCount val="89"/>
                <c:pt idx="0">
                  <c:v>A388</c:v>
                </c:pt>
                <c:pt idx="1">
                  <c:v>A124</c:v>
                </c:pt>
                <c:pt idx="2">
                  <c:v>A332</c:v>
                </c:pt>
                <c:pt idx="3">
                  <c:v>A333</c:v>
                </c:pt>
                <c:pt idx="4">
                  <c:v>A343</c:v>
                </c:pt>
                <c:pt idx="5">
                  <c:v>A345</c:v>
                </c:pt>
                <c:pt idx="6">
                  <c:v>A346</c:v>
                </c:pt>
                <c:pt idx="7">
                  <c:v>A359</c:v>
                </c:pt>
                <c:pt idx="8">
                  <c:v>B744</c:v>
                </c:pt>
                <c:pt idx="9">
                  <c:v>B748</c:v>
                </c:pt>
                <c:pt idx="10">
                  <c:v>B772</c:v>
                </c:pt>
                <c:pt idx="11">
                  <c:v>B773</c:v>
                </c:pt>
                <c:pt idx="12">
                  <c:v>B77L</c:v>
                </c:pt>
                <c:pt idx="13">
                  <c:v>B77W</c:v>
                </c:pt>
                <c:pt idx="14">
                  <c:v>B788</c:v>
                </c:pt>
                <c:pt idx="15">
                  <c:v>B789</c:v>
                </c:pt>
                <c:pt idx="16">
                  <c:v>IL96</c:v>
                </c:pt>
                <c:pt idx="17">
                  <c:v>A306</c:v>
                </c:pt>
                <c:pt idx="18">
                  <c:v>A310</c:v>
                </c:pt>
                <c:pt idx="19">
                  <c:v>B703</c:v>
                </c:pt>
                <c:pt idx="20">
                  <c:v>B752</c:v>
                </c:pt>
                <c:pt idx="21">
                  <c:v>B753</c:v>
                </c:pt>
                <c:pt idx="22">
                  <c:v>B762</c:v>
                </c:pt>
                <c:pt idx="23">
                  <c:v>B763</c:v>
                </c:pt>
                <c:pt idx="24">
                  <c:v>B764</c:v>
                </c:pt>
                <c:pt idx="25">
                  <c:v>C135</c:v>
                </c:pt>
                <c:pt idx="26">
                  <c:v>DC10</c:v>
                </c:pt>
                <c:pt idx="27">
                  <c:v>DC85</c:v>
                </c:pt>
                <c:pt idx="28">
                  <c:v>IL76</c:v>
                </c:pt>
                <c:pt idx="29">
                  <c:v>MD11</c:v>
                </c:pt>
                <c:pt idx="30">
                  <c:v>A318</c:v>
                </c:pt>
                <c:pt idx="31">
                  <c:v>A319</c:v>
                </c:pt>
                <c:pt idx="32">
                  <c:v>A320</c:v>
                </c:pt>
                <c:pt idx="33">
                  <c:v>A321</c:v>
                </c:pt>
                <c:pt idx="34">
                  <c:v>AN12</c:v>
                </c:pt>
                <c:pt idx="35">
                  <c:v>B736</c:v>
                </c:pt>
                <c:pt idx="36">
                  <c:v>B737</c:v>
                </c:pt>
                <c:pt idx="37">
                  <c:v>B738</c:v>
                </c:pt>
                <c:pt idx="38">
                  <c:v>B739</c:v>
                </c:pt>
                <c:pt idx="39">
                  <c:v>C130</c:v>
                </c:pt>
                <c:pt idx="40">
                  <c:v>IL18</c:v>
                </c:pt>
                <c:pt idx="41">
                  <c:v>MD81</c:v>
                </c:pt>
                <c:pt idx="42">
                  <c:v>MD82</c:v>
                </c:pt>
                <c:pt idx="43">
                  <c:v>MD83</c:v>
                </c:pt>
                <c:pt idx="44">
                  <c:v>MD87</c:v>
                </c:pt>
                <c:pt idx="45">
                  <c:v>MD88</c:v>
                </c:pt>
                <c:pt idx="46">
                  <c:v>MD90</c:v>
                </c:pt>
                <c:pt idx="47">
                  <c:v>T204</c:v>
                </c:pt>
                <c:pt idx="48">
                  <c:v>AT43</c:v>
                </c:pt>
                <c:pt idx="49">
                  <c:v>AT45</c:v>
                </c:pt>
                <c:pt idx="50">
                  <c:v>AT72</c:v>
                </c:pt>
                <c:pt idx="51">
                  <c:v>B712</c:v>
                </c:pt>
                <c:pt idx="52">
                  <c:v>B732</c:v>
                </c:pt>
                <c:pt idx="53">
                  <c:v>B733</c:v>
                </c:pt>
                <c:pt idx="54">
                  <c:v>B734</c:v>
                </c:pt>
                <c:pt idx="55">
                  <c:v>B735</c:v>
                </c:pt>
                <c:pt idx="56">
                  <c:v>CL60</c:v>
                </c:pt>
                <c:pt idx="57">
                  <c:v>CRJ1</c:v>
                </c:pt>
                <c:pt idx="58">
                  <c:v>CRJ2</c:v>
                </c:pt>
                <c:pt idx="59">
                  <c:v>CRJ7</c:v>
                </c:pt>
                <c:pt idx="60">
                  <c:v>CRJ9</c:v>
                </c:pt>
                <c:pt idx="61">
                  <c:v>DH8D</c:v>
                </c:pt>
                <c:pt idx="62">
                  <c:v>E135</c:v>
                </c:pt>
                <c:pt idx="63">
                  <c:v>E145</c:v>
                </c:pt>
                <c:pt idx="64">
                  <c:v>E170</c:v>
                </c:pt>
                <c:pt idx="65">
                  <c:v>E175</c:v>
                </c:pt>
                <c:pt idx="66">
                  <c:v>E190</c:v>
                </c:pt>
                <c:pt idx="67">
                  <c:v>E195</c:v>
                </c:pt>
                <c:pt idx="68">
                  <c:v>F70</c:v>
                </c:pt>
                <c:pt idx="69">
                  <c:v>F100</c:v>
                </c:pt>
                <c:pt idx="70">
                  <c:v>GLF4</c:v>
                </c:pt>
                <c:pt idx="71">
                  <c:v>RJ85</c:v>
                </c:pt>
                <c:pt idx="72">
                  <c:v>RJ1H</c:v>
                </c:pt>
                <c:pt idx="73">
                  <c:v>FA10</c:v>
                </c:pt>
                <c:pt idx="74">
                  <c:v>FA20</c:v>
                </c:pt>
                <c:pt idx="75">
                  <c:v>D328</c:v>
                </c:pt>
                <c:pt idx="76">
                  <c:v>E120</c:v>
                </c:pt>
                <c:pt idx="77">
                  <c:v>BE40</c:v>
                </c:pt>
                <c:pt idx="78">
                  <c:v>H25B</c:v>
                </c:pt>
                <c:pt idx="79">
                  <c:v>JS32</c:v>
                </c:pt>
                <c:pt idx="80">
                  <c:v>JS41</c:v>
                </c:pt>
                <c:pt idx="81">
                  <c:v>LJ35</c:v>
                </c:pt>
                <c:pt idx="82">
                  <c:v>LJ60</c:v>
                </c:pt>
                <c:pt idx="83">
                  <c:v>SF34</c:v>
                </c:pt>
                <c:pt idx="84">
                  <c:v>P180</c:v>
                </c:pt>
                <c:pt idx="85">
                  <c:v>C650</c:v>
                </c:pt>
                <c:pt idx="86">
                  <c:v>C525</c:v>
                </c:pt>
                <c:pt idx="87">
                  <c:v>C180</c:v>
                </c:pt>
                <c:pt idx="88">
                  <c:v>C152</c:v>
                </c:pt>
              </c:strCache>
            </c:strRef>
          </c:cat>
          <c:val>
            <c:numRef>
              <c:f>('Calculation P'!$U$2:$U$19,'Calculation P'!$U$20:$U$31,'Calculation P'!$U$32:$U$49,'Calculation P'!$U$50:$U$79,'Calculation P'!$U$80:$U$90)</c:f>
              <c:numCache>
                <c:formatCode>General</c:formatCode>
                <c:ptCount val="89"/>
                <c:pt idx="0">
                  <c:v>20.044459815901106</c:v>
                </c:pt>
                <c:pt idx="1">
                  <c:v>16.710479574920264</c:v>
                </c:pt>
                <c:pt idx="2">
                  <c:v>7.7962568854599263</c:v>
                </c:pt>
                <c:pt idx="3">
                  <c:v>8.1722311164811927</c:v>
                </c:pt>
                <c:pt idx="4">
                  <c:v>8.6152984987865597</c:v>
                </c:pt>
                <c:pt idx="5">
                  <c:v>12.450188358569166</c:v>
                </c:pt>
                <c:pt idx="6">
                  <c:v>13.946003303280705</c:v>
                </c:pt>
                <c:pt idx="7">
                  <c:v>8.1108224012771739</c:v>
                </c:pt>
                <c:pt idx="8">
                  <c:v>15.004716031185913</c:v>
                </c:pt>
                <c:pt idx="9">
                  <c:v>16.601157908711123</c:v>
                </c:pt>
                <c:pt idx="10">
                  <c:v>9.0489822048391861</c:v>
                </c:pt>
                <c:pt idx="11">
                  <c:v>11.794633630668624</c:v>
                </c:pt>
                <c:pt idx="12">
                  <c:v>9.7604692890061173</c:v>
                </c:pt>
                <c:pt idx="13">
                  <c:v>11.627839713583194</c:v>
                </c:pt>
                <c:pt idx="14">
                  <c:v>6.5602976424674955</c:v>
                </c:pt>
                <c:pt idx="15">
                  <c:v>7.776924400262347</c:v>
                </c:pt>
                <c:pt idx="16">
                  <c:v>7.6880534304635795</c:v>
                </c:pt>
                <c:pt idx="17">
                  <c:v>8.2177454459542449</c:v>
                </c:pt>
                <c:pt idx="18">
                  <c:v>6.7484707367906553</c:v>
                </c:pt>
                <c:pt idx="19">
                  <c:v>4.3254529874680196</c:v>
                </c:pt>
                <c:pt idx="20">
                  <c:v>5.275175608307201</c:v>
                </c:pt>
                <c:pt idx="21">
                  <c:v>5.7886766058609496</c:v>
                </c:pt>
                <c:pt idx="22">
                  <c:v>5.8523462732683065</c:v>
                </c:pt>
                <c:pt idx="23">
                  <c:v>6.7633372452043092</c:v>
                </c:pt>
                <c:pt idx="24">
                  <c:v>7.1860926596911296</c:v>
                </c:pt>
                <c:pt idx="25">
                  <c:v>5.5532758192661289</c:v>
                </c:pt>
                <c:pt idx="26">
                  <c:v>12.151116458858102</c:v>
                </c:pt>
                <c:pt idx="27">
                  <c:v>4.3024724145401532</c:v>
                </c:pt>
                <c:pt idx="28">
                  <c:v>8.7282167564598669</c:v>
                </c:pt>
                <c:pt idx="29">
                  <c:v>9.7994950988086753</c:v>
                </c:pt>
                <c:pt idx="30">
                  <c:v>2.65252219683844</c:v>
                </c:pt>
                <c:pt idx="31">
                  <c:v>3.026375884310692</c:v>
                </c:pt>
                <c:pt idx="32">
                  <c:v>2.6439431028424085</c:v>
                </c:pt>
                <c:pt idx="33">
                  <c:v>4.3206465204507758</c:v>
                </c:pt>
                <c:pt idx="34">
                  <c:v>2.4080911163197323</c:v>
                </c:pt>
                <c:pt idx="35">
                  <c:v>2.3835340525401438</c:v>
                </c:pt>
                <c:pt idx="36">
                  <c:v>2.5727400736667989</c:v>
                </c:pt>
                <c:pt idx="37">
                  <c:v>3.0665695739916017</c:v>
                </c:pt>
                <c:pt idx="38">
                  <c:v>3.1306257704870668</c:v>
                </c:pt>
                <c:pt idx="39">
                  <c:v>3.0845340313581371</c:v>
                </c:pt>
                <c:pt idx="40">
                  <c:v>1.7528454070217276</c:v>
                </c:pt>
                <c:pt idx="41">
                  <c:v>4.379225120611598</c:v>
                </c:pt>
                <c:pt idx="42">
                  <c:v>2.7043553998769658</c:v>
                </c:pt>
                <c:pt idx="43">
                  <c:v>3.1336766662291908</c:v>
                </c:pt>
                <c:pt idx="44">
                  <c:v>2.5818008741515057</c:v>
                </c:pt>
                <c:pt idx="45">
                  <c:v>2.8291718029482098</c:v>
                </c:pt>
                <c:pt idx="46">
                  <c:v>3.2194697244006698</c:v>
                </c:pt>
                <c:pt idx="47">
                  <c:v>3.8167542972386639</c:v>
                </c:pt>
                <c:pt idx="48">
                  <c:v>0.45051172403902628</c:v>
                </c:pt>
                <c:pt idx="49">
                  <c:v>0.64291990595211446</c:v>
                </c:pt>
                <c:pt idx="50">
                  <c:v>0.72094308301803467</c:v>
                </c:pt>
                <c:pt idx="51">
                  <c:v>2.223570208948936</c:v>
                </c:pt>
                <c:pt idx="52">
                  <c:v>2.6506808922452847</c:v>
                </c:pt>
                <c:pt idx="53">
                  <c:v>2.9152361081163223</c:v>
                </c:pt>
                <c:pt idx="54">
                  <c:v>3.2020627147203613</c:v>
                </c:pt>
                <c:pt idx="55">
                  <c:v>2.7579546753327984</c:v>
                </c:pt>
                <c:pt idx="56">
                  <c:v>0.64544219092968547</c:v>
                </c:pt>
                <c:pt idx="57">
                  <c:v>0.72708235556765222</c:v>
                </c:pt>
                <c:pt idx="58">
                  <c:v>0.77510124139338188</c:v>
                </c:pt>
                <c:pt idx="59">
                  <c:v>1.3628054535559955</c:v>
                </c:pt>
                <c:pt idx="60">
                  <c:v>1.6402919930647506</c:v>
                </c:pt>
                <c:pt idx="61">
                  <c:v>1.0251946070454769</c:v>
                </c:pt>
                <c:pt idx="62">
                  <c:v>0.7604661332814634</c:v>
                </c:pt>
                <c:pt idx="63">
                  <c:v>0.74801345114095519</c:v>
                </c:pt>
                <c:pt idx="64">
                  <c:v>1.3229069018717858</c:v>
                </c:pt>
                <c:pt idx="65">
                  <c:v>1.3791091799581423</c:v>
                </c:pt>
                <c:pt idx="66">
                  <c:v>1.8851970238319542</c:v>
                </c:pt>
                <c:pt idx="67">
                  <c:v>1.9813205177471718</c:v>
                </c:pt>
                <c:pt idx="68">
                  <c:v>1.323192952316302</c:v>
                </c:pt>
                <c:pt idx="69">
                  <c:v>1.719373266918619</c:v>
                </c:pt>
                <c:pt idx="70">
                  <c:v>0.93098347923699321</c:v>
                </c:pt>
                <c:pt idx="71">
                  <c:v>2.061645213005427</c:v>
                </c:pt>
                <c:pt idx="72">
                  <c:v>2.23497240795359</c:v>
                </c:pt>
                <c:pt idx="73">
                  <c:v>0.4003637137372052</c:v>
                </c:pt>
                <c:pt idx="74">
                  <c:v>0.72209320346228845</c:v>
                </c:pt>
                <c:pt idx="75">
                  <c:v>0.55269962196074995</c:v>
                </c:pt>
                <c:pt idx="76">
                  <c:v>0.35400713029482556</c:v>
                </c:pt>
                <c:pt idx="77">
                  <c:v>0.28422222655498608</c:v>
                </c:pt>
                <c:pt idx="78">
                  <c:v>0.38139751853229464</c:v>
                </c:pt>
                <c:pt idx="79">
                  <c:v>0.22183678562712514</c:v>
                </c:pt>
                <c:pt idx="80">
                  <c:v>0.34731201101837383</c:v>
                </c:pt>
                <c:pt idx="81">
                  <c:v>0.31895092621841215</c:v>
                </c:pt>
                <c:pt idx="82">
                  <c:v>0.33007868171734683</c:v>
                </c:pt>
                <c:pt idx="83">
                  <c:v>0.39986377289270869</c:v>
                </c:pt>
                <c:pt idx="84">
                  <c:v>0.1249637856511434</c:v>
                </c:pt>
                <c:pt idx="85">
                  <c:v>0.25204807092174331</c:v>
                </c:pt>
                <c:pt idx="86">
                  <c:v>0.10285647997261373</c:v>
                </c:pt>
                <c:pt idx="87">
                  <c:v>2.6042826041969894E-2</c:v>
                </c:pt>
                <c:pt idx="88">
                  <c:v>1.2770343033087314E-2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A7-F347-B87C-40A7399163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6165760"/>
        <c:axId val="126167296"/>
      </c:barChart>
      <c:catAx>
        <c:axId val="126165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6167296"/>
        <c:crosses val="autoZero"/>
        <c:auto val="1"/>
        <c:lblAlgn val="ctr"/>
        <c:lblOffset val="100"/>
        <c:noMultiLvlLbl val="0"/>
      </c:catAx>
      <c:valAx>
        <c:axId val="12616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50" b="1"/>
                  <a:t>Induced</a:t>
                </a:r>
                <a:r>
                  <a:rPr lang="de-DE" sz="1050" b="1" baseline="0"/>
                  <a:t> Power [MW]</a:t>
                </a:r>
                <a:endParaRPr lang="de-DE" sz="105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165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200" b="1">
                <a:latin typeface="Arial" panose="020B0604020202020204" pitchFamily="34" charset="0"/>
                <a:cs typeface="Arial" panose="020B0604020202020204" pitchFamily="34" charset="0"/>
              </a:rPr>
              <a:t>CAA WTC</a:t>
            </a:r>
            <a:endParaRPr lang="de-DE" sz="3200" b="1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1348772591438273E-2"/>
          <c:y val="8.273659231884585E-2"/>
          <c:w val="0.89006324058491637"/>
          <c:h val="0.7910058955418536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16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9525">
                <a:noFill/>
                <a:round/>
              </a:ln>
              <a:effectLst/>
            </c:spPr>
          </c:marker>
          <c:xVal>
            <c:numRef>
              <c:f>'Calculation P'!$U$2:$U$90</c:f>
              <c:numCache>
                <c:formatCode>General</c:formatCode>
                <c:ptCount val="89"/>
                <c:pt idx="0">
                  <c:v>20.044459815901106</c:v>
                </c:pt>
                <c:pt idx="1">
                  <c:v>16.710479574920264</c:v>
                </c:pt>
                <c:pt idx="2">
                  <c:v>7.7962568854599263</c:v>
                </c:pt>
                <c:pt idx="3">
                  <c:v>8.1722311164811927</c:v>
                </c:pt>
                <c:pt idx="4">
                  <c:v>8.6152984987865597</c:v>
                </c:pt>
                <c:pt idx="5">
                  <c:v>12.450188358569166</c:v>
                </c:pt>
                <c:pt idx="6">
                  <c:v>13.946003303280705</c:v>
                </c:pt>
                <c:pt idx="7">
                  <c:v>8.1108224012771739</c:v>
                </c:pt>
                <c:pt idx="8">
                  <c:v>15.004716031185913</c:v>
                </c:pt>
                <c:pt idx="9">
                  <c:v>16.601157908711123</c:v>
                </c:pt>
                <c:pt idx="10">
                  <c:v>9.0489822048391861</c:v>
                </c:pt>
                <c:pt idx="11">
                  <c:v>11.794633630668624</c:v>
                </c:pt>
                <c:pt idx="12">
                  <c:v>9.7604692890061173</c:v>
                </c:pt>
                <c:pt idx="13">
                  <c:v>11.627839713583194</c:v>
                </c:pt>
                <c:pt idx="14">
                  <c:v>6.5602976424674955</c:v>
                </c:pt>
                <c:pt idx="15">
                  <c:v>7.776924400262347</c:v>
                </c:pt>
                <c:pt idx="16">
                  <c:v>7.6880534304635795</c:v>
                </c:pt>
                <c:pt idx="17">
                  <c:v>8.2177454459542449</c:v>
                </c:pt>
                <c:pt idx="18">
                  <c:v>6.7484707367906553</c:v>
                </c:pt>
                <c:pt idx="19">
                  <c:v>4.3254529874680196</c:v>
                </c:pt>
                <c:pt idx="20">
                  <c:v>5.275175608307201</c:v>
                </c:pt>
                <c:pt idx="21">
                  <c:v>5.7886766058609496</c:v>
                </c:pt>
                <c:pt idx="22">
                  <c:v>5.8523462732683065</c:v>
                </c:pt>
                <c:pt idx="23">
                  <c:v>6.7633372452043092</c:v>
                </c:pt>
                <c:pt idx="24">
                  <c:v>7.1860926596911296</c:v>
                </c:pt>
                <c:pt idx="25">
                  <c:v>5.5532758192661289</c:v>
                </c:pt>
                <c:pt idx="26">
                  <c:v>12.151116458858102</c:v>
                </c:pt>
                <c:pt idx="27">
                  <c:v>4.3024724145401532</c:v>
                </c:pt>
                <c:pt idx="28">
                  <c:v>8.7282167564598669</c:v>
                </c:pt>
                <c:pt idx="29">
                  <c:v>9.7994950988086753</c:v>
                </c:pt>
                <c:pt idx="30">
                  <c:v>2.65252219683844</c:v>
                </c:pt>
                <c:pt idx="31">
                  <c:v>3.026375884310692</c:v>
                </c:pt>
                <c:pt idx="32">
                  <c:v>2.6439431028424085</c:v>
                </c:pt>
                <c:pt idx="33">
                  <c:v>4.3206465204507758</c:v>
                </c:pt>
                <c:pt idx="34">
                  <c:v>2.4080911163197323</c:v>
                </c:pt>
                <c:pt idx="35">
                  <c:v>2.3835340525401438</c:v>
                </c:pt>
                <c:pt idx="36">
                  <c:v>2.5727400736667989</c:v>
                </c:pt>
                <c:pt idx="37">
                  <c:v>3.0665695739916017</c:v>
                </c:pt>
                <c:pt idx="38">
                  <c:v>3.1306257704870668</c:v>
                </c:pt>
                <c:pt idx="39">
                  <c:v>3.0845340313581371</c:v>
                </c:pt>
                <c:pt idx="40">
                  <c:v>1.7528454070217276</c:v>
                </c:pt>
                <c:pt idx="41">
                  <c:v>4.379225120611598</c:v>
                </c:pt>
                <c:pt idx="42">
                  <c:v>2.7043553998769658</c:v>
                </c:pt>
                <c:pt idx="43">
                  <c:v>3.1336766662291908</c:v>
                </c:pt>
                <c:pt idx="44">
                  <c:v>2.5818008741515057</c:v>
                </c:pt>
                <c:pt idx="45">
                  <c:v>2.8291718029482098</c:v>
                </c:pt>
                <c:pt idx="46">
                  <c:v>3.2194697244006698</c:v>
                </c:pt>
                <c:pt idx="47">
                  <c:v>3.8167542972386639</c:v>
                </c:pt>
                <c:pt idx="48">
                  <c:v>0.45051172403902628</c:v>
                </c:pt>
                <c:pt idx="49">
                  <c:v>0.64291990595211446</c:v>
                </c:pt>
                <c:pt idx="50">
                  <c:v>0.72094308301803467</c:v>
                </c:pt>
                <c:pt idx="51">
                  <c:v>2.223570208948936</c:v>
                </c:pt>
                <c:pt idx="52">
                  <c:v>2.6506808922452847</c:v>
                </c:pt>
                <c:pt idx="53">
                  <c:v>2.9152361081163223</c:v>
                </c:pt>
                <c:pt idx="54">
                  <c:v>3.2020627147203613</c:v>
                </c:pt>
                <c:pt idx="55">
                  <c:v>2.7579546753327984</c:v>
                </c:pt>
                <c:pt idx="56">
                  <c:v>0.64544219092968547</c:v>
                </c:pt>
                <c:pt idx="57">
                  <c:v>0.72708235556765222</c:v>
                </c:pt>
                <c:pt idx="58">
                  <c:v>0.77510124139338188</c:v>
                </c:pt>
                <c:pt idx="59">
                  <c:v>1.3628054535559955</c:v>
                </c:pt>
                <c:pt idx="60">
                  <c:v>1.6402919930647506</c:v>
                </c:pt>
                <c:pt idx="61">
                  <c:v>1.0251946070454769</c:v>
                </c:pt>
                <c:pt idx="62">
                  <c:v>0.7604661332814634</c:v>
                </c:pt>
                <c:pt idx="63">
                  <c:v>0.74801345114095519</c:v>
                </c:pt>
                <c:pt idx="64">
                  <c:v>1.3229069018717858</c:v>
                </c:pt>
                <c:pt idx="65">
                  <c:v>1.3791091799581423</c:v>
                </c:pt>
                <c:pt idx="66">
                  <c:v>1.8851970238319542</c:v>
                </c:pt>
                <c:pt idx="67">
                  <c:v>1.9813205177471718</c:v>
                </c:pt>
                <c:pt idx="68">
                  <c:v>1.323192952316302</c:v>
                </c:pt>
                <c:pt idx="69">
                  <c:v>1.719373266918619</c:v>
                </c:pt>
                <c:pt idx="70">
                  <c:v>0.93098347923699321</c:v>
                </c:pt>
                <c:pt idx="71">
                  <c:v>2.061645213005427</c:v>
                </c:pt>
                <c:pt idx="72">
                  <c:v>2.23497240795359</c:v>
                </c:pt>
                <c:pt idx="73">
                  <c:v>0.4003637137372052</c:v>
                </c:pt>
                <c:pt idx="74">
                  <c:v>0.72209320346228845</c:v>
                </c:pt>
                <c:pt idx="75">
                  <c:v>0.55269962196074995</c:v>
                </c:pt>
                <c:pt idx="76">
                  <c:v>0.35400713029482556</c:v>
                </c:pt>
                <c:pt idx="77">
                  <c:v>0.28422222655498608</c:v>
                </c:pt>
                <c:pt idx="78">
                  <c:v>0.38139751853229464</c:v>
                </c:pt>
                <c:pt idx="79">
                  <c:v>0.22183678562712514</c:v>
                </c:pt>
                <c:pt idx="80">
                  <c:v>0.34731201101837383</c:v>
                </c:pt>
                <c:pt idx="81">
                  <c:v>0.31895092621841215</c:v>
                </c:pt>
                <c:pt idx="82">
                  <c:v>0.33007868171734683</c:v>
                </c:pt>
                <c:pt idx="83">
                  <c:v>0.39986377289270869</c:v>
                </c:pt>
                <c:pt idx="84">
                  <c:v>0.1249637856511434</c:v>
                </c:pt>
                <c:pt idx="85">
                  <c:v>0.25204807092174331</c:v>
                </c:pt>
                <c:pt idx="86">
                  <c:v>0.10285647997261373</c:v>
                </c:pt>
                <c:pt idx="87">
                  <c:v>2.6042826041969894E-2</c:v>
                </c:pt>
                <c:pt idx="88">
                  <c:v>1.2770343033087314E-2</c:v>
                </c:pt>
              </c:numCache>
            </c:numRef>
          </c:xVal>
          <c:yVal>
            <c:numRef>
              <c:f>'Calculation P'!$K$2:$K$90</c:f>
              <c:numCache>
                <c:formatCode>General</c:formatCode>
                <c:ptCount val="89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39-424B-B9A5-5A48062638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206592"/>
        <c:axId val="218209664"/>
      </c:scatterChart>
      <c:valAx>
        <c:axId val="218206592"/>
        <c:scaling>
          <c:orientation val="minMax"/>
          <c:max val="2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3200"/>
                  <a:t>Induced Power [MW]</a:t>
                </a:r>
              </a:p>
            </c:rich>
          </c:tx>
          <c:layout>
            <c:manualLayout>
              <c:xMode val="edge"/>
              <c:yMode val="edge"/>
              <c:x val="0.6579696619005676"/>
              <c:y val="0.79322645600991359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8209664"/>
        <c:crosses val="autoZero"/>
        <c:crossBetween val="midCat"/>
      </c:valAx>
      <c:valAx>
        <c:axId val="218209664"/>
        <c:scaling>
          <c:orientation val="minMax"/>
          <c:max val="6"/>
          <c:min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crossAx val="21820659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29" r="0.70000000000000029" t="0.78740157499999996" header="0.30000000000000016" footer="0.30000000000000016"/>
    <c:pageSetup/>
  </c:printSettings>
  <c:userShapes r:id="rId4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Induced Power During</a:t>
            </a:r>
            <a:r>
              <a:rPr lang="de-DE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Approach (ICAO classification)</a:t>
            </a:r>
            <a:endParaRPr lang="de-DE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C48-7145-87D5-515FA1FDAC11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C48-7145-87D5-515FA1FDAC11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C48-7145-87D5-515FA1FDAC11}"/>
              </c:ext>
            </c:extLst>
          </c:dPt>
          <c:dPt>
            <c:idx val="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C48-7145-87D5-515FA1FDAC11}"/>
              </c:ext>
            </c:extLst>
          </c:dPt>
          <c:dPt>
            <c:idx val="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C48-7145-87D5-515FA1FDAC11}"/>
              </c:ext>
            </c:extLst>
          </c:dPt>
          <c:dPt>
            <c:idx val="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C48-7145-87D5-515FA1FDAC11}"/>
              </c:ext>
            </c:extLst>
          </c:dPt>
          <c:dPt>
            <c:idx val="6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C48-7145-87D5-515FA1FDAC11}"/>
              </c:ext>
            </c:extLst>
          </c:dPt>
          <c:dPt>
            <c:idx val="7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BC48-7145-87D5-515FA1FDAC11}"/>
              </c:ext>
            </c:extLst>
          </c:dPt>
          <c:dPt>
            <c:idx val="8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BC48-7145-87D5-515FA1FDAC11}"/>
              </c:ext>
            </c:extLst>
          </c:dPt>
          <c:dPt>
            <c:idx val="9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BC48-7145-87D5-515FA1FDAC11}"/>
              </c:ext>
            </c:extLst>
          </c:dPt>
          <c:dPt>
            <c:idx val="1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BC48-7145-87D5-515FA1FDAC11}"/>
              </c:ext>
            </c:extLst>
          </c:dPt>
          <c:dPt>
            <c:idx val="1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BC48-7145-87D5-515FA1FDAC11}"/>
              </c:ext>
            </c:extLst>
          </c:dPt>
          <c:dPt>
            <c:idx val="12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BC48-7145-87D5-515FA1FDAC11}"/>
              </c:ext>
            </c:extLst>
          </c:dPt>
          <c:dPt>
            <c:idx val="1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BC48-7145-87D5-515FA1FDAC11}"/>
              </c:ext>
            </c:extLst>
          </c:dPt>
          <c:dPt>
            <c:idx val="1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BC48-7145-87D5-515FA1FDAC11}"/>
              </c:ext>
            </c:extLst>
          </c:dPt>
          <c:dPt>
            <c:idx val="1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BC48-7145-87D5-515FA1FDAC11}"/>
              </c:ext>
            </c:extLst>
          </c:dPt>
          <c:dPt>
            <c:idx val="16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BC48-7145-87D5-515FA1FDAC11}"/>
              </c:ext>
            </c:extLst>
          </c:dPt>
          <c:dPt>
            <c:idx val="17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BC48-7145-87D5-515FA1FDAC11}"/>
              </c:ext>
            </c:extLst>
          </c:dPt>
          <c:dPt>
            <c:idx val="18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4-BC48-7145-87D5-515FA1FDAC11}"/>
              </c:ext>
            </c:extLst>
          </c:dPt>
          <c:dPt>
            <c:idx val="19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BC48-7145-87D5-515FA1FDAC11}"/>
              </c:ext>
            </c:extLst>
          </c:dPt>
          <c:dPt>
            <c:idx val="22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6-BC48-7145-87D5-515FA1FDAC11}"/>
              </c:ext>
            </c:extLst>
          </c:dPt>
          <c:dPt>
            <c:idx val="2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BC48-7145-87D5-515FA1FDAC11}"/>
              </c:ext>
            </c:extLst>
          </c:dPt>
          <c:dPt>
            <c:idx val="2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D-BC48-7145-87D5-515FA1FDAC11}"/>
              </c:ext>
            </c:extLst>
          </c:dPt>
          <c:dPt>
            <c:idx val="2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C-BC48-7145-87D5-515FA1FDAC11}"/>
              </c:ext>
            </c:extLst>
          </c:dPt>
          <c:dPt>
            <c:idx val="26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1-4E7D-154C-B311-DC40B4897D27}"/>
              </c:ext>
            </c:extLst>
          </c:dPt>
          <c:dPt>
            <c:idx val="27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A-BC48-7145-87D5-515FA1FDAC11}"/>
              </c:ext>
            </c:extLst>
          </c:dPt>
          <c:dPt>
            <c:idx val="28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9-BC48-7145-87D5-515FA1FDAC11}"/>
              </c:ext>
            </c:extLst>
          </c:dPt>
          <c:dPt>
            <c:idx val="29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7-4E7D-154C-B311-DC40B4897D27}"/>
              </c:ext>
            </c:extLst>
          </c:dPt>
          <c:dPt>
            <c:idx val="84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9-4E7D-154C-B311-DC40B4897D27}"/>
              </c:ext>
            </c:extLst>
          </c:dPt>
          <c:dPt>
            <c:idx val="86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E-BC48-7145-87D5-515FA1FDAC11}"/>
              </c:ext>
            </c:extLst>
          </c:dPt>
          <c:cat>
            <c:strRef>
              <c:f>('Calculation P'!$B$2:$B$19,'Calculation P'!$B$20:$B$31,'Calculation P'!$B$32:$B$49,'Calculation P'!$B$50:$B$79,'Calculation P'!$B$80:$B$90)</c:f>
              <c:strCache>
                <c:ptCount val="89"/>
                <c:pt idx="0">
                  <c:v>A388</c:v>
                </c:pt>
                <c:pt idx="1">
                  <c:v>A124</c:v>
                </c:pt>
                <c:pt idx="2">
                  <c:v>A332</c:v>
                </c:pt>
                <c:pt idx="3">
                  <c:v>A333</c:v>
                </c:pt>
                <c:pt idx="4">
                  <c:v>A343</c:v>
                </c:pt>
                <c:pt idx="5">
                  <c:v>A345</c:v>
                </c:pt>
                <c:pt idx="6">
                  <c:v>A346</c:v>
                </c:pt>
                <c:pt idx="7">
                  <c:v>A359</c:v>
                </c:pt>
                <c:pt idx="8">
                  <c:v>B744</c:v>
                </c:pt>
                <c:pt idx="9">
                  <c:v>B748</c:v>
                </c:pt>
                <c:pt idx="10">
                  <c:v>B772</c:v>
                </c:pt>
                <c:pt idx="11">
                  <c:v>B773</c:v>
                </c:pt>
                <c:pt idx="12">
                  <c:v>B77L</c:v>
                </c:pt>
                <c:pt idx="13">
                  <c:v>B77W</c:v>
                </c:pt>
                <c:pt idx="14">
                  <c:v>B788</c:v>
                </c:pt>
                <c:pt idx="15">
                  <c:v>B789</c:v>
                </c:pt>
                <c:pt idx="16">
                  <c:v>IL96</c:v>
                </c:pt>
                <c:pt idx="17">
                  <c:v>A306</c:v>
                </c:pt>
                <c:pt idx="18">
                  <c:v>A310</c:v>
                </c:pt>
                <c:pt idx="19">
                  <c:v>B703</c:v>
                </c:pt>
                <c:pt idx="20">
                  <c:v>B752</c:v>
                </c:pt>
                <c:pt idx="21">
                  <c:v>B753</c:v>
                </c:pt>
                <c:pt idx="22">
                  <c:v>B762</c:v>
                </c:pt>
                <c:pt idx="23">
                  <c:v>B763</c:v>
                </c:pt>
                <c:pt idx="24">
                  <c:v>B764</c:v>
                </c:pt>
                <c:pt idx="25">
                  <c:v>C135</c:v>
                </c:pt>
                <c:pt idx="26">
                  <c:v>DC10</c:v>
                </c:pt>
                <c:pt idx="27">
                  <c:v>DC85</c:v>
                </c:pt>
                <c:pt idx="28">
                  <c:v>IL76</c:v>
                </c:pt>
                <c:pt idx="29">
                  <c:v>MD11</c:v>
                </c:pt>
                <c:pt idx="30">
                  <c:v>A318</c:v>
                </c:pt>
                <c:pt idx="31">
                  <c:v>A319</c:v>
                </c:pt>
                <c:pt idx="32">
                  <c:v>A320</c:v>
                </c:pt>
                <c:pt idx="33">
                  <c:v>A321</c:v>
                </c:pt>
                <c:pt idx="34">
                  <c:v>AN12</c:v>
                </c:pt>
                <c:pt idx="35">
                  <c:v>B736</c:v>
                </c:pt>
                <c:pt idx="36">
                  <c:v>B737</c:v>
                </c:pt>
                <c:pt idx="37">
                  <c:v>B738</c:v>
                </c:pt>
                <c:pt idx="38">
                  <c:v>B739</c:v>
                </c:pt>
                <c:pt idx="39">
                  <c:v>C130</c:v>
                </c:pt>
                <c:pt idx="40">
                  <c:v>IL18</c:v>
                </c:pt>
                <c:pt idx="41">
                  <c:v>MD81</c:v>
                </c:pt>
                <c:pt idx="42">
                  <c:v>MD82</c:v>
                </c:pt>
                <c:pt idx="43">
                  <c:v>MD83</c:v>
                </c:pt>
                <c:pt idx="44">
                  <c:v>MD87</c:v>
                </c:pt>
                <c:pt idx="45">
                  <c:v>MD88</c:v>
                </c:pt>
                <c:pt idx="46">
                  <c:v>MD90</c:v>
                </c:pt>
                <c:pt idx="47">
                  <c:v>T204</c:v>
                </c:pt>
                <c:pt idx="48">
                  <c:v>AT43</c:v>
                </c:pt>
                <c:pt idx="49">
                  <c:v>AT45</c:v>
                </c:pt>
                <c:pt idx="50">
                  <c:v>AT72</c:v>
                </c:pt>
                <c:pt idx="51">
                  <c:v>B712</c:v>
                </c:pt>
                <c:pt idx="52">
                  <c:v>B732</c:v>
                </c:pt>
                <c:pt idx="53">
                  <c:v>B733</c:v>
                </c:pt>
                <c:pt idx="54">
                  <c:v>B734</c:v>
                </c:pt>
                <c:pt idx="55">
                  <c:v>B735</c:v>
                </c:pt>
                <c:pt idx="56">
                  <c:v>CL60</c:v>
                </c:pt>
                <c:pt idx="57">
                  <c:v>CRJ1</c:v>
                </c:pt>
                <c:pt idx="58">
                  <c:v>CRJ2</c:v>
                </c:pt>
                <c:pt idx="59">
                  <c:v>CRJ7</c:v>
                </c:pt>
                <c:pt idx="60">
                  <c:v>CRJ9</c:v>
                </c:pt>
                <c:pt idx="61">
                  <c:v>DH8D</c:v>
                </c:pt>
                <c:pt idx="62">
                  <c:v>E135</c:v>
                </c:pt>
                <c:pt idx="63">
                  <c:v>E145</c:v>
                </c:pt>
                <c:pt idx="64">
                  <c:v>E170</c:v>
                </c:pt>
                <c:pt idx="65">
                  <c:v>E175</c:v>
                </c:pt>
                <c:pt idx="66">
                  <c:v>E190</c:v>
                </c:pt>
                <c:pt idx="67">
                  <c:v>E195</c:v>
                </c:pt>
                <c:pt idx="68">
                  <c:v>F70</c:v>
                </c:pt>
                <c:pt idx="69">
                  <c:v>F100</c:v>
                </c:pt>
                <c:pt idx="70">
                  <c:v>GLF4</c:v>
                </c:pt>
                <c:pt idx="71">
                  <c:v>RJ85</c:v>
                </c:pt>
                <c:pt idx="72">
                  <c:v>RJ1H</c:v>
                </c:pt>
                <c:pt idx="73">
                  <c:v>FA10</c:v>
                </c:pt>
                <c:pt idx="74">
                  <c:v>FA20</c:v>
                </c:pt>
                <c:pt idx="75">
                  <c:v>D328</c:v>
                </c:pt>
                <c:pt idx="76">
                  <c:v>E120</c:v>
                </c:pt>
                <c:pt idx="77">
                  <c:v>BE40</c:v>
                </c:pt>
                <c:pt idx="78">
                  <c:v>H25B</c:v>
                </c:pt>
                <c:pt idx="79">
                  <c:v>JS32</c:v>
                </c:pt>
                <c:pt idx="80">
                  <c:v>JS41</c:v>
                </c:pt>
                <c:pt idx="81">
                  <c:v>LJ35</c:v>
                </c:pt>
                <c:pt idx="82">
                  <c:v>LJ60</c:v>
                </c:pt>
                <c:pt idx="83">
                  <c:v>SF34</c:v>
                </c:pt>
                <c:pt idx="84">
                  <c:v>P180</c:v>
                </c:pt>
                <c:pt idx="85">
                  <c:v>C650</c:v>
                </c:pt>
                <c:pt idx="86">
                  <c:v>C525</c:v>
                </c:pt>
                <c:pt idx="87">
                  <c:v>C180</c:v>
                </c:pt>
                <c:pt idx="88">
                  <c:v>C152</c:v>
                </c:pt>
              </c:strCache>
            </c:strRef>
          </c:cat>
          <c:val>
            <c:numRef>
              <c:f>('Calculation P'!$U$2:$U$19,'Calculation P'!$U$20:$U$31,'Calculation P'!$U$32:$U$49,'Calculation P'!$U$50:$U$79,'Calculation P'!$U$80:$U$90)</c:f>
              <c:numCache>
                <c:formatCode>General</c:formatCode>
                <c:ptCount val="89"/>
                <c:pt idx="0">
                  <c:v>20.044459815901106</c:v>
                </c:pt>
                <c:pt idx="1">
                  <c:v>16.710479574920264</c:v>
                </c:pt>
                <c:pt idx="2">
                  <c:v>7.7962568854599263</c:v>
                </c:pt>
                <c:pt idx="3">
                  <c:v>8.1722311164811927</c:v>
                </c:pt>
                <c:pt idx="4">
                  <c:v>8.6152984987865597</c:v>
                </c:pt>
                <c:pt idx="5">
                  <c:v>12.450188358569166</c:v>
                </c:pt>
                <c:pt idx="6">
                  <c:v>13.946003303280705</c:v>
                </c:pt>
                <c:pt idx="7">
                  <c:v>8.1108224012771739</c:v>
                </c:pt>
                <c:pt idx="8">
                  <c:v>15.004716031185913</c:v>
                </c:pt>
                <c:pt idx="9">
                  <c:v>16.601157908711123</c:v>
                </c:pt>
                <c:pt idx="10">
                  <c:v>9.0489822048391861</c:v>
                </c:pt>
                <c:pt idx="11">
                  <c:v>11.794633630668624</c:v>
                </c:pt>
                <c:pt idx="12">
                  <c:v>9.7604692890061173</c:v>
                </c:pt>
                <c:pt idx="13">
                  <c:v>11.627839713583194</c:v>
                </c:pt>
                <c:pt idx="14">
                  <c:v>6.5602976424674955</c:v>
                </c:pt>
                <c:pt idx="15">
                  <c:v>7.776924400262347</c:v>
                </c:pt>
                <c:pt idx="16">
                  <c:v>7.6880534304635795</c:v>
                </c:pt>
                <c:pt idx="17">
                  <c:v>8.2177454459542449</c:v>
                </c:pt>
                <c:pt idx="18">
                  <c:v>6.7484707367906553</c:v>
                </c:pt>
                <c:pt idx="19">
                  <c:v>4.3254529874680196</c:v>
                </c:pt>
                <c:pt idx="20">
                  <c:v>5.275175608307201</c:v>
                </c:pt>
                <c:pt idx="21">
                  <c:v>5.7886766058609496</c:v>
                </c:pt>
                <c:pt idx="22">
                  <c:v>5.8523462732683065</c:v>
                </c:pt>
                <c:pt idx="23">
                  <c:v>6.7633372452043092</c:v>
                </c:pt>
                <c:pt idx="24">
                  <c:v>7.1860926596911296</c:v>
                </c:pt>
                <c:pt idx="25">
                  <c:v>5.5532758192661289</c:v>
                </c:pt>
                <c:pt idx="26">
                  <c:v>12.151116458858102</c:v>
                </c:pt>
                <c:pt idx="27">
                  <c:v>4.3024724145401532</c:v>
                </c:pt>
                <c:pt idx="28">
                  <c:v>8.7282167564598669</c:v>
                </c:pt>
                <c:pt idx="29">
                  <c:v>9.7994950988086753</c:v>
                </c:pt>
                <c:pt idx="30">
                  <c:v>2.65252219683844</c:v>
                </c:pt>
                <c:pt idx="31">
                  <c:v>3.026375884310692</c:v>
                </c:pt>
                <c:pt idx="32">
                  <c:v>2.6439431028424085</c:v>
                </c:pt>
                <c:pt idx="33">
                  <c:v>4.3206465204507758</c:v>
                </c:pt>
                <c:pt idx="34">
                  <c:v>2.4080911163197323</c:v>
                </c:pt>
                <c:pt idx="35">
                  <c:v>2.3835340525401438</c:v>
                </c:pt>
                <c:pt idx="36">
                  <c:v>2.5727400736667989</c:v>
                </c:pt>
                <c:pt idx="37">
                  <c:v>3.0665695739916017</c:v>
                </c:pt>
                <c:pt idx="38">
                  <c:v>3.1306257704870668</c:v>
                </c:pt>
                <c:pt idx="39">
                  <c:v>3.0845340313581371</c:v>
                </c:pt>
                <c:pt idx="40">
                  <c:v>1.7528454070217276</c:v>
                </c:pt>
                <c:pt idx="41">
                  <c:v>4.379225120611598</c:v>
                </c:pt>
                <c:pt idx="42">
                  <c:v>2.7043553998769658</c:v>
                </c:pt>
                <c:pt idx="43">
                  <c:v>3.1336766662291908</c:v>
                </c:pt>
                <c:pt idx="44">
                  <c:v>2.5818008741515057</c:v>
                </c:pt>
                <c:pt idx="45">
                  <c:v>2.8291718029482098</c:v>
                </c:pt>
                <c:pt idx="46">
                  <c:v>3.2194697244006698</c:v>
                </c:pt>
                <c:pt idx="47">
                  <c:v>3.8167542972386639</c:v>
                </c:pt>
                <c:pt idx="48">
                  <c:v>0.45051172403902628</c:v>
                </c:pt>
                <c:pt idx="49">
                  <c:v>0.64291990595211446</c:v>
                </c:pt>
                <c:pt idx="50">
                  <c:v>0.72094308301803467</c:v>
                </c:pt>
                <c:pt idx="51">
                  <c:v>2.223570208948936</c:v>
                </c:pt>
                <c:pt idx="52">
                  <c:v>2.6506808922452847</c:v>
                </c:pt>
                <c:pt idx="53">
                  <c:v>2.9152361081163223</c:v>
                </c:pt>
                <c:pt idx="54">
                  <c:v>3.2020627147203613</c:v>
                </c:pt>
                <c:pt idx="55">
                  <c:v>2.7579546753327984</c:v>
                </c:pt>
                <c:pt idx="56">
                  <c:v>0.64544219092968547</c:v>
                </c:pt>
                <c:pt idx="57">
                  <c:v>0.72708235556765222</c:v>
                </c:pt>
                <c:pt idx="58">
                  <c:v>0.77510124139338188</c:v>
                </c:pt>
                <c:pt idx="59">
                  <c:v>1.3628054535559955</c:v>
                </c:pt>
                <c:pt idx="60">
                  <c:v>1.6402919930647506</c:v>
                </c:pt>
                <c:pt idx="61">
                  <c:v>1.0251946070454769</c:v>
                </c:pt>
                <c:pt idx="62">
                  <c:v>0.7604661332814634</c:v>
                </c:pt>
                <c:pt idx="63">
                  <c:v>0.74801345114095519</c:v>
                </c:pt>
                <c:pt idx="64">
                  <c:v>1.3229069018717858</c:v>
                </c:pt>
                <c:pt idx="65">
                  <c:v>1.3791091799581423</c:v>
                </c:pt>
                <c:pt idx="66">
                  <c:v>1.8851970238319542</c:v>
                </c:pt>
                <c:pt idx="67">
                  <c:v>1.9813205177471718</c:v>
                </c:pt>
                <c:pt idx="68">
                  <c:v>1.323192952316302</c:v>
                </c:pt>
                <c:pt idx="69">
                  <c:v>1.719373266918619</c:v>
                </c:pt>
                <c:pt idx="70">
                  <c:v>0.93098347923699321</c:v>
                </c:pt>
                <c:pt idx="71">
                  <c:v>2.061645213005427</c:v>
                </c:pt>
                <c:pt idx="72">
                  <c:v>2.23497240795359</c:v>
                </c:pt>
                <c:pt idx="73">
                  <c:v>0.4003637137372052</c:v>
                </c:pt>
                <c:pt idx="74">
                  <c:v>0.72209320346228845</c:v>
                </c:pt>
                <c:pt idx="75">
                  <c:v>0.55269962196074995</c:v>
                </c:pt>
                <c:pt idx="76">
                  <c:v>0.35400713029482556</c:v>
                </c:pt>
                <c:pt idx="77">
                  <c:v>0.28422222655498608</c:v>
                </c:pt>
                <c:pt idx="78">
                  <c:v>0.38139751853229464</c:v>
                </c:pt>
                <c:pt idx="79">
                  <c:v>0.22183678562712514</c:v>
                </c:pt>
                <c:pt idx="80">
                  <c:v>0.34731201101837383</c:v>
                </c:pt>
                <c:pt idx="81">
                  <c:v>0.31895092621841215</c:v>
                </c:pt>
                <c:pt idx="82">
                  <c:v>0.33007868171734683</c:v>
                </c:pt>
                <c:pt idx="83">
                  <c:v>0.39986377289270869</c:v>
                </c:pt>
                <c:pt idx="84">
                  <c:v>0.1249637856511434</c:v>
                </c:pt>
                <c:pt idx="85">
                  <c:v>0.25204807092174331</c:v>
                </c:pt>
                <c:pt idx="86">
                  <c:v>0.10285647997261373</c:v>
                </c:pt>
                <c:pt idx="87">
                  <c:v>2.6042826041969894E-2</c:v>
                </c:pt>
                <c:pt idx="88">
                  <c:v>1.2770343033087314E-2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BC48-7145-87D5-515FA1FDAC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6201216"/>
        <c:axId val="126211200"/>
      </c:barChart>
      <c:catAx>
        <c:axId val="126201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6211200"/>
        <c:crosses val="autoZero"/>
        <c:auto val="1"/>
        <c:lblAlgn val="ctr"/>
        <c:lblOffset val="100"/>
        <c:noMultiLvlLbl val="0"/>
      </c:catAx>
      <c:valAx>
        <c:axId val="12621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50" b="1"/>
                  <a:t>Induced</a:t>
                </a:r>
                <a:r>
                  <a:rPr lang="de-DE" sz="1050" b="1" baseline="0"/>
                  <a:t> Power [MW]</a:t>
                </a:r>
                <a:endParaRPr lang="de-DE" sz="105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201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Induced Power During</a:t>
            </a:r>
            <a:r>
              <a:rPr lang="de-DE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Approach (FAA classification)</a:t>
            </a:r>
            <a:endParaRPr lang="de-DE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50-1F44-8611-C45F8FEB20A2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450-1F44-8611-C45F8FEB20A2}"/>
              </c:ext>
            </c:extLst>
          </c:dPt>
          <c:dPt>
            <c:idx val="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450-1F44-8611-C45F8FEB20A2}"/>
              </c:ext>
            </c:extLst>
          </c:dPt>
          <c:dPt>
            <c:idx val="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450-1F44-8611-C45F8FEB20A2}"/>
              </c:ext>
            </c:extLst>
          </c:dPt>
          <c:dPt>
            <c:idx val="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450-1F44-8611-C45F8FEB20A2}"/>
              </c:ext>
            </c:extLst>
          </c:dPt>
          <c:dPt>
            <c:idx val="6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450-1F44-8611-C45F8FEB20A2}"/>
              </c:ext>
            </c:extLst>
          </c:dPt>
          <c:dPt>
            <c:idx val="7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1450-1F44-8611-C45F8FEB20A2}"/>
              </c:ext>
            </c:extLst>
          </c:dPt>
          <c:dPt>
            <c:idx val="8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1450-1F44-8611-C45F8FEB20A2}"/>
              </c:ext>
            </c:extLst>
          </c:dPt>
          <c:dPt>
            <c:idx val="9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1450-1F44-8611-C45F8FEB20A2}"/>
              </c:ext>
            </c:extLst>
          </c:dPt>
          <c:dPt>
            <c:idx val="1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1450-1F44-8611-C45F8FEB20A2}"/>
              </c:ext>
            </c:extLst>
          </c:dPt>
          <c:dPt>
            <c:idx val="1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1450-1F44-8611-C45F8FEB20A2}"/>
              </c:ext>
            </c:extLst>
          </c:dPt>
          <c:dPt>
            <c:idx val="12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1450-1F44-8611-C45F8FEB20A2}"/>
              </c:ext>
            </c:extLst>
          </c:dPt>
          <c:dPt>
            <c:idx val="1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1450-1F44-8611-C45F8FEB20A2}"/>
              </c:ext>
            </c:extLst>
          </c:dPt>
          <c:dPt>
            <c:idx val="1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1450-1F44-8611-C45F8FEB20A2}"/>
              </c:ext>
            </c:extLst>
          </c:dPt>
          <c:dPt>
            <c:idx val="1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1450-1F44-8611-C45F8FEB20A2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2-7484-5249-A62E-6284A69FA559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7484-5249-A62E-6284A69FA559}"/>
              </c:ext>
            </c:extLst>
          </c:dPt>
          <c:dPt>
            <c:idx val="20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0E8D-CC4B-B771-3D3EF300EDAC}"/>
              </c:ext>
            </c:extLst>
          </c:dPt>
          <c:dPt>
            <c:idx val="21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7484-5249-A62E-6284A69FA559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6-7484-5249-A62E-6284A69FA559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7484-5249-A62E-6284A69FA559}"/>
              </c:ext>
            </c:extLst>
          </c:dPt>
          <c:dPt>
            <c:idx val="24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8-7484-5249-A62E-6284A69FA559}"/>
              </c:ext>
            </c:extLst>
          </c:dPt>
          <c:dPt>
            <c:idx val="26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9-7484-5249-A62E-6284A69FA559}"/>
              </c:ext>
            </c:extLst>
          </c:dPt>
          <c:dPt>
            <c:idx val="29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A-7484-5249-A62E-6284A69FA559}"/>
              </c:ext>
            </c:extLst>
          </c:dPt>
          <c:dPt>
            <c:idx val="30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B-7484-5249-A62E-6284A69FA559}"/>
              </c:ext>
            </c:extLst>
          </c:dPt>
          <c:dPt>
            <c:idx val="3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C-7484-5249-A62E-6284A69FA559}"/>
              </c:ext>
            </c:extLst>
          </c:dPt>
          <c:dPt>
            <c:idx val="3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D-7484-5249-A62E-6284A69FA559}"/>
              </c:ext>
            </c:extLst>
          </c:dPt>
          <c:dPt>
            <c:idx val="3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E-7484-5249-A62E-6284A69FA559}"/>
              </c:ext>
            </c:extLst>
          </c:dPt>
          <c:dPt>
            <c:idx val="34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F-7484-5249-A62E-6284A69FA559}"/>
              </c:ext>
            </c:extLst>
          </c:dPt>
          <c:dPt>
            <c:idx val="35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0-7484-5249-A62E-6284A69FA559}"/>
              </c:ext>
            </c:extLst>
          </c:dPt>
          <c:dPt>
            <c:idx val="36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1-7484-5249-A62E-6284A69FA559}"/>
              </c:ext>
            </c:extLst>
          </c:dPt>
          <c:dPt>
            <c:idx val="37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2-7484-5249-A62E-6284A69FA559}"/>
              </c:ext>
            </c:extLst>
          </c:dPt>
          <c:dPt>
            <c:idx val="38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3-7484-5249-A62E-6284A69FA559}"/>
              </c:ext>
            </c:extLst>
          </c:dPt>
          <c:dPt>
            <c:idx val="39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4-7484-5249-A62E-6284A69FA559}"/>
              </c:ext>
            </c:extLst>
          </c:dPt>
          <c:dPt>
            <c:idx val="40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5-7484-5249-A62E-6284A69FA559}"/>
              </c:ext>
            </c:extLst>
          </c:dPt>
          <c:dPt>
            <c:idx val="41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6-7484-5249-A62E-6284A69FA559}"/>
              </c:ext>
            </c:extLst>
          </c:dPt>
          <c:dPt>
            <c:idx val="4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7-7484-5249-A62E-6284A69FA559}"/>
              </c:ext>
            </c:extLst>
          </c:dPt>
          <c:dPt>
            <c:idx val="4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8-7484-5249-A62E-6284A69FA559}"/>
              </c:ext>
            </c:extLst>
          </c:dPt>
          <c:dPt>
            <c:idx val="44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9-7484-5249-A62E-6284A69FA559}"/>
              </c:ext>
            </c:extLst>
          </c:dPt>
          <c:dPt>
            <c:idx val="45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A-7484-5249-A62E-6284A69FA559}"/>
              </c:ext>
            </c:extLst>
          </c:dPt>
          <c:dPt>
            <c:idx val="46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B-7484-5249-A62E-6284A69FA559}"/>
              </c:ext>
            </c:extLst>
          </c:dPt>
          <c:dPt>
            <c:idx val="47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C-7484-5249-A62E-6284A69FA559}"/>
              </c:ext>
            </c:extLst>
          </c:dPt>
          <c:dPt>
            <c:idx val="48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E-7484-5249-A62E-6284A69FA559}"/>
              </c:ext>
            </c:extLst>
          </c:dPt>
          <c:dPt>
            <c:idx val="49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D-7484-5249-A62E-6284A69FA559}"/>
              </c:ext>
            </c:extLst>
          </c:dPt>
          <c:dPt>
            <c:idx val="50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F-7484-5249-A62E-6284A69FA559}"/>
              </c:ext>
            </c:extLst>
          </c:dPt>
          <c:dPt>
            <c:idx val="5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0-7484-5249-A62E-6284A69FA559}"/>
              </c:ext>
            </c:extLst>
          </c:dPt>
          <c:dPt>
            <c:idx val="5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1-7484-5249-A62E-6284A69FA559}"/>
              </c:ext>
            </c:extLst>
          </c:dPt>
          <c:dPt>
            <c:idx val="5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2-7484-5249-A62E-6284A69FA559}"/>
              </c:ext>
            </c:extLst>
          </c:dPt>
          <c:dPt>
            <c:idx val="54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3-7484-5249-A62E-6284A69FA559}"/>
              </c:ext>
            </c:extLst>
          </c:dPt>
          <c:dPt>
            <c:idx val="55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4-7484-5249-A62E-6284A69FA559}"/>
              </c:ext>
            </c:extLst>
          </c:dPt>
          <c:dPt>
            <c:idx val="56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5-7484-5249-A62E-6284A69FA559}"/>
              </c:ext>
            </c:extLst>
          </c:dPt>
          <c:dPt>
            <c:idx val="57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6-7484-5249-A62E-6284A69FA559}"/>
              </c:ext>
            </c:extLst>
          </c:dPt>
          <c:dPt>
            <c:idx val="58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7-7484-5249-A62E-6284A69FA559}"/>
              </c:ext>
            </c:extLst>
          </c:dPt>
          <c:dPt>
            <c:idx val="59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8-7484-5249-A62E-6284A69FA559}"/>
              </c:ext>
            </c:extLst>
          </c:dPt>
          <c:dPt>
            <c:idx val="60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9-7484-5249-A62E-6284A69FA559}"/>
              </c:ext>
            </c:extLst>
          </c:dPt>
          <c:dPt>
            <c:idx val="6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A-7484-5249-A62E-6284A69FA559}"/>
              </c:ext>
            </c:extLst>
          </c:dPt>
          <c:dPt>
            <c:idx val="62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B-7484-5249-A62E-6284A69FA559}"/>
              </c:ext>
            </c:extLst>
          </c:dPt>
          <c:dPt>
            <c:idx val="63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C-7484-5249-A62E-6284A69FA559}"/>
              </c:ext>
            </c:extLst>
          </c:dPt>
          <c:dPt>
            <c:idx val="64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D-7484-5249-A62E-6284A69FA559}"/>
              </c:ext>
            </c:extLst>
          </c:dPt>
          <c:dPt>
            <c:idx val="65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E-7484-5249-A62E-6284A69FA559}"/>
              </c:ext>
            </c:extLst>
          </c:dPt>
          <c:dPt>
            <c:idx val="66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F-7484-5249-A62E-6284A69FA559}"/>
              </c:ext>
            </c:extLst>
          </c:dPt>
          <c:dPt>
            <c:idx val="67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0-7484-5249-A62E-6284A69FA559}"/>
              </c:ext>
            </c:extLst>
          </c:dPt>
          <c:dPt>
            <c:idx val="68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1-7484-5249-A62E-6284A69FA559}"/>
              </c:ext>
            </c:extLst>
          </c:dPt>
          <c:dPt>
            <c:idx val="69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2-7484-5249-A62E-6284A69FA559}"/>
              </c:ext>
            </c:extLst>
          </c:dPt>
          <c:dPt>
            <c:idx val="70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3-7484-5249-A62E-6284A69FA559}"/>
              </c:ext>
            </c:extLst>
          </c:dPt>
          <c:dPt>
            <c:idx val="71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4-7484-5249-A62E-6284A69FA559}"/>
              </c:ext>
            </c:extLst>
          </c:dPt>
          <c:dPt>
            <c:idx val="7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5-7484-5249-A62E-6284A69FA559}"/>
              </c:ext>
            </c:extLst>
          </c:dPt>
          <c:dPt>
            <c:idx val="7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6-7484-5249-A62E-6284A69FA559}"/>
              </c:ext>
            </c:extLst>
          </c:dPt>
          <c:dPt>
            <c:idx val="74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7-7484-5249-A62E-6284A69FA559}"/>
              </c:ext>
            </c:extLst>
          </c:dPt>
          <c:dPt>
            <c:idx val="75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8-7484-5249-A62E-6284A69FA559}"/>
              </c:ext>
            </c:extLst>
          </c:dPt>
          <c:dPt>
            <c:idx val="7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9-7484-5249-A62E-6284A69FA559}"/>
              </c:ext>
            </c:extLst>
          </c:dPt>
          <c:dPt>
            <c:idx val="77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A-7484-5249-A62E-6284A69FA559}"/>
              </c:ext>
            </c:extLst>
          </c:dPt>
          <c:dPt>
            <c:idx val="78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B-7484-5249-A62E-6284A69FA559}"/>
              </c:ext>
            </c:extLst>
          </c:dPt>
          <c:dPt>
            <c:idx val="79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C-7484-5249-A62E-6284A69FA559}"/>
              </c:ext>
            </c:extLst>
          </c:dPt>
          <c:dPt>
            <c:idx val="80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D-7484-5249-A62E-6284A69FA559}"/>
              </c:ext>
            </c:extLst>
          </c:dPt>
          <c:dPt>
            <c:idx val="81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E-7484-5249-A62E-6284A69FA559}"/>
              </c:ext>
            </c:extLst>
          </c:dPt>
          <c:dPt>
            <c:idx val="82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F-7484-5249-A62E-6284A69FA559}"/>
              </c:ext>
            </c:extLst>
          </c:dPt>
          <c:dPt>
            <c:idx val="83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60-7484-5249-A62E-6284A69FA559}"/>
              </c:ext>
            </c:extLst>
          </c:dPt>
          <c:dPt>
            <c:idx val="85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A1-0E8D-CC4B-B771-3D3EF300EDAC}"/>
              </c:ext>
            </c:extLst>
          </c:dPt>
          <c:cat>
            <c:strRef>
              <c:f>('Calculation P'!$B$2:$B$19,'Calculation P'!$B$20:$B$31,'Calculation P'!$B$32:$B$49,'Calculation P'!$B$50:$B$79,'Calculation P'!$B$80:$B$90)</c:f>
              <c:strCache>
                <c:ptCount val="89"/>
                <c:pt idx="0">
                  <c:v>A388</c:v>
                </c:pt>
                <c:pt idx="1">
                  <c:v>A124</c:v>
                </c:pt>
                <c:pt idx="2">
                  <c:v>A332</c:v>
                </c:pt>
                <c:pt idx="3">
                  <c:v>A333</c:v>
                </c:pt>
                <c:pt idx="4">
                  <c:v>A343</c:v>
                </c:pt>
                <c:pt idx="5">
                  <c:v>A345</c:v>
                </c:pt>
                <c:pt idx="6">
                  <c:v>A346</c:v>
                </c:pt>
                <c:pt idx="7">
                  <c:v>A359</c:v>
                </c:pt>
                <c:pt idx="8">
                  <c:v>B744</c:v>
                </c:pt>
                <c:pt idx="9">
                  <c:v>B748</c:v>
                </c:pt>
                <c:pt idx="10">
                  <c:v>B772</c:v>
                </c:pt>
                <c:pt idx="11">
                  <c:v>B773</c:v>
                </c:pt>
                <c:pt idx="12">
                  <c:v>B77L</c:v>
                </c:pt>
                <c:pt idx="13">
                  <c:v>B77W</c:v>
                </c:pt>
                <c:pt idx="14">
                  <c:v>B788</c:v>
                </c:pt>
                <c:pt idx="15">
                  <c:v>B789</c:v>
                </c:pt>
                <c:pt idx="16">
                  <c:v>IL96</c:v>
                </c:pt>
                <c:pt idx="17">
                  <c:v>A306</c:v>
                </c:pt>
                <c:pt idx="18">
                  <c:v>A310</c:v>
                </c:pt>
                <c:pt idx="19">
                  <c:v>B703</c:v>
                </c:pt>
                <c:pt idx="20">
                  <c:v>B752</c:v>
                </c:pt>
                <c:pt idx="21">
                  <c:v>B753</c:v>
                </c:pt>
                <c:pt idx="22">
                  <c:v>B762</c:v>
                </c:pt>
                <c:pt idx="23">
                  <c:v>B763</c:v>
                </c:pt>
                <c:pt idx="24">
                  <c:v>B764</c:v>
                </c:pt>
                <c:pt idx="25">
                  <c:v>C135</c:v>
                </c:pt>
                <c:pt idx="26">
                  <c:v>DC10</c:v>
                </c:pt>
                <c:pt idx="27">
                  <c:v>DC85</c:v>
                </c:pt>
                <c:pt idx="28">
                  <c:v>IL76</c:v>
                </c:pt>
                <c:pt idx="29">
                  <c:v>MD11</c:v>
                </c:pt>
                <c:pt idx="30">
                  <c:v>A318</c:v>
                </c:pt>
                <c:pt idx="31">
                  <c:v>A319</c:v>
                </c:pt>
                <c:pt idx="32">
                  <c:v>A320</c:v>
                </c:pt>
                <c:pt idx="33">
                  <c:v>A321</c:v>
                </c:pt>
                <c:pt idx="34">
                  <c:v>AN12</c:v>
                </c:pt>
                <c:pt idx="35">
                  <c:v>B736</c:v>
                </c:pt>
                <c:pt idx="36">
                  <c:v>B737</c:v>
                </c:pt>
                <c:pt idx="37">
                  <c:v>B738</c:v>
                </c:pt>
                <c:pt idx="38">
                  <c:v>B739</c:v>
                </c:pt>
                <c:pt idx="39">
                  <c:v>C130</c:v>
                </c:pt>
                <c:pt idx="40">
                  <c:v>IL18</c:v>
                </c:pt>
                <c:pt idx="41">
                  <c:v>MD81</c:v>
                </c:pt>
                <c:pt idx="42">
                  <c:v>MD82</c:v>
                </c:pt>
                <c:pt idx="43">
                  <c:v>MD83</c:v>
                </c:pt>
                <c:pt idx="44">
                  <c:v>MD87</c:v>
                </c:pt>
                <c:pt idx="45">
                  <c:v>MD88</c:v>
                </c:pt>
                <c:pt idx="46">
                  <c:v>MD90</c:v>
                </c:pt>
                <c:pt idx="47">
                  <c:v>T204</c:v>
                </c:pt>
                <c:pt idx="48">
                  <c:v>AT43</c:v>
                </c:pt>
                <c:pt idx="49">
                  <c:v>AT45</c:v>
                </c:pt>
                <c:pt idx="50">
                  <c:v>AT72</c:v>
                </c:pt>
                <c:pt idx="51">
                  <c:v>B712</c:v>
                </c:pt>
                <c:pt idx="52">
                  <c:v>B732</c:v>
                </c:pt>
                <c:pt idx="53">
                  <c:v>B733</c:v>
                </c:pt>
                <c:pt idx="54">
                  <c:v>B734</c:v>
                </c:pt>
                <c:pt idx="55">
                  <c:v>B735</c:v>
                </c:pt>
                <c:pt idx="56">
                  <c:v>CL60</c:v>
                </c:pt>
                <c:pt idx="57">
                  <c:v>CRJ1</c:v>
                </c:pt>
                <c:pt idx="58">
                  <c:v>CRJ2</c:v>
                </c:pt>
                <c:pt idx="59">
                  <c:v>CRJ7</c:v>
                </c:pt>
                <c:pt idx="60">
                  <c:v>CRJ9</c:v>
                </c:pt>
                <c:pt idx="61">
                  <c:v>DH8D</c:v>
                </c:pt>
                <c:pt idx="62">
                  <c:v>E135</c:v>
                </c:pt>
                <c:pt idx="63">
                  <c:v>E145</c:v>
                </c:pt>
                <c:pt idx="64">
                  <c:v>E170</c:v>
                </c:pt>
                <c:pt idx="65">
                  <c:v>E175</c:v>
                </c:pt>
                <c:pt idx="66">
                  <c:v>E190</c:v>
                </c:pt>
                <c:pt idx="67">
                  <c:v>E195</c:v>
                </c:pt>
                <c:pt idx="68">
                  <c:v>F70</c:v>
                </c:pt>
                <c:pt idx="69">
                  <c:v>F100</c:v>
                </c:pt>
                <c:pt idx="70">
                  <c:v>GLF4</c:v>
                </c:pt>
                <c:pt idx="71">
                  <c:v>RJ85</c:v>
                </c:pt>
                <c:pt idx="72">
                  <c:v>RJ1H</c:v>
                </c:pt>
                <c:pt idx="73">
                  <c:v>FA10</c:v>
                </c:pt>
                <c:pt idx="74">
                  <c:v>FA20</c:v>
                </c:pt>
                <c:pt idx="75">
                  <c:v>D328</c:v>
                </c:pt>
                <c:pt idx="76">
                  <c:v>E120</c:v>
                </c:pt>
                <c:pt idx="77">
                  <c:v>BE40</c:v>
                </c:pt>
                <c:pt idx="78">
                  <c:v>H25B</c:v>
                </c:pt>
                <c:pt idx="79">
                  <c:v>JS32</c:v>
                </c:pt>
                <c:pt idx="80">
                  <c:v>JS41</c:v>
                </c:pt>
                <c:pt idx="81">
                  <c:v>LJ35</c:v>
                </c:pt>
                <c:pt idx="82">
                  <c:v>LJ60</c:v>
                </c:pt>
                <c:pt idx="83">
                  <c:v>SF34</c:v>
                </c:pt>
                <c:pt idx="84">
                  <c:v>P180</c:v>
                </c:pt>
                <c:pt idx="85">
                  <c:v>C650</c:v>
                </c:pt>
                <c:pt idx="86">
                  <c:v>C525</c:v>
                </c:pt>
                <c:pt idx="87">
                  <c:v>C180</c:v>
                </c:pt>
                <c:pt idx="88">
                  <c:v>C152</c:v>
                </c:pt>
              </c:strCache>
            </c:strRef>
          </c:cat>
          <c:val>
            <c:numRef>
              <c:f>('Calculation P'!$U$2:$U$19,'Calculation P'!$U$20:$U$31,'Calculation P'!$U$32:$U$49,'Calculation P'!$U$50:$U$79,'Calculation P'!$U$80:$U$90)</c:f>
              <c:numCache>
                <c:formatCode>General</c:formatCode>
                <c:ptCount val="89"/>
                <c:pt idx="0">
                  <c:v>20.044459815901106</c:v>
                </c:pt>
                <c:pt idx="1">
                  <c:v>16.710479574920264</c:v>
                </c:pt>
                <c:pt idx="2">
                  <c:v>7.7962568854599263</c:v>
                </c:pt>
                <c:pt idx="3">
                  <c:v>8.1722311164811927</c:v>
                </c:pt>
                <c:pt idx="4">
                  <c:v>8.6152984987865597</c:v>
                </c:pt>
                <c:pt idx="5">
                  <c:v>12.450188358569166</c:v>
                </c:pt>
                <c:pt idx="6">
                  <c:v>13.946003303280705</c:v>
                </c:pt>
                <c:pt idx="7">
                  <c:v>8.1108224012771739</c:v>
                </c:pt>
                <c:pt idx="8">
                  <c:v>15.004716031185913</c:v>
                </c:pt>
                <c:pt idx="9">
                  <c:v>16.601157908711123</c:v>
                </c:pt>
                <c:pt idx="10">
                  <c:v>9.0489822048391861</c:v>
                </c:pt>
                <c:pt idx="11">
                  <c:v>11.794633630668624</c:v>
                </c:pt>
                <c:pt idx="12">
                  <c:v>9.7604692890061173</c:v>
                </c:pt>
                <c:pt idx="13">
                  <c:v>11.627839713583194</c:v>
                </c:pt>
                <c:pt idx="14">
                  <c:v>6.5602976424674955</c:v>
                </c:pt>
                <c:pt idx="15">
                  <c:v>7.776924400262347</c:v>
                </c:pt>
                <c:pt idx="16">
                  <c:v>7.6880534304635795</c:v>
                </c:pt>
                <c:pt idx="17">
                  <c:v>8.2177454459542449</c:v>
                </c:pt>
                <c:pt idx="18">
                  <c:v>6.7484707367906553</c:v>
                </c:pt>
                <c:pt idx="19">
                  <c:v>4.3254529874680196</c:v>
                </c:pt>
                <c:pt idx="20">
                  <c:v>5.275175608307201</c:v>
                </c:pt>
                <c:pt idx="21">
                  <c:v>5.7886766058609496</c:v>
                </c:pt>
                <c:pt idx="22">
                  <c:v>5.8523462732683065</c:v>
                </c:pt>
                <c:pt idx="23">
                  <c:v>6.7633372452043092</c:v>
                </c:pt>
                <c:pt idx="24">
                  <c:v>7.1860926596911296</c:v>
                </c:pt>
                <c:pt idx="25">
                  <c:v>5.5532758192661289</c:v>
                </c:pt>
                <c:pt idx="26">
                  <c:v>12.151116458858102</c:v>
                </c:pt>
                <c:pt idx="27">
                  <c:v>4.3024724145401532</c:v>
                </c:pt>
                <c:pt idx="28">
                  <c:v>8.7282167564598669</c:v>
                </c:pt>
                <c:pt idx="29">
                  <c:v>9.7994950988086753</c:v>
                </c:pt>
                <c:pt idx="30">
                  <c:v>2.65252219683844</c:v>
                </c:pt>
                <c:pt idx="31">
                  <c:v>3.026375884310692</c:v>
                </c:pt>
                <c:pt idx="32">
                  <c:v>2.6439431028424085</c:v>
                </c:pt>
                <c:pt idx="33">
                  <c:v>4.3206465204507758</c:v>
                </c:pt>
                <c:pt idx="34">
                  <c:v>2.4080911163197323</c:v>
                </c:pt>
                <c:pt idx="35">
                  <c:v>2.3835340525401438</c:v>
                </c:pt>
                <c:pt idx="36">
                  <c:v>2.5727400736667989</c:v>
                </c:pt>
                <c:pt idx="37">
                  <c:v>3.0665695739916017</c:v>
                </c:pt>
                <c:pt idx="38">
                  <c:v>3.1306257704870668</c:v>
                </c:pt>
                <c:pt idx="39">
                  <c:v>3.0845340313581371</c:v>
                </c:pt>
                <c:pt idx="40">
                  <c:v>1.7528454070217276</c:v>
                </c:pt>
                <c:pt idx="41">
                  <c:v>4.379225120611598</c:v>
                </c:pt>
                <c:pt idx="42">
                  <c:v>2.7043553998769658</c:v>
                </c:pt>
                <c:pt idx="43">
                  <c:v>3.1336766662291908</c:v>
                </c:pt>
                <c:pt idx="44">
                  <c:v>2.5818008741515057</c:v>
                </c:pt>
                <c:pt idx="45">
                  <c:v>2.8291718029482098</c:v>
                </c:pt>
                <c:pt idx="46">
                  <c:v>3.2194697244006698</c:v>
                </c:pt>
                <c:pt idx="47">
                  <c:v>3.8167542972386639</c:v>
                </c:pt>
                <c:pt idx="48">
                  <c:v>0.45051172403902628</c:v>
                </c:pt>
                <c:pt idx="49">
                  <c:v>0.64291990595211446</c:v>
                </c:pt>
                <c:pt idx="50">
                  <c:v>0.72094308301803467</c:v>
                </c:pt>
                <c:pt idx="51">
                  <c:v>2.223570208948936</c:v>
                </c:pt>
                <c:pt idx="52">
                  <c:v>2.6506808922452847</c:v>
                </c:pt>
                <c:pt idx="53">
                  <c:v>2.9152361081163223</c:v>
                </c:pt>
                <c:pt idx="54">
                  <c:v>3.2020627147203613</c:v>
                </c:pt>
                <c:pt idx="55">
                  <c:v>2.7579546753327984</c:v>
                </c:pt>
                <c:pt idx="56">
                  <c:v>0.64544219092968547</c:v>
                </c:pt>
                <c:pt idx="57">
                  <c:v>0.72708235556765222</c:v>
                </c:pt>
                <c:pt idx="58">
                  <c:v>0.77510124139338188</c:v>
                </c:pt>
                <c:pt idx="59">
                  <c:v>1.3628054535559955</c:v>
                </c:pt>
                <c:pt idx="60">
                  <c:v>1.6402919930647506</c:v>
                </c:pt>
                <c:pt idx="61">
                  <c:v>1.0251946070454769</c:v>
                </c:pt>
                <c:pt idx="62">
                  <c:v>0.7604661332814634</c:v>
                </c:pt>
                <c:pt idx="63">
                  <c:v>0.74801345114095519</c:v>
                </c:pt>
                <c:pt idx="64">
                  <c:v>1.3229069018717858</c:v>
                </c:pt>
                <c:pt idx="65">
                  <c:v>1.3791091799581423</c:v>
                </c:pt>
                <c:pt idx="66">
                  <c:v>1.8851970238319542</c:v>
                </c:pt>
                <c:pt idx="67">
                  <c:v>1.9813205177471718</c:v>
                </c:pt>
                <c:pt idx="68">
                  <c:v>1.323192952316302</c:v>
                </c:pt>
                <c:pt idx="69">
                  <c:v>1.719373266918619</c:v>
                </c:pt>
                <c:pt idx="70">
                  <c:v>0.93098347923699321</c:v>
                </c:pt>
                <c:pt idx="71">
                  <c:v>2.061645213005427</c:v>
                </c:pt>
                <c:pt idx="72">
                  <c:v>2.23497240795359</c:v>
                </c:pt>
                <c:pt idx="73">
                  <c:v>0.4003637137372052</c:v>
                </c:pt>
                <c:pt idx="74">
                  <c:v>0.72209320346228845</c:v>
                </c:pt>
                <c:pt idx="75">
                  <c:v>0.55269962196074995</c:v>
                </c:pt>
                <c:pt idx="76">
                  <c:v>0.35400713029482556</c:v>
                </c:pt>
                <c:pt idx="77">
                  <c:v>0.28422222655498608</c:v>
                </c:pt>
                <c:pt idx="78">
                  <c:v>0.38139751853229464</c:v>
                </c:pt>
                <c:pt idx="79">
                  <c:v>0.22183678562712514</c:v>
                </c:pt>
                <c:pt idx="80">
                  <c:v>0.34731201101837383</c:v>
                </c:pt>
                <c:pt idx="81">
                  <c:v>0.31895092621841215</c:v>
                </c:pt>
                <c:pt idx="82">
                  <c:v>0.33007868171734683</c:v>
                </c:pt>
                <c:pt idx="83">
                  <c:v>0.39986377289270869</c:v>
                </c:pt>
                <c:pt idx="84">
                  <c:v>0.1249637856511434</c:v>
                </c:pt>
                <c:pt idx="85">
                  <c:v>0.25204807092174331</c:v>
                </c:pt>
                <c:pt idx="86">
                  <c:v>0.10285647997261373</c:v>
                </c:pt>
                <c:pt idx="87">
                  <c:v>2.6042826041969894E-2</c:v>
                </c:pt>
                <c:pt idx="88">
                  <c:v>1.2770343033087314E-2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1450-1F44-8611-C45F8FEB20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6539264"/>
        <c:axId val="126540800"/>
      </c:barChart>
      <c:catAx>
        <c:axId val="126539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6540800"/>
        <c:crosses val="autoZero"/>
        <c:auto val="1"/>
        <c:lblAlgn val="ctr"/>
        <c:lblOffset val="100"/>
        <c:noMultiLvlLbl val="0"/>
      </c:catAx>
      <c:valAx>
        <c:axId val="12654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50" b="1"/>
                  <a:t>Induced</a:t>
                </a:r>
                <a:r>
                  <a:rPr lang="de-DE" sz="1050" b="1" baseline="0"/>
                  <a:t> Power [MW]</a:t>
                </a:r>
                <a:endParaRPr lang="de-DE" sz="105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539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Induced</a:t>
            </a:r>
            <a:r>
              <a:rPr lang="de-DE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Power During Aprroached (descending order)</a:t>
            </a:r>
            <a:endParaRPr lang="de-DE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Sorted!$B$2:$B$90</c:f>
              <c:strCache>
                <c:ptCount val="89"/>
                <c:pt idx="0">
                  <c:v>A388</c:v>
                </c:pt>
                <c:pt idx="1">
                  <c:v>A124</c:v>
                </c:pt>
                <c:pt idx="2">
                  <c:v>B748</c:v>
                </c:pt>
                <c:pt idx="3">
                  <c:v>B744</c:v>
                </c:pt>
                <c:pt idx="4">
                  <c:v>A346</c:v>
                </c:pt>
                <c:pt idx="5">
                  <c:v>A345</c:v>
                </c:pt>
                <c:pt idx="6">
                  <c:v>DC10</c:v>
                </c:pt>
                <c:pt idx="7">
                  <c:v>B773</c:v>
                </c:pt>
                <c:pt idx="8">
                  <c:v>B77W</c:v>
                </c:pt>
                <c:pt idx="9">
                  <c:v>MD11</c:v>
                </c:pt>
                <c:pt idx="10">
                  <c:v>B77L</c:v>
                </c:pt>
                <c:pt idx="11">
                  <c:v>B772</c:v>
                </c:pt>
                <c:pt idx="12">
                  <c:v>IL76</c:v>
                </c:pt>
                <c:pt idx="13">
                  <c:v>A343</c:v>
                </c:pt>
                <c:pt idx="14">
                  <c:v>A333</c:v>
                </c:pt>
                <c:pt idx="15">
                  <c:v>A359</c:v>
                </c:pt>
                <c:pt idx="16">
                  <c:v>A306</c:v>
                </c:pt>
                <c:pt idx="17">
                  <c:v>A332</c:v>
                </c:pt>
                <c:pt idx="18">
                  <c:v>B789</c:v>
                </c:pt>
                <c:pt idx="19">
                  <c:v>IL96</c:v>
                </c:pt>
                <c:pt idx="20">
                  <c:v>B764</c:v>
                </c:pt>
                <c:pt idx="21">
                  <c:v>B763</c:v>
                </c:pt>
                <c:pt idx="22">
                  <c:v>A310</c:v>
                </c:pt>
                <c:pt idx="23">
                  <c:v>B788</c:v>
                </c:pt>
                <c:pt idx="24">
                  <c:v>B762</c:v>
                </c:pt>
                <c:pt idx="25">
                  <c:v>B753</c:v>
                </c:pt>
                <c:pt idx="26">
                  <c:v>C135</c:v>
                </c:pt>
                <c:pt idx="27">
                  <c:v>B752</c:v>
                </c:pt>
                <c:pt idx="28">
                  <c:v>B703</c:v>
                </c:pt>
                <c:pt idx="29">
                  <c:v>A321</c:v>
                </c:pt>
                <c:pt idx="30">
                  <c:v>DC85</c:v>
                </c:pt>
                <c:pt idx="31">
                  <c:v>T204</c:v>
                </c:pt>
                <c:pt idx="32">
                  <c:v>B734</c:v>
                </c:pt>
                <c:pt idx="33">
                  <c:v>B739</c:v>
                </c:pt>
                <c:pt idx="34">
                  <c:v>C130</c:v>
                </c:pt>
                <c:pt idx="35">
                  <c:v>B738</c:v>
                </c:pt>
                <c:pt idx="36">
                  <c:v>A319</c:v>
                </c:pt>
                <c:pt idx="37">
                  <c:v>B733</c:v>
                </c:pt>
                <c:pt idx="38">
                  <c:v>B735</c:v>
                </c:pt>
                <c:pt idx="39">
                  <c:v>A320</c:v>
                </c:pt>
                <c:pt idx="40">
                  <c:v>A318</c:v>
                </c:pt>
                <c:pt idx="41">
                  <c:v>B732</c:v>
                </c:pt>
                <c:pt idx="42">
                  <c:v>B737</c:v>
                </c:pt>
                <c:pt idx="43">
                  <c:v>AN12</c:v>
                </c:pt>
                <c:pt idx="44">
                  <c:v>B736</c:v>
                </c:pt>
                <c:pt idx="45">
                  <c:v>RJ1H</c:v>
                </c:pt>
                <c:pt idx="46">
                  <c:v>B712</c:v>
                </c:pt>
                <c:pt idx="47">
                  <c:v>RJ85</c:v>
                </c:pt>
                <c:pt idx="48">
                  <c:v>E195</c:v>
                </c:pt>
                <c:pt idx="49">
                  <c:v>E190</c:v>
                </c:pt>
                <c:pt idx="50">
                  <c:v>F100</c:v>
                </c:pt>
                <c:pt idx="51">
                  <c:v>IL18</c:v>
                </c:pt>
                <c:pt idx="52">
                  <c:v>MD90</c:v>
                </c:pt>
                <c:pt idx="53">
                  <c:v>CRJ9</c:v>
                </c:pt>
                <c:pt idx="54">
                  <c:v>MD83</c:v>
                </c:pt>
                <c:pt idx="55">
                  <c:v>F70</c:v>
                </c:pt>
                <c:pt idx="56">
                  <c:v>MD81</c:v>
                </c:pt>
                <c:pt idx="57">
                  <c:v>MD88</c:v>
                </c:pt>
                <c:pt idx="58">
                  <c:v>MD82</c:v>
                </c:pt>
                <c:pt idx="59">
                  <c:v>E175</c:v>
                </c:pt>
                <c:pt idx="60">
                  <c:v>CRJ7</c:v>
                </c:pt>
                <c:pt idx="61">
                  <c:v>MD87</c:v>
                </c:pt>
                <c:pt idx="62">
                  <c:v>E170</c:v>
                </c:pt>
                <c:pt idx="63">
                  <c:v>DH8D</c:v>
                </c:pt>
                <c:pt idx="64">
                  <c:v>GLF4</c:v>
                </c:pt>
                <c:pt idx="65">
                  <c:v>CRJ2</c:v>
                </c:pt>
                <c:pt idx="66">
                  <c:v>E135</c:v>
                </c:pt>
                <c:pt idx="67">
                  <c:v>E145</c:v>
                </c:pt>
                <c:pt idx="68">
                  <c:v>CRJ1</c:v>
                </c:pt>
                <c:pt idx="69">
                  <c:v>AT72</c:v>
                </c:pt>
                <c:pt idx="70">
                  <c:v>FA20</c:v>
                </c:pt>
                <c:pt idx="71">
                  <c:v>CL60</c:v>
                </c:pt>
                <c:pt idx="72">
                  <c:v>AT45</c:v>
                </c:pt>
                <c:pt idx="73">
                  <c:v>D328</c:v>
                </c:pt>
                <c:pt idx="74">
                  <c:v>AT43</c:v>
                </c:pt>
                <c:pt idx="75">
                  <c:v>FA10</c:v>
                </c:pt>
                <c:pt idx="76">
                  <c:v>SF34</c:v>
                </c:pt>
                <c:pt idx="77">
                  <c:v>H25B</c:v>
                </c:pt>
                <c:pt idx="78">
                  <c:v>E120</c:v>
                </c:pt>
                <c:pt idx="79">
                  <c:v>JS41</c:v>
                </c:pt>
                <c:pt idx="80">
                  <c:v>LJ60</c:v>
                </c:pt>
                <c:pt idx="81">
                  <c:v>LJ35</c:v>
                </c:pt>
                <c:pt idx="82">
                  <c:v>BE40</c:v>
                </c:pt>
                <c:pt idx="83">
                  <c:v>C650</c:v>
                </c:pt>
                <c:pt idx="84">
                  <c:v>JS32</c:v>
                </c:pt>
                <c:pt idx="85">
                  <c:v>P180</c:v>
                </c:pt>
                <c:pt idx="86">
                  <c:v>C525</c:v>
                </c:pt>
                <c:pt idx="87">
                  <c:v>C180</c:v>
                </c:pt>
                <c:pt idx="88">
                  <c:v>C152</c:v>
                </c:pt>
              </c:strCache>
            </c:strRef>
          </c:cat>
          <c:val>
            <c:numRef>
              <c:f>Sorted!$I$2:$I$90</c:f>
              <c:numCache>
                <c:formatCode>General</c:formatCode>
                <c:ptCount val="89"/>
                <c:pt idx="0">
                  <c:v>20.044459799999998</c:v>
                </c:pt>
                <c:pt idx="1">
                  <c:v>16.710479599999999</c:v>
                </c:pt>
                <c:pt idx="2">
                  <c:v>16.6011579</c:v>
                </c:pt>
                <c:pt idx="3">
                  <c:v>15.004716</c:v>
                </c:pt>
                <c:pt idx="4">
                  <c:v>13.946003299999999</c:v>
                </c:pt>
                <c:pt idx="5">
                  <c:v>12.4501884</c:v>
                </c:pt>
                <c:pt idx="6">
                  <c:v>12.151116500000001</c:v>
                </c:pt>
                <c:pt idx="7">
                  <c:v>11.794633599999999</c:v>
                </c:pt>
                <c:pt idx="8">
                  <c:v>11.627839699999999</c:v>
                </c:pt>
                <c:pt idx="9">
                  <c:v>9.7994950999999997</c:v>
                </c:pt>
                <c:pt idx="10">
                  <c:v>9.7604692899999996</c:v>
                </c:pt>
                <c:pt idx="11">
                  <c:v>9.0489821999999993</c:v>
                </c:pt>
                <c:pt idx="12">
                  <c:v>8.7282167600000005</c:v>
                </c:pt>
                <c:pt idx="13">
                  <c:v>8.6152984999999997</c:v>
                </c:pt>
                <c:pt idx="14">
                  <c:v>8.1722311199999993</c:v>
                </c:pt>
                <c:pt idx="15">
                  <c:v>8.1108224</c:v>
                </c:pt>
                <c:pt idx="16">
                  <c:v>8.1011816799999998</c:v>
                </c:pt>
                <c:pt idx="17">
                  <c:v>7.7962568900000004</c:v>
                </c:pt>
                <c:pt idx="18">
                  <c:v>7.7769244000000004</c:v>
                </c:pt>
                <c:pt idx="19">
                  <c:v>7.6880534300000001</c:v>
                </c:pt>
                <c:pt idx="20">
                  <c:v>7.1860926599999999</c:v>
                </c:pt>
                <c:pt idx="21">
                  <c:v>6.7633372500000002</c:v>
                </c:pt>
                <c:pt idx="22">
                  <c:v>6.7484707400000001</c:v>
                </c:pt>
                <c:pt idx="23">
                  <c:v>6.5602976399999999</c:v>
                </c:pt>
                <c:pt idx="24">
                  <c:v>5.85234627</c:v>
                </c:pt>
                <c:pt idx="25">
                  <c:v>5.7886766099999996</c:v>
                </c:pt>
                <c:pt idx="26">
                  <c:v>5.5532758199999996</c:v>
                </c:pt>
                <c:pt idx="27">
                  <c:v>5.2751756099999998</c:v>
                </c:pt>
                <c:pt idx="28">
                  <c:v>4.3254529899999996</c:v>
                </c:pt>
                <c:pt idx="29">
                  <c:v>4.3206465200000004</c:v>
                </c:pt>
                <c:pt idx="30">
                  <c:v>4.30247241</c:v>
                </c:pt>
                <c:pt idx="31">
                  <c:v>3.5867478699999999</c:v>
                </c:pt>
                <c:pt idx="32">
                  <c:v>3.2020627099999999</c:v>
                </c:pt>
                <c:pt idx="33">
                  <c:v>3.13062577</c:v>
                </c:pt>
                <c:pt idx="34">
                  <c:v>3.0845340299999999</c:v>
                </c:pt>
                <c:pt idx="35">
                  <c:v>3.06656957</c:v>
                </c:pt>
                <c:pt idx="36">
                  <c:v>3.0263758799999998</c:v>
                </c:pt>
                <c:pt idx="37">
                  <c:v>2.9152361099999999</c:v>
                </c:pt>
                <c:pt idx="38">
                  <c:v>2.7579546800000001</c:v>
                </c:pt>
                <c:pt idx="39">
                  <c:v>2.7031358600000002</c:v>
                </c:pt>
                <c:pt idx="40">
                  <c:v>2.6525221999999999</c:v>
                </c:pt>
                <c:pt idx="41">
                  <c:v>2.6506808899999998</c:v>
                </c:pt>
                <c:pt idx="42">
                  <c:v>2.57274007</c:v>
                </c:pt>
                <c:pt idx="43">
                  <c:v>2.4080911199999999</c:v>
                </c:pt>
                <c:pt idx="44">
                  <c:v>2.3835340500000002</c:v>
                </c:pt>
                <c:pt idx="45">
                  <c:v>2.2349724100000001</c:v>
                </c:pt>
                <c:pt idx="46">
                  <c:v>2.2235702100000001</c:v>
                </c:pt>
                <c:pt idx="47">
                  <c:v>2.06164521</c:v>
                </c:pt>
                <c:pt idx="48">
                  <c:v>1.9813205199999999</c:v>
                </c:pt>
                <c:pt idx="49">
                  <c:v>1.8851970199999999</c:v>
                </c:pt>
                <c:pt idx="50">
                  <c:v>1.82149015</c:v>
                </c:pt>
                <c:pt idx="51">
                  <c:v>1.7528454099999999</c:v>
                </c:pt>
                <c:pt idx="52">
                  <c:v>1.65610583</c:v>
                </c:pt>
                <c:pt idx="53">
                  <c:v>1.6402919899999999</c:v>
                </c:pt>
                <c:pt idx="54">
                  <c:v>1.6119735900000001</c:v>
                </c:pt>
                <c:pt idx="55">
                  <c:v>1.54323784</c:v>
                </c:pt>
                <c:pt idx="56">
                  <c:v>1.4875085299999999</c:v>
                </c:pt>
                <c:pt idx="57">
                  <c:v>1.4553352900000001</c:v>
                </c:pt>
                <c:pt idx="58">
                  <c:v>1.3911293199999999</c:v>
                </c:pt>
                <c:pt idx="59">
                  <c:v>1.3791091799999999</c:v>
                </c:pt>
                <c:pt idx="60">
                  <c:v>1.36280545</c:v>
                </c:pt>
                <c:pt idx="61">
                  <c:v>1.3280868699999999</c:v>
                </c:pt>
                <c:pt idx="62">
                  <c:v>1.3229069</c:v>
                </c:pt>
                <c:pt idx="63">
                  <c:v>1.02519461</c:v>
                </c:pt>
                <c:pt idx="64">
                  <c:v>0.93098347999999997</c:v>
                </c:pt>
                <c:pt idx="65">
                  <c:v>0.77510124000000002</c:v>
                </c:pt>
                <c:pt idx="66">
                  <c:v>0.76046612999999996</c:v>
                </c:pt>
                <c:pt idx="67">
                  <c:v>0.74801344999999997</c:v>
                </c:pt>
                <c:pt idx="68">
                  <c:v>0.72708236000000004</c:v>
                </c:pt>
                <c:pt idx="69">
                  <c:v>0.72094307999999996</c:v>
                </c:pt>
                <c:pt idx="70">
                  <c:v>0.72026522999999998</c:v>
                </c:pt>
                <c:pt idx="71">
                  <c:v>0.64544219000000003</c:v>
                </c:pt>
                <c:pt idx="72">
                  <c:v>0.64291991000000004</c:v>
                </c:pt>
                <c:pt idx="73">
                  <c:v>0.55269961999999995</c:v>
                </c:pt>
                <c:pt idx="74">
                  <c:v>0.45051172</c:v>
                </c:pt>
                <c:pt idx="75">
                  <c:v>0.40036370999999998</c:v>
                </c:pt>
                <c:pt idx="76">
                  <c:v>0.39986377000000001</c:v>
                </c:pt>
                <c:pt idx="77">
                  <c:v>0.38139751999999999</c:v>
                </c:pt>
                <c:pt idx="78">
                  <c:v>0.35400713</c:v>
                </c:pt>
                <c:pt idx="79">
                  <c:v>0.34731201</c:v>
                </c:pt>
                <c:pt idx="80">
                  <c:v>0.33007868000000001</c:v>
                </c:pt>
                <c:pt idx="81">
                  <c:v>0.31895093000000002</c:v>
                </c:pt>
                <c:pt idx="82">
                  <c:v>0.28422223000000002</c:v>
                </c:pt>
                <c:pt idx="83">
                  <c:v>0.25221234999999997</c:v>
                </c:pt>
                <c:pt idx="84">
                  <c:v>0.22183679000000001</c:v>
                </c:pt>
                <c:pt idx="85">
                  <c:v>0.12496379000000001</c:v>
                </c:pt>
                <c:pt idx="86">
                  <c:v>0.10285648</c:v>
                </c:pt>
                <c:pt idx="87">
                  <c:v>2.6043790000000001E-2</c:v>
                </c:pt>
                <c:pt idx="88">
                  <c:v>1.277034E-2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53-4F41-8AA5-FC0E9D429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6615936"/>
        <c:axId val="126617472"/>
      </c:barChart>
      <c:catAx>
        <c:axId val="12661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17472"/>
        <c:crosses val="autoZero"/>
        <c:auto val="1"/>
        <c:lblAlgn val="ctr"/>
        <c:lblOffset val="100"/>
        <c:noMultiLvlLbl val="0"/>
      </c:catAx>
      <c:valAx>
        <c:axId val="126617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15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339F-3246-8831-EA25D0C847CA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9F-3246-8831-EA25D0C847CA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339F-3246-8831-EA25D0C847CA}"/>
              </c:ext>
            </c:extLst>
          </c:dPt>
          <c:dPt>
            <c:idx val="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9F-3246-8831-EA25D0C847CA}"/>
              </c:ext>
            </c:extLst>
          </c:dPt>
          <c:dPt>
            <c:idx val="28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9F-3246-8831-EA25D0C847CA}"/>
              </c:ext>
            </c:extLst>
          </c:dPt>
          <c:dPt>
            <c:idx val="29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9F-3246-8831-EA25D0C847CA}"/>
              </c:ext>
            </c:extLst>
          </c:dPt>
          <c:dPt>
            <c:idx val="30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9F-3246-8831-EA25D0C847CA}"/>
              </c:ext>
            </c:extLst>
          </c:dPt>
          <c:dPt>
            <c:idx val="3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9F-3246-8831-EA25D0C847CA}"/>
              </c:ext>
            </c:extLst>
          </c:dPt>
          <c:dPt>
            <c:idx val="3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9F-3246-8831-EA25D0C847CA}"/>
              </c:ext>
            </c:extLst>
          </c:dPt>
          <c:dPt>
            <c:idx val="3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9F-3246-8831-EA25D0C847CA}"/>
              </c:ext>
            </c:extLst>
          </c:dPt>
          <c:dPt>
            <c:idx val="34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9F-3246-8831-EA25D0C847CA}"/>
              </c:ext>
            </c:extLst>
          </c:dPt>
          <c:dPt>
            <c:idx val="35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9F-3246-8831-EA25D0C847CA}"/>
              </c:ext>
            </c:extLst>
          </c:dPt>
          <c:dPt>
            <c:idx val="36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9F-3246-8831-EA25D0C847CA}"/>
              </c:ext>
            </c:extLst>
          </c:dPt>
          <c:dPt>
            <c:idx val="37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9F-3246-8831-EA25D0C847CA}"/>
              </c:ext>
            </c:extLst>
          </c:dPt>
          <c:dPt>
            <c:idx val="38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339F-3246-8831-EA25D0C847CA}"/>
              </c:ext>
            </c:extLst>
          </c:dPt>
          <c:dPt>
            <c:idx val="39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9F-3246-8831-EA25D0C847CA}"/>
              </c:ext>
            </c:extLst>
          </c:dPt>
          <c:dPt>
            <c:idx val="40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9F-3246-8831-EA25D0C847CA}"/>
              </c:ext>
            </c:extLst>
          </c:dPt>
          <c:dPt>
            <c:idx val="4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339F-3246-8831-EA25D0C847CA}"/>
              </c:ext>
            </c:extLst>
          </c:dPt>
          <c:dPt>
            <c:idx val="4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339F-3246-8831-EA25D0C847CA}"/>
              </c:ext>
            </c:extLst>
          </c:dPt>
          <c:dPt>
            <c:idx val="4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339F-3246-8831-EA25D0C847CA}"/>
              </c:ext>
            </c:extLst>
          </c:dPt>
          <c:dPt>
            <c:idx val="44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339F-3246-8831-EA25D0C847CA}"/>
              </c:ext>
            </c:extLst>
          </c:dPt>
          <c:dPt>
            <c:idx val="45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339F-3246-8831-EA25D0C847CA}"/>
              </c:ext>
            </c:extLst>
          </c:dPt>
          <c:dPt>
            <c:idx val="46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339F-3246-8831-EA25D0C847CA}"/>
              </c:ext>
            </c:extLst>
          </c:dPt>
          <c:dPt>
            <c:idx val="47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339F-3246-8831-EA25D0C847CA}"/>
              </c:ext>
            </c:extLst>
          </c:dPt>
          <c:dPt>
            <c:idx val="48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339F-3246-8831-EA25D0C847CA}"/>
              </c:ext>
            </c:extLst>
          </c:dPt>
          <c:dPt>
            <c:idx val="49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339F-3246-8831-EA25D0C847CA}"/>
              </c:ext>
            </c:extLst>
          </c:dPt>
          <c:dPt>
            <c:idx val="50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339F-3246-8831-EA25D0C847CA}"/>
              </c:ext>
            </c:extLst>
          </c:dPt>
          <c:dPt>
            <c:idx val="5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339F-3246-8831-EA25D0C847CA}"/>
              </c:ext>
            </c:extLst>
          </c:dPt>
          <c:dPt>
            <c:idx val="5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339F-3246-8831-EA25D0C847CA}"/>
              </c:ext>
            </c:extLst>
          </c:dPt>
          <c:dPt>
            <c:idx val="5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E-339F-3246-8831-EA25D0C847CA}"/>
              </c:ext>
            </c:extLst>
          </c:dPt>
          <c:dPt>
            <c:idx val="54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339F-3246-8831-EA25D0C847CA}"/>
              </c:ext>
            </c:extLst>
          </c:dPt>
          <c:dPt>
            <c:idx val="55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0-339F-3246-8831-EA25D0C847CA}"/>
              </c:ext>
            </c:extLst>
          </c:dPt>
          <c:dPt>
            <c:idx val="56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339F-3246-8831-EA25D0C847CA}"/>
              </c:ext>
            </c:extLst>
          </c:dPt>
          <c:dPt>
            <c:idx val="57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2-339F-3246-8831-EA25D0C847CA}"/>
              </c:ext>
            </c:extLst>
          </c:dPt>
          <c:dPt>
            <c:idx val="58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339F-3246-8831-EA25D0C847CA}"/>
              </c:ext>
            </c:extLst>
          </c:dPt>
          <c:dPt>
            <c:idx val="59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4-339F-3246-8831-EA25D0C847CA}"/>
              </c:ext>
            </c:extLst>
          </c:dPt>
          <c:dPt>
            <c:idx val="60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339F-3246-8831-EA25D0C847CA}"/>
              </c:ext>
            </c:extLst>
          </c:dPt>
          <c:dPt>
            <c:idx val="6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6-339F-3246-8831-EA25D0C847CA}"/>
              </c:ext>
            </c:extLst>
          </c:dPt>
          <c:dPt>
            <c:idx val="6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339F-3246-8831-EA25D0C847CA}"/>
              </c:ext>
            </c:extLst>
          </c:dPt>
          <c:dPt>
            <c:idx val="6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9F-3246-8831-EA25D0C847CA}"/>
              </c:ext>
            </c:extLst>
          </c:dPt>
          <c:dPt>
            <c:idx val="6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8-339F-3246-8831-EA25D0C847CA}"/>
              </c:ext>
            </c:extLst>
          </c:dPt>
          <c:dPt>
            <c:idx val="6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9-339F-3246-8831-EA25D0C847CA}"/>
              </c:ext>
            </c:extLst>
          </c:dPt>
          <c:dPt>
            <c:idx val="66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A-339F-3246-8831-EA25D0C847CA}"/>
              </c:ext>
            </c:extLst>
          </c:dPt>
          <c:dPt>
            <c:idx val="67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B-339F-3246-8831-EA25D0C847CA}"/>
              </c:ext>
            </c:extLst>
          </c:dPt>
          <c:dPt>
            <c:idx val="68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C-339F-3246-8831-EA25D0C847CA}"/>
              </c:ext>
            </c:extLst>
          </c:dPt>
          <c:dPt>
            <c:idx val="69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D-339F-3246-8831-EA25D0C847CA}"/>
              </c:ext>
            </c:extLst>
          </c:dPt>
          <c:dPt>
            <c:idx val="7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E-339F-3246-8831-EA25D0C847CA}"/>
              </c:ext>
            </c:extLst>
          </c:dPt>
          <c:dPt>
            <c:idx val="7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F-339F-3246-8831-EA25D0C847CA}"/>
              </c:ext>
            </c:extLst>
          </c:dPt>
          <c:dPt>
            <c:idx val="72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0-339F-3246-8831-EA25D0C847CA}"/>
              </c:ext>
            </c:extLst>
          </c:dPt>
          <c:dPt>
            <c:idx val="7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1-339F-3246-8831-EA25D0C847CA}"/>
              </c:ext>
            </c:extLst>
          </c:dPt>
          <c:dPt>
            <c:idx val="7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2-339F-3246-8831-EA25D0C847CA}"/>
              </c:ext>
            </c:extLst>
          </c:dPt>
          <c:dPt>
            <c:idx val="7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3-339F-3246-8831-EA25D0C847CA}"/>
              </c:ext>
            </c:extLst>
          </c:dPt>
          <c:dPt>
            <c:idx val="76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4-339F-3246-8831-EA25D0C847CA}"/>
              </c:ext>
            </c:extLst>
          </c:dPt>
          <c:dPt>
            <c:idx val="77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5-339F-3246-8831-EA25D0C847CA}"/>
              </c:ext>
            </c:extLst>
          </c:dPt>
          <c:dPt>
            <c:idx val="78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6-339F-3246-8831-EA25D0C847CA}"/>
              </c:ext>
            </c:extLst>
          </c:dPt>
          <c:dPt>
            <c:idx val="79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7-339F-3246-8831-EA25D0C847CA}"/>
              </c:ext>
            </c:extLst>
          </c:dPt>
          <c:dPt>
            <c:idx val="8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8-339F-3246-8831-EA25D0C847CA}"/>
              </c:ext>
            </c:extLst>
          </c:dPt>
          <c:dPt>
            <c:idx val="8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9-339F-3246-8831-EA25D0C847CA}"/>
              </c:ext>
            </c:extLst>
          </c:dPt>
          <c:dPt>
            <c:idx val="82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A-339F-3246-8831-EA25D0C847CA}"/>
              </c:ext>
            </c:extLst>
          </c:dPt>
          <c:dPt>
            <c:idx val="8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B-339F-3246-8831-EA25D0C847CA}"/>
              </c:ext>
            </c:extLst>
          </c:dPt>
          <c:dPt>
            <c:idx val="8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C-339F-3246-8831-EA25D0C847CA}"/>
              </c:ext>
            </c:extLst>
          </c:dPt>
          <c:dPt>
            <c:idx val="8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D-339F-3246-8831-EA25D0C847CA}"/>
              </c:ext>
            </c:extLst>
          </c:dPt>
          <c:dPt>
            <c:idx val="86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E-339F-3246-8831-EA25D0C847CA}"/>
              </c:ext>
            </c:extLst>
          </c:dPt>
          <c:cat>
            <c:strRef>
              <c:f>Sorted!$B$2:$B$90</c:f>
              <c:strCache>
                <c:ptCount val="89"/>
                <c:pt idx="0">
                  <c:v>A388</c:v>
                </c:pt>
                <c:pt idx="1">
                  <c:v>A124</c:v>
                </c:pt>
                <c:pt idx="2">
                  <c:v>B748</c:v>
                </c:pt>
                <c:pt idx="3">
                  <c:v>B744</c:v>
                </c:pt>
                <c:pt idx="4">
                  <c:v>A346</c:v>
                </c:pt>
                <c:pt idx="5">
                  <c:v>A345</c:v>
                </c:pt>
                <c:pt idx="6">
                  <c:v>DC10</c:v>
                </c:pt>
                <c:pt idx="7">
                  <c:v>B773</c:v>
                </c:pt>
                <c:pt idx="8">
                  <c:v>B77W</c:v>
                </c:pt>
                <c:pt idx="9">
                  <c:v>MD11</c:v>
                </c:pt>
                <c:pt idx="10">
                  <c:v>B77L</c:v>
                </c:pt>
                <c:pt idx="11">
                  <c:v>B772</c:v>
                </c:pt>
                <c:pt idx="12">
                  <c:v>IL76</c:v>
                </c:pt>
                <c:pt idx="13">
                  <c:v>A343</c:v>
                </c:pt>
                <c:pt idx="14">
                  <c:v>A333</c:v>
                </c:pt>
                <c:pt idx="15">
                  <c:v>A359</c:v>
                </c:pt>
                <c:pt idx="16">
                  <c:v>A306</c:v>
                </c:pt>
                <c:pt idx="17">
                  <c:v>A332</c:v>
                </c:pt>
                <c:pt idx="18">
                  <c:v>B789</c:v>
                </c:pt>
                <c:pt idx="19">
                  <c:v>IL96</c:v>
                </c:pt>
                <c:pt idx="20">
                  <c:v>B764</c:v>
                </c:pt>
                <c:pt idx="21">
                  <c:v>B763</c:v>
                </c:pt>
                <c:pt idx="22">
                  <c:v>A310</c:v>
                </c:pt>
                <c:pt idx="23">
                  <c:v>B788</c:v>
                </c:pt>
                <c:pt idx="24">
                  <c:v>B762</c:v>
                </c:pt>
                <c:pt idx="25">
                  <c:v>B753</c:v>
                </c:pt>
                <c:pt idx="26">
                  <c:v>C135</c:v>
                </c:pt>
                <c:pt idx="27">
                  <c:v>B752</c:v>
                </c:pt>
                <c:pt idx="28">
                  <c:v>B703</c:v>
                </c:pt>
                <c:pt idx="29">
                  <c:v>A321</c:v>
                </c:pt>
                <c:pt idx="30">
                  <c:v>DC85</c:v>
                </c:pt>
                <c:pt idx="31">
                  <c:v>T204</c:v>
                </c:pt>
                <c:pt idx="32">
                  <c:v>B734</c:v>
                </c:pt>
                <c:pt idx="33">
                  <c:v>B739</c:v>
                </c:pt>
                <c:pt idx="34">
                  <c:v>C130</c:v>
                </c:pt>
                <c:pt idx="35">
                  <c:v>B738</c:v>
                </c:pt>
                <c:pt idx="36">
                  <c:v>A319</c:v>
                </c:pt>
                <c:pt idx="37">
                  <c:v>B733</c:v>
                </c:pt>
                <c:pt idx="38">
                  <c:v>B735</c:v>
                </c:pt>
                <c:pt idx="39">
                  <c:v>A320</c:v>
                </c:pt>
                <c:pt idx="40">
                  <c:v>A318</c:v>
                </c:pt>
                <c:pt idx="41">
                  <c:v>B732</c:v>
                </c:pt>
                <c:pt idx="42">
                  <c:v>B737</c:v>
                </c:pt>
                <c:pt idx="43">
                  <c:v>AN12</c:v>
                </c:pt>
                <c:pt idx="44">
                  <c:v>B736</c:v>
                </c:pt>
                <c:pt idx="45">
                  <c:v>RJ1H</c:v>
                </c:pt>
                <c:pt idx="46">
                  <c:v>B712</c:v>
                </c:pt>
                <c:pt idx="47">
                  <c:v>RJ85</c:v>
                </c:pt>
                <c:pt idx="48">
                  <c:v>E195</c:v>
                </c:pt>
                <c:pt idx="49">
                  <c:v>E190</c:v>
                </c:pt>
                <c:pt idx="50">
                  <c:v>F100</c:v>
                </c:pt>
                <c:pt idx="51">
                  <c:v>IL18</c:v>
                </c:pt>
                <c:pt idx="52">
                  <c:v>MD90</c:v>
                </c:pt>
                <c:pt idx="53">
                  <c:v>CRJ9</c:v>
                </c:pt>
                <c:pt idx="54">
                  <c:v>MD83</c:v>
                </c:pt>
                <c:pt idx="55">
                  <c:v>F70</c:v>
                </c:pt>
                <c:pt idx="56">
                  <c:v>MD81</c:v>
                </c:pt>
                <c:pt idx="57">
                  <c:v>MD88</c:v>
                </c:pt>
                <c:pt idx="58">
                  <c:v>MD82</c:v>
                </c:pt>
                <c:pt idx="59">
                  <c:v>E175</c:v>
                </c:pt>
                <c:pt idx="60">
                  <c:v>CRJ7</c:v>
                </c:pt>
                <c:pt idx="61">
                  <c:v>MD87</c:v>
                </c:pt>
                <c:pt idx="62">
                  <c:v>E170</c:v>
                </c:pt>
                <c:pt idx="63">
                  <c:v>DH8D</c:v>
                </c:pt>
                <c:pt idx="64">
                  <c:v>GLF4</c:v>
                </c:pt>
                <c:pt idx="65">
                  <c:v>CRJ2</c:v>
                </c:pt>
                <c:pt idx="66">
                  <c:v>E135</c:v>
                </c:pt>
                <c:pt idx="67">
                  <c:v>E145</c:v>
                </c:pt>
                <c:pt idx="68">
                  <c:v>CRJ1</c:v>
                </c:pt>
                <c:pt idx="69">
                  <c:v>AT72</c:v>
                </c:pt>
                <c:pt idx="70">
                  <c:v>FA20</c:v>
                </c:pt>
                <c:pt idx="71">
                  <c:v>CL60</c:v>
                </c:pt>
                <c:pt idx="72">
                  <c:v>AT45</c:v>
                </c:pt>
                <c:pt idx="73">
                  <c:v>D328</c:v>
                </c:pt>
                <c:pt idx="74">
                  <c:v>AT43</c:v>
                </c:pt>
                <c:pt idx="75">
                  <c:v>FA10</c:v>
                </c:pt>
                <c:pt idx="76">
                  <c:v>SF34</c:v>
                </c:pt>
                <c:pt idx="77">
                  <c:v>H25B</c:v>
                </c:pt>
                <c:pt idx="78">
                  <c:v>E120</c:v>
                </c:pt>
                <c:pt idx="79">
                  <c:v>JS41</c:v>
                </c:pt>
                <c:pt idx="80">
                  <c:v>LJ60</c:v>
                </c:pt>
                <c:pt idx="81">
                  <c:v>LJ35</c:v>
                </c:pt>
                <c:pt idx="82">
                  <c:v>BE40</c:v>
                </c:pt>
                <c:pt idx="83">
                  <c:v>C650</c:v>
                </c:pt>
                <c:pt idx="84">
                  <c:v>JS32</c:v>
                </c:pt>
                <c:pt idx="85">
                  <c:v>P180</c:v>
                </c:pt>
                <c:pt idx="86">
                  <c:v>C525</c:v>
                </c:pt>
                <c:pt idx="87">
                  <c:v>C180</c:v>
                </c:pt>
                <c:pt idx="88">
                  <c:v>C152</c:v>
                </c:pt>
              </c:strCache>
            </c:strRef>
          </c:cat>
          <c:val>
            <c:numRef>
              <c:f>Sorted!$I$2:$I$90</c:f>
              <c:numCache>
                <c:formatCode>General</c:formatCode>
                <c:ptCount val="89"/>
                <c:pt idx="0">
                  <c:v>20.044459799999998</c:v>
                </c:pt>
                <c:pt idx="1">
                  <c:v>16.710479599999999</c:v>
                </c:pt>
                <c:pt idx="2">
                  <c:v>16.6011579</c:v>
                </c:pt>
                <c:pt idx="3">
                  <c:v>15.004716</c:v>
                </c:pt>
                <c:pt idx="4">
                  <c:v>13.946003299999999</c:v>
                </c:pt>
                <c:pt idx="5">
                  <c:v>12.4501884</c:v>
                </c:pt>
                <c:pt idx="6">
                  <c:v>12.151116500000001</c:v>
                </c:pt>
                <c:pt idx="7">
                  <c:v>11.794633599999999</c:v>
                </c:pt>
                <c:pt idx="8">
                  <c:v>11.627839699999999</c:v>
                </c:pt>
                <c:pt idx="9">
                  <c:v>9.7994950999999997</c:v>
                </c:pt>
                <c:pt idx="10">
                  <c:v>9.7604692899999996</c:v>
                </c:pt>
                <c:pt idx="11">
                  <c:v>9.0489821999999993</c:v>
                </c:pt>
                <c:pt idx="12">
                  <c:v>8.7282167600000005</c:v>
                </c:pt>
                <c:pt idx="13">
                  <c:v>8.6152984999999997</c:v>
                </c:pt>
                <c:pt idx="14">
                  <c:v>8.1722311199999993</c:v>
                </c:pt>
                <c:pt idx="15">
                  <c:v>8.1108224</c:v>
                </c:pt>
                <c:pt idx="16">
                  <c:v>8.1011816799999998</c:v>
                </c:pt>
                <c:pt idx="17">
                  <c:v>7.7962568900000004</c:v>
                </c:pt>
                <c:pt idx="18">
                  <c:v>7.7769244000000004</c:v>
                </c:pt>
                <c:pt idx="19">
                  <c:v>7.6880534300000001</c:v>
                </c:pt>
                <c:pt idx="20">
                  <c:v>7.1860926599999999</c:v>
                </c:pt>
                <c:pt idx="21">
                  <c:v>6.7633372500000002</c:v>
                </c:pt>
                <c:pt idx="22">
                  <c:v>6.7484707400000001</c:v>
                </c:pt>
                <c:pt idx="23">
                  <c:v>6.5602976399999999</c:v>
                </c:pt>
                <c:pt idx="24">
                  <c:v>5.85234627</c:v>
                </c:pt>
                <c:pt idx="25">
                  <c:v>5.7886766099999996</c:v>
                </c:pt>
                <c:pt idx="26">
                  <c:v>5.5532758199999996</c:v>
                </c:pt>
                <c:pt idx="27">
                  <c:v>5.2751756099999998</c:v>
                </c:pt>
                <c:pt idx="28">
                  <c:v>4.3254529899999996</c:v>
                </c:pt>
                <c:pt idx="29">
                  <c:v>4.3206465200000004</c:v>
                </c:pt>
                <c:pt idx="30">
                  <c:v>4.30247241</c:v>
                </c:pt>
                <c:pt idx="31">
                  <c:v>3.5867478699999999</c:v>
                </c:pt>
                <c:pt idx="32">
                  <c:v>3.2020627099999999</c:v>
                </c:pt>
                <c:pt idx="33">
                  <c:v>3.13062577</c:v>
                </c:pt>
                <c:pt idx="34">
                  <c:v>3.0845340299999999</c:v>
                </c:pt>
                <c:pt idx="35">
                  <c:v>3.06656957</c:v>
                </c:pt>
                <c:pt idx="36">
                  <c:v>3.0263758799999998</c:v>
                </c:pt>
                <c:pt idx="37">
                  <c:v>2.9152361099999999</c:v>
                </c:pt>
                <c:pt idx="38">
                  <c:v>2.7579546800000001</c:v>
                </c:pt>
                <c:pt idx="39">
                  <c:v>2.7031358600000002</c:v>
                </c:pt>
                <c:pt idx="40">
                  <c:v>2.6525221999999999</c:v>
                </c:pt>
                <c:pt idx="41">
                  <c:v>2.6506808899999998</c:v>
                </c:pt>
                <c:pt idx="42">
                  <c:v>2.57274007</c:v>
                </c:pt>
                <c:pt idx="43">
                  <c:v>2.4080911199999999</c:v>
                </c:pt>
                <c:pt idx="44">
                  <c:v>2.3835340500000002</c:v>
                </c:pt>
                <c:pt idx="45">
                  <c:v>2.2349724100000001</c:v>
                </c:pt>
                <c:pt idx="46">
                  <c:v>2.2235702100000001</c:v>
                </c:pt>
                <c:pt idx="47">
                  <c:v>2.06164521</c:v>
                </c:pt>
                <c:pt idx="48">
                  <c:v>1.9813205199999999</c:v>
                </c:pt>
                <c:pt idx="49">
                  <c:v>1.8851970199999999</c:v>
                </c:pt>
                <c:pt idx="50">
                  <c:v>1.82149015</c:v>
                </c:pt>
                <c:pt idx="51">
                  <c:v>1.7528454099999999</c:v>
                </c:pt>
                <c:pt idx="52">
                  <c:v>1.65610583</c:v>
                </c:pt>
                <c:pt idx="53">
                  <c:v>1.6402919899999999</c:v>
                </c:pt>
                <c:pt idx="54">
                  <c:v>1.6119735900000001</c:v>
                </c:pt>
                <c:pt idx="55">
                  <c:v>1.54323784</c:v>
                </c:pt>
                <c:pt idx="56">
                  <c:v>1.4875085299999999</c:v>
                </c:pt>
                <c:pt idx="57">
                  <c:v>1.4553352900000001</c:v>
                </c:pt>
                <c:pt idx="58">
                  <c:v>1.3911293199999999</c:v>
                </c:pt>
                <c:pt idx="59">
                  <c:v>1.3791091799999999</c:v>
                </c:pt>
                <c:pt idx="60">
                  <c:v>1.36280545</c:v>
                </c:pt>
                <c:pt idx="61">
                  <c:v>1.3280868699999999</c:v>
                </c:pt>
                <c:pt idx="62">
                  <c:v>1.3229069</c:v>
                </c:pt>
                <c:pt idx="63">
                  <c:v>1.02519461</c:v>
                </c:pt>
                <c:pt idx="64">
                  <c:v>0.93098347999999997</c:v>
                </c:pt>
                <c:pt idx="65">
                  <c:v>0.77510124000000002</c:v>
                </c:pt>
                <c:pt idx="66">
                  <c:v>0.76046612999999996</c:v>
                </c:pt>
                <c:pt idx="67">
                  <c:v>0.74801344999999997</c:v>
                </c:pt>
                <c:pt idx="68">
                  <c:v>0.72708236000000004</c:v>
                </c:pt>
                <c:pt idx="69">
                  <c:v>0.72094307999999996</c:v>
                </c:pt>
                <c:pt idx="70">
                  <c:v>0.72026522999999998</c:v>
                </c:pt>
                <c:pt idx="71">
                  <c:v>0.64544219000000003</c:v>
                </c:pt>
                <c:pt idx="72">
                  <c:v>0.64291991000000004</c:v>
                </c:pt>
                <c:pt idx="73">
                  <c:v>0.55269961999999995</c:v>
                </c:pt>
                <c:pt idx="74">
                  <c:v>0.45051172</c:v>
                </c:pt>
                <c:pt idx="75">
                  <c:v>0.40036370999999998</c:v>
                </c:pt>
                <c:pt idx="76">
                  <c:v>0.39986377000000001</c:v>
                </c:pt>
                <c:pt idx="77">
                  <c:v>0.38139751999999999</c:v>
                </c:pt>
                <c:pt idx="78">
                  <c:v>0.35400713</c:v>
                </c:pt>
                <c:pt idx="79">
                  <c:v>0.34731201</c:v>
                </c:pt>
                <c:pt idx="80">
                  <c:v>0.33007868000000001</c:v>
                </c:pt>
                <c:pt idx="81">
                  <c:v>0.31895093000000002</c:v>
                </c:pt>
                <c:pt idx="82">
                  <c:v>0.28422223000000002</c:v>
                </c:pt>
                <c:pt idx="83">
                  <c:v>0.25221234999999997</c:v>
                </c:pt>
                <c:pt idx="84">
                  <c:v>0.22183679000000001</c:v>
                </c:pt>
                <c:pt idx="85">
                  <c:v>0.12496379000000001</c:v>
                </c:pt>
                <c:pt idx="86">
                  <c:v>0.10285648</c:v>
                </c:pt>
                <c:pt idx="87">
                  <c:v>2.6043790000000001E-2</c:v>
                </c:pt>
                <c:pt idx="88">
                  <c:v>1.277034E-2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3E-4C47-821B-E8D36FADB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6876544"/>
        <c:axId val="216878080"/>
      </c:barChart>
      <c:catAx>
        <c:axId val="216876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6878080"/>
        <c:crosses val="autoZero"/>
        <c:auto val="1"/>
        <c:lblAlgn val="ctr"/>
        <c:lblOffset val="100"/>
        <c:noMultiLvlLbl val="0"/>
      </c:catAx>
      <c:valAx>
        <c:axId val="216878080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2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Induced</a:t>
                </a:r>
                <a:r>
                  <a:rPr lang="de-DE" sz="20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Power [MW]</a:t>
                </a:r>
                <a:endParaRPr lang="de-DE" sz="20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6876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3200" b="1">
                <a:latin typeface="Arial" panose="020B0604020202020204" pitchFamily="34" charset="0"/>
                <a:cs typeface="Arial" panose="020B0604020202020204" pitchFamily="34" charset="0"/>
              </a:rPr>
              <a:t>HAW</a:t>
            </a:r>
            <a:r>
              <a:rPr lang="en-US" sz="3200" b="1" baseline="0">
                <a:latin typeface="Arial" panose="020B0604020202020204" pitchFamily="34" charset="0"/>
                <a:cs typeface="Arial" panose="020B0604020202020204" pitchFamily="34" charset="0"/>
              </a:rPr>
              <a:t> hamburg wtc</a:t>
            </a:r>
            <a:endParaRPr lang="en-US" sz="3200" b="1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748244264506501"/>
          <c:y val="0.10703377186663962"/>
          <c:w val="0.85436120402249682"/>
          <c:h val="0.76485168200374443"/>
        </c:manualLayout>
      </c:layout>
      <c:scatterChart>
        <c:scatterStyle val="lineMarker"/>
        <c:varyColors val="0"/>
        <c:ser>
          <c:idx val="0"/>
          <c:order val="0"/>
          <c:tx>
            <c:strRef>
              <c:f>Sorted!$J$1</c:f>
              <c:strCache>
                <c:ptCount val="1"/>
                <c:pt idx="0">
                  <c:v>WTC (Dennis)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6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Sorted!$I$2:$I$90</c:f>
              <c:numCache>
                <c:formatCode>General</c:formatCode>
                <c:ptCount val="89"/>
                <c:pt idx="0">
                  <c:v>20.044459799999998</c:v>
                </c:pt>
                <c:pt idx="1">
                  <c:v>16.710479599999999</c:v>
                </c:pt>
                <c:pt idx="2">
                  <c:v>16.6011579</c:v>
                </c:pt>
                <c:pt idx="3">
                  <c:v>15.004716</c:v>
                </c:pt>
                <c:pt idx="4">
                  <c:v>13.946003299999999</c:v>
                </c:pt>
                <c:pt idx="5">
                  <c:v>12.4501884</c:v>
                </c:pt>
                <c:pt idx="6">
                  <c:v>12.151116500000001</c:v>
                </c:pt>
                <c:pt idx="7">
                  <c:v>11.794633599999999</c:v>
                </c:pt>
                <c:pt idx="8">
                  <c:v>11.627839699999999</c:v>
                </c:pt>
                <c:pt idx="9">
                  <c:v>9.7994950999999997</c:v>
                </c:pt>
                <c:pt idx="10">
                  <c:v>9.7604692899999996</c:v>
                </c:pt>
                <c:pt idx="11">
                  <c:v>9.0489821999999993</c:v>
                </c:pt>
                <c:pt idx="12">
                  <c:v>8.7282167600000005</c:v>
                </c:pt>
                <c:pt idx="13">
                  <c:v>8.6152984999999997</c:v>
                </c:pt>
                <c:pt idx="14">
                  <c:v>8.1722311199999993</c:v>
                </c:pt>
                <c:pt idx="15">
                  <c:v>8.1108224</c:v>
                </c:pt>
                <c:pt idx="16">
                  <c:v>8.1011816799999998</c:v>
                </c:pt>
                <c:pt idx="17">
                  <c:v>7.7962568900000004</c:v>
                </c:pt>
                <c:pt idx="18">
                  <c:v>7.7769244000000004</c:v>
                </c:pt>
                <c:pt idx="19">
                  <c:v>7.6880534300000001</c:v>
                </c:pt>
                <c:pt idx="20">
                  <c:v>7.1860926599999999</c:v>
                </c:pt>
                <c:pt idx="21">
                  <c:v>6.7633372500000002</c:v>
                </c:pt>
                <c:pt idx="22">
                  <c:v>6.7484707400000001</c:v>
                </c:pt>
                <c:pt idx="23">
                  <c:v>6.5602976399999999</c:v>
                </c:pt>
                <c:pt idx="24">
                  <c:v>5.85234627</c:v>
                </c:pt>
                <c:pt idx="25">
                  <c:v>5.7886766099999996</c:v>
                </c:pt>
                <c:pt idx="26">
                  <c:v>5.5532758199999996</c:v>
                </c:pt>
                <c:pt idx="27">
                  <c:v>5.2751756099999998</c:v>
                </c:pt>
                <c:pt idx="28">
                  <c:v>4.3254529899999996</c:v>
                </c:pt>
                <c:pt idx="29">
                  <c:v>4.3206465200000004</c:v>
                </c:pt>
                <c:pt idx="30">
                  <c:v>4.30247241</c:v>
                </c:pt>
                <c:pt idx="31">
                  <c:v>3.5867478699999999</c:v>
                </c:pt>
                <c:pt idx="32">
                  <c:v>3.2020627099999999</c:v>
                </c:pt>
                <c:pt idx="33">
                  <c:v>3.13062577</c:v>
                </c:pt>
                <c:pt idx="34">
                  <c:v>3.0845340299999999</c:v>
                </c:pt>
                <c:pt idx="35">
                  <c:v>3.06656957</c:v>
                </c:pt>
                <c:pt idx="36">
                  <c:v>3.0263758799999998</c:v>
                </c:pt>
                <c:pt idx="37">
                  <c:v>2.9152361099999999</c:v>
                </c:pt>
                <c:pt idx="38">
                  <c:v>2.7579546800000001</c:v>
                </c:pt>
                <c:pt idx="39">
                  <c:v>2.7031358600000002</c:v>
                </c:pt>
                <c:pt idx="40">
                  <c:v>2.6525221999999999</c:v>
                </c:pt>
                <c:pt idx="41">
                  <c:v>2.6506808899999998</c:v>
                </c:pt>
                <c:pt idx="42">
                  <c:v>2.57274007</c:v>
                </c:pt>
                <c:pt idx="43">
                  <c:v>2.4080911199999999</c:v>
                </c:pt>
                <c:pt idx="44">
                  <c:v>2.3835340500000002</c:v>
                </c:pt>
                <c:pt idx="45">
                  <c:v>2.2349724100000001</c:v>
                </c:pt>
                <c:pt idx="46">
                  <c:v>2.2235702100000001</c:v>
                </c:pt>
                <c:pt idx="47">
                  <c:v>2.06164521</c:v>
                </c:pt>
                <c:pt idx="48">
                  <c:v>1.9813205199999999</c:v>
                </c:pt>
                <c:pt idx="49">
                  <c:v>1.8851970199999999</c:v>
                </c:pt>
                <c:pt idx="50">
                  <c:v>1.82149015</c:v>
                </c:pt>
                <c:pt idx="51">
                  <c:v>1.7528454099999999</c:v>
                </c:pt>
                <c:pt idx="52">
                  <c:v>1.65610583</c:v>
                </c:pt>
                <c:pt idx="53">
                  <c:v>1.6402919899999999</c:v>
                </c:pt>
                <c:pt idx="54">
                  <c:v>1.6119735900000001</c:v>
                </c:pt>
                <c:pt idx="55">
                  <c:v>1.54323784</c:v>
                </c:pt>
                <c:pt idx="56">
                  <c:v>1.4875085299999999</c:v>
                </c:pt>
                <c:pt idx="57">
                  <c:v>1.4553352900000001</c:v>
                </c:pt>
                <c:pt idx="58">
                  <c:v>1.3911293199999999</c:v>
                </c:pt>
                <c:pt idx="59">
                  <c:v>1.3791091799999999</c:v>
                </c:pt>
                <c:pt idx="60">
                  <c:v>1.36280545</c:v>
                </c:pt>
                <c:pt idx="61">
                  <c:v>1.3280868699999999</c:v>
                </c:pt>
                <c:pt idx="62">
                  <c:v>1.3229069</c:v>
                </c:pt>
                <c:pt idx="63">
                  <c:v>1.02519461</c:v>
                </c:pt>
                <c:pt idx="64">
                  <c:v>0.93098347999999997</c:v>
                </c:pt>
                <c:pt idx="65">
                  <c:v>0.77510124000000002</c:v>
                </c:pt>
                <c:pt idx="66">
                  <c:v>0.76046612999999996</c:v>
                </c:pt>
                <c:pt idx="67">
                  <c:v>0.74801344999999997</c:v>
                </c:pt>
                <c:pt idx="68">
                  <c:v>0.72708236000000004</c:v>
                </c:pt>
                <c:pt idx="69">
                  <c:v>0.72094307999999996</c:v>
                </c:pt>
                <c:pt idx="70">
                  <c:v>0.72026522999999998</c:v>
                </c:pt>
                <c:pt idx="71">
                  <c:v>0.64544219000000003</c:v>
                </c:pt>
                <c:pt idx="72">
                  <c:v>0.64291991000000004</c:v>
                </c:pt>
                <c:pt idx="73">
                  <c:v>0.55269961999999995</c:v>
                </c:pt>
                <c:pt idx="74">
                  <c:v>0.45051172</c:v>
                </c:pt>
                <c:pt idx="75">
                  <c:v>0.40036370999999998</c:v>
                </c:pt>
                <c:pt idx="76">
                  <c:v>0.39986377000000001</c:v>
                </c:pt>
                <c:pt idx="77">
                  <c:v>0.38139751999999999</c:v>
                </c:pt>
                <c:pt idx="78">
                  <c:v>0.35400713</c:v>
                </c:pt>
                <c:pt idx="79">
                  <c:v>0.34731201</c:v>
                </c:pt>
                <c:pt idx="80">
                  <c:v>0.33007868000000001</c:v>
                </c:pt>
                <c:pt idx="81">
                  <c:v>0.31895093000000002</c:v>
                </c:pt>
                <c:pt idx="82">
                  <c:v>0.28422223000000002</c:v>
                </c:pt>
                <c:pt idx="83">
                  <c:v>0.25221234999999997</c:v>
                </c:pt>
                <c:pt idx="84">
                  <c:v>0.22183679000000001</c:v>
                </c:pt>
                <c:pt idx="85">
                  <c:v>0.12496379000000001</c:v>
                </c:pt>
                <c:pt idx="86">
                  <c:v>0.10285648</c:v>
                </c:pt>
                <c:pt idx="87">
                  <c:v>2.6043790000000001E-2</c:v>
                </c:pt>
                <c:pt idx="88">
                  <c:v>1.277034E-2</c:v>
                </c:pt>
              </c:numCache>
            </c:numRef>
          </c:xVal>
          <c:yVal>
            <c:numRef>
              <c:f>Sorted!$J$2:$J$90</c:f>
              <c:numCache>
                <c:formatCode>General</c:formatCode>
                <c:ptCount val="89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B9-DC43-A460-077156CE3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886656"/>
        <c:axId val="216894080"/>
      </c:scatterChart>
      <c:valAx>
        <c:axId val="216886656"/>
        <c:scaling>
          <c:orientation val="minMax"/>
          <c:max val="2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3200"/>
                  <a:t>Induced power [MW]</a:t>
                </a:r>
              </a:p>
            </c:rich>
          </c:tx>
          <c:layout>
            <c:manualLayout>
              <c:xMode val="edge"/>
              <c:yMode val="edge"/>
              <c:x val="0.65795220541372534"/>
              <c:y val="0.79448158140323177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6894080"/>
        <c:crosses val="autoZero"/>
        <c:crossBetween val="midCat"/>
      </c:valAx>
      <c:valAx>
        <c:axId val="216894080"/>
        <c:scaling>
          <c:orientation val="minMax"/>
          <c:max val="4"/>
          <c:min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@" sourceLinked="0"/>
        <c:majorTickMark val="none"/>
        <c:minorTickMark val="none"/>
        <c:tickLblPos val="none"/>
        <c:crossAx val="21688665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29" r="0.70000000000000029" t="0.78740157499999996" header="0.30000000000000016" footer="0.30000000000000016"/>
    <c:pageSetup/>
  </c:printSettings>
  <c:userShapes r:id="rId4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200">
                <a:latin typeface="Arial" panose="020B0604020202020204" pitchFamily="34" charset="0"/>
                <a:cs typeface="Arial" panose="020B0604020202020204" pitchFamily="34" charset="0"/>
              </a:rPr>
              <a:t>ICAO WTC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6.3272937593268921E-2"/>
          <c:y val="9.8512369077613585E-2"/>
          <c:w val="0.90852038047873707"/>
          <c:h val="0.76428947762249733"/>
        </c:manualLayout>
      </c:layout>
      <c:scatterChart>
        <c:scatterStyle val="lineMarker"/>
        <c:varyColors val="0"/>
        <c:ser>
          <c:idx val="0"/>
          <c:order val="0"/>
          <c:tx>
            <c:strRef>
              <c:f>'Calculation P'!$U$1</c:f>
              <c:strCache>
                <c:ptCount val="1"/>
                <c:pt idx="0">
                  <c:v>in MW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6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'Calculation P'!$U$2:$U$90</c:f>
              <c:numCache>
                <c:formatCode>General</c:formatCode>
                <c:ptCount val="89"/>
                <c:pt idx="0">
                  <c:v>20.044459815901106</c:v>
                </c:pt>
                <c:pt idx="1">
                  <c:v>16.710479574920264</c:v>
                </c:pt>
                <c:pt idx="2">
                  <c:v>7.7962568854599263</c:v>
                </c:pt>
                <c:pt idx="3">
                  <c:v>8.1722311164811927</c:v>
                </c:pt>
                <c:pt idx="4">
                  <c:v>8.6152984987865597</c:v>
                </c:pt>
                <c:pt idx="5">
                  <c:v>12.450188358569166</c:v>
                </c:pt>
                <c:pt idx="6">
                  <c:v>13.946003303280705</c:v>
                </c:pt>
                <c:pt idx="7">
                  <c:v>8.1108224012771739</c:v>
                </c:pt>
                <c:pt idx="8">
                  <c:v>15.004716031185913</c:v>
                </c:pt>
                <c:pt idx="9">
                  <c:v>16.601157908711123</c:v>
                </c:pt>
                <c:pt idx="10">
                  <c:v>9.0489822048391861</c:v>
                </c:pt>
                <c:pt idx="11">
                  <c:v>11.794633630668624</c:v>
                </c:pt>
                <c:pt idx="12">
                  <c:v>9.7604692890061173</c:v>
                </c:pt>
                <c:pt idx="13">
                  <c:v>11.627839713583194</c:v>
                </c:pt>
                <c:pt idx="14">
                  <c:v>6.5602976424674955</c:v>
                </c:pt>
                <c:pt idx="15">
                  <c:v>7.776924400262347</c:v>
                </c:pt>
                <c:pt idx="16">
                  <c:v>7.6880534304635795</c:v>
                </c:pt>
                <c:pt idx="17">
                  <c:v>8.2177454459542449</c:v>
                </c:pt>
                <c:pt idx="18">
                  <c:v>6.7484707367906553</c:v>
                </c:pt>
                <c:pt idx="19">
                  <c:v>4.3254529874680196</c:v>
                </c:pt>
                <c:pt idx="20">
                  <c:v>5.275175608307201</c:v>
                </c:pt>
                <c:pt idx="21">
                  <c:v>5.7886766058609496</c:v>
                </c:pt>
                <c:pt idx="22">
                  <c:v>5.8523462732683065</c:v>
                </c:pt>
                <c:pt idx="23">
                  <c:v>6.7633372452043092</c:v>
                </c:pt>
                <c:pt idx="24">
                  <c:v>7.1860926596911296</c:v>
                </c:pt>
                <c:pt idx="25">
                  <c:v>5.5532758192661289</c:v>
                </c:pt>
                <c:pt idx="26">
                  <c:v>12.151116458858102</c:v>
                </c:pt>
                <c:pt idx="27">
                  <c:v>4.3024724145401532</c:v>
                </c:pt>
                <c:pt idx="28">
                  <c:v>8.7282167564598669</c:v>
                </c:pt>
                <c:pt idx="29">
                  <c:v>9.7994950988086753</c:v>
                </c:pt>
                <c:pt idx="30">
                  <c:v>2.65252219683844</c:v>
                </c:pt>
                <c:pt idx="31">
                  <c:v>3.026375884310692</c:v>
                </c:pt>
                <c:pt idx="32">
                  <c:v>2.6439431028424085</c:v>
                </c:pt>
                <c:pt idx="33">
                  <c:v>4.3206465204507758</c:v>
                </c:pt>
                <c:pt idx="34">
                  <c:v>2.4080911163197323</c:v>
                </c:pt>
                <c:pt idx="35">
                  <c:v>2.3835340525401438</c:v>
                </c:pt>
                <c:pt idx="36">
                  <c:v>2.5727400736667989</c:v>
                </c:pt>
                <c:pt idx="37">
                  <c:v>3.0665695739916017</c:v>
                </c:pt>
                <c:pt idx="38">
                  <c:v>3.1306257704870668</c:v>
                </c:pt>
                <c:pt idx="39">
                  <c:v>3.0845340313581371</c:v>
                </c:pt>
                <c:pt idx="40">
                  <c:v>1.7528454070217276</c:v>
                </c:pt>
                <c:pt idx="41">
                  <c:v>4.379225120611598</c:v>
                </c:pt>
                <c:pt idx="42">
                  <c:v>2.7043553998769658</c:v>
                </c:pt>
                <c:pt idx="43">
                  <c:v>3.1336766662291908</c:v>
                </c:pt>
                <c:pt idx="44">
                  <c:v>2.5818008741515057</c:v>
                </c:pt>
                <c:pt idx="45">
                  <c:v>2.8291718029482098</c:v>
                </c:pt>
                <c:pt idx="46">
                  <c:v>3.2194697244006698</c:v>
                </c:pt>
                <c:pt idx="47">
                  <c:v>3.8167542972386639</c:v>
                </c:pt>
                <c:pt idx="48">
                  <c:v>0.45051172403902628</c:v>
                </c:pt>
                <c:pt idx="49">
                  <c:v>0.64291990595211446</c:v>
                </c:pt>
                <c:pt idx="50">
                  <c:v>0.72094308301803467</c:v>
                </c:pt>
                <c:pt idx="51">
                  <c:v>2.223570208948936</c:v>
                </c:pt>
                <c:pt idx="52">
                  <c:v>2.6506808922452847</c:v>
                </c:pt>
                <c:pt idx="53">
                  <c:v>2.9152361081163223</c:v>
                </c:pt>
                <c:pt idx="54">
                  <c:v>3.2020627147203613</c:v>
                </c:pt>
                <c:pt idx="55">
                  <c:v>2.7579546753327984</c:v>
                </c:pt>
                <c:pt idx="56">
                  <c:v>0.64544219092968547</c:v>
                </c:pt>
                <c:pt idx="57">
                  <c:v>0.72708235556765222</c:v>
                </c:pt>
                <c:pt idx="58">
                  <c:v>0.77510124139338188</c:v>
                </c:pt>
                <c:pt idx="59">
                  <c:v>1.3628054535559955</c:v>
                </c:pt>
                <c:pt idx="60">
                  <c:v>1.6402919930647506</c:v>
                </c:pt>
                <c:pt idx="61">
                  <c:v>1.0251946070454769</c:v>
                </c:pt>
                <c:pt idx="62">
                  <c:v>0.7604661332814634</c:v>
                </c:pt>
                <c:pt idx="63">
                  <c:v>0.74801345114095519</c:v>
                </c:pt>
                <c:pt idx="64">
                  <c:v>1.3229069018717858</c:v>
                </c:pt>
                <c:pt idx="65">
                  <c:v>1.3791091799581423</c:v>
                </c:pt>
                <c:pt idx="66">
                  <c:v>1.8851970238319542</c:v>
                </c:pt>
                <c:pt idx="67">
                  <c:v>1.9813205177471718</c:v>
                </c:pt>
                <c:pt idx="68">
                  <c:v>1.323192952316302</c:v>
                </c:pt>
                <c:pt idx="69">
                  <c:v>1.719373266918619</c:v>
                </c:pt>
                <c:pt idx="70">
                  <c:v>0.93098347923699321</c:v>
                </c:pt>
                <c:pt idx="71">
                  <c:v>2.061645213005427</c:v>
                </c:pt>
                <c:pt idx="72">
                  <c:v>2.23497240795359</c:v>
                </c:pt>
                <c:pt idx="73">
                  <c:v>0.4003637137372052</c:v>
                </c:pt>
                <c:pt idx="74">
                  <c:v>0.72209320346228845</c:v>
                </c:pt>
                <c:pt idx="75">
                  <c:v>0.55269962196074995</c:v>
                </c:pt>
                <c:pt idx="76">
                  <c:v>0.35400713029482556</c:v>
                </c:pt>
                <c:pt idx="77">
                  <c:v>0.28422222655498608</c:v>
                </c:pt>
                <c:pt idx="78">
                  <c:v>0.38139751853229464</c:v>
                </c:pt>
                <c:pt idx="79">
                  <c:v>0.22183678562712514</c:v>
                </c:pt>
                <c:pt idx="80">
                  <c:v>0.34731201101837383</c:v>
                </c:pt>
                <c:pt idx="81">
                  <c:v>0.31895092621841215</c:v>
                </c:pt>
                <c:pt idx="82">
                  <c:v>0.33007868171734683</c:v>
                </c:pt>
                <c:pt idx="83">
                  <c:v>0.39986377289270869</c:v>
                </c:pt>
                <c:pt idx="84">
                  <c:v>0.1249637856511434</c:v>
                </c:pt>
                <c:pt idx="85">
                  <c:v>0.25204807092174331</c:v>
                </c:pt>
                <c:pt idx="86">
                  <c:v>0.10285647997261373</c:v>
                </c:pt>
                <c:pt idx="87">
                  <c:v>2.6042826041969894E-2</c:v>
                </c:pt>
                <c:pt idx="88">
                  <c:v>1.2770343033087314E-2</c:v>
                </c:pt>
              </c:numCache>
            </c:numRef>
          </c:xVal>
          <c:yVal>
            <c:numRef>
              <c:f>'Calculation P'!$G$2:$G$90</c:f>
              <c:numCache>
                <c:formatCode>General</c:formatCode>
                <c:ptCount val="89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D3-F842-AF22-A4DFDCF24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902272"/>
        <c:axId val="217200512"/>
      </c:scatterChart>
      <c:valAx>
        <c:axId val="216902272"/>
        <c:scaling>
          <c:orientation val="minMax"/>
          <c:max val="2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3200"/>
                  <a:t>Induced Power [MW]</a:t>
                </a:r>
              </a:p>
            </c:rich>
          </c:tx>
          <c:layout>
            <c:manualLayout>
              <c:xMode val="edge"/>
              <c:yMode val="edge"/>
              <c:x val="0.65734080574448273"/>
              <c:y val="0.78942457701998203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7200512"/>
        <c:crosses val="autoZero"/>
        <c:crossBetween val="midCat"/>
      </c:valAx>
      <c:valAx>
        <c:axId val="217200512"/>
        <c:scaling>
          <c:orientation val="minMax"/>
          <c:max val="4"/>
          <c:min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crossAx val="21690227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29" r="0.70000000000000029" t="0.78740157499999996" header="0.30000000000000016" footer="0.30000000000000016"/>
    <c:pageSetup/>
  </c:printSettings>
  <c:userShapes r:id="rId4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200" b="1">
                <a:latin typeface="Arial" panose="020B0604020202020204" pitchFamily="34" charset="0"/>
                <a:cs typeface="Arial" panose="020B0604020202020204" pitchFamily="34" charset="0"/>
              </a:rPr>
              <a:t>EUROCONTROL WTC</a:t>
            </a:r>
            <a:endParaRPr lang="de-DE" sz="3200" b="1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2885758596243294"/>
          <c:y val="8.273659231884585E-2"/>
          <c:w val="0.8472142084528167"/>
          <c:h val="0.7910058955418536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16"/>
            <c:spPr>
              <a:solidFill>
                <a:srgbClr val="00B050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'Calculation P'!$U$2:$U$90</c:f>
              <c:numCache>
                <c:formatCode>General</c:formatCode>
                <c:ptCount val="89"/>
                <c:pt idx="0">
                  <c:v>20.044459815901106</c:v>
                </c:pt>
                <c:pt idx="1">
                  <c:v>16.710479574920264</c:v>
                </c:pt>
                <c:pt idx="2">
                  <c:v>7.7962568854599263</c:v>
                </c:pt>
                <c:pt idx="3">
                  <c:v>8.1722311164811927</c:v>
                </c:pt>
                <c:pt idx="4">
                  <c:v>8.6152984987865597</c:v>
                </c:pt>
                <c:pt idx="5">
                  <c:v>12.450188358569166</c:v>
                </c:pt>
                <c:pt idx="6">
                  <c:v>13.946003303280705</c:v>
                </c:pt>
                <c:pt idx="7">
                  <c:v>8.1108224012771739</c:v>
                </c:pt>
                <c:pt idx="8">
                  <c:v>15.004716031185913</c:v>
                </c:pt>
                <c:pt idx="9">
                  <c:v>16.601157908711123</c:v>
                </c:pt>
                <c:pt idx="10">
                  <c:v>9.0489822048391861</c:v>
                </c:pt>
                <c:pt idx="11">
                  <c:v>11.794633630668624</c:v>
                </c:pt>
                <c:pt idx="12">
                  <c:v>9.7604692890061173</c:v>
                </c:pt>
                <c:pt idx="13">
                  <c:v>11.627839713583194</c:v>
                </c:pt>
                <c:pt idx="14">
                  <c:v>6.5602976424674955</c:v>
                </c:pt>
                <c:pt idx="15">
                  <c:v>7.776924400262347</c:v>
                </c:pt>
                <c:pt idx="16">
                  <c:v>7.6880534304635795</c:v>
                </c:pt>
                <c:pt idx="17">
                  <c:v>8.2177454459542449</c:v>
                </c:pt>
                <c:pt idx="18">
                  <c:v>6.7484707367906553</c:v>
                </c:pt>
                <c:pt idx="19">
                  <c:v>4.3254529874680196</c:v>
                </c:pt>
                <c:pt idx="20">
                  <c:v>5.275175608307201</c:v>
                </c:pt>
                <c:pt idx="21">
                  <c:v>5.7886766058609496</c:v>
                </c:pt>
                <c:pt idx="22">
                  <c:v>5.8523462732683065</c:v>
                </c:pt>
                <c:pt idx="23">
                  <c:v>6.7633372452043092</c:v>
                </c:pt>
                <c:pt idx="24">
                  <c:v>7.1860926596911296</c:v>
                </c:pt>
                <c:pt idx="25">
                  <c:v>5.5532758192661289</c:v>
                </c:pt>
                <c:pt idx="26">
                  <c:v>12.151116458858102</c:v>
                </c:pt>
                <c:pt idx="27">
                  <c:v>4.3024724145401532</c:v>
                </c:pt>
                <c:pt idx="28">
                  <c:v>8.7282167564598669</c:v>
                </c:pt>
                <c:pt idx="29">
                  <c:v>9.7994950988086753</c:v>
                </c:pt>
                <c:pt idx="30">
                  <c:v>2.65252219683844</c:v>
                </c:pt>
                <c:pt idx="31">
                  <c:v>3.026375884310692</c:v>
                </c:pt>
                <c:pt idx="32">
                  <c:v>2.6439431028424085</c:v>
                </c:pt>
                <c:pt idx="33">
                  <c:v>4.3206465204507758</c:v>
                </c:pt>
                <c:pt idx="34">
                  <c:v>2.4080911163197323</c:v>
                </c:pt>
                <c:pt idx="35">
                  <c:v>2.3835340525401438</c:v>
                </c:pt>
                <c:pt idx="36">
                  <c:v>2.5727400736667989</c:v>
                </c:pt>
                <c:pt idx="37">
                  <c:v>3.0665695739916017</c:v>
                </c:pt>
                <c:pt idx="38">
                  <c:v>3.1306257704870668</c:v>
                </c:pt>
                <c:pt idx="39">
                  <c:v>3.0845340313581371</c:v>
                </c:pt>
                <c:pt idx="40">
                  <c:v>1.7528454070217276</c:v>
                </c:pt>
                <c:pt idx="41">
                  <c:v>4.379225120611598</c:v>
                </c:pt>
                <c:pt idx="42">
                  <c:v>2.7043553998769658</c:v>
                </c:pt>
                <c:pt idx="43">
                  <c:v>3.1336766662291908</c:v>
                </c:pt>
                <c:pt idx="44">
                  <c:v>2.5818008741515057</c:v>
                </c:pt>
                <c:pt idx="45">
                  <c:v>2.8291718029482098</c:v>
                </c:pt>
                <c:pt idx="46">
                  <c:v>3.2194697244006698</c:v>
                </c:pt>
                <c:pt idx="47">
                  <c:v>3.8167542972386639</c:v>
                </c:pt>
                <c:pt idx="48">
                  <c:v>0.45051172403902628</c:v>
                </c:pt>
                <c:pt idx="49">
                  <c:v>0.64291990595211446</c:v>
                </c:pt>
                <c:pt idx="50">
                  <c:v>0.72094308301803467</c:v>
                </c:pt>
                <c:pt idx="51">
                  <c:v>2.223570208948936</c:v>
                </c:pt>
                <c:pt idx="52">
                  <c:v>2.6506808922452847</c:v>
                </c:pt>
                <c:pt idx="53">
                  <c:v>2.9152361081163223</c:v>
                </c:pt>
                <c:pt idx="54">
                  <c:v>3.2020627147203613</c:v>
                </c:pt>
                <c:pt idx="55">
                  <c:v>2.7579546753327984</c:v>
                </c:pt>
                <c:pt idx="56">
                  <c:v>0.64544219092968547</c:v>
                </c:pt>
                <c:pt idx="57">
                  <c:v>0.72708235556765222</c:v>
                </c:pt>
                <c:pt idx="58">
                  <c:v>0.77510124139338188</c:v>
                </c:pt>
                <c:pt idx="59">
                  <c:v>1.3628054535559955</c:v>
                </c:pt>
                <c:pt idx="60">
                  <c:v>1.6402919930647506</c:v>
                </c:pt>
                <c:pt idx="61">
                  <c:v>1.0251946070454769</c:v>
                </c:pt>
                <c:pt idx="62">
                  <c:v>0.7604661332814634</c:v>
                </c:pt>
                <c:pt idx="63">
                  <c:v>0.74801345114095519</c:v>
                </c:pt>
                <c:pt idx="64">
                  <c:v>1.3229069018717858</c:v>
                </c:pt>
                <c:pt idx="65">
                  <c:v>1.3791091799581423</c:v>
                </c:pt>
                <c:pt idx="66">
                  <c:v>1.8851970238319542</c:v>
                </c:pt>
                <c:pt idx="67">
                  <c:v>1.9813205177471718</c:v>
                </c:pt>
                <c:pt idx="68">
                  <c:v>1.323192952316302</c:v>
                </c:pt>
                <c:pt idx="69">
                  <c:v>1.719373266918619</c:v>
                </c:pt>
                <c:pt idx="70">
                  <c:v>0.93098347923699321</c:v>
                </c:pt>
                <c:pt idx="71">
                  <c:v>2.061645213005427</c:v>
                </c:pt>
                <c:pt idx="72">
                  <c:v>2.23497240795359</c:v>
                </c:pt>
                <c:pt idx="73">
                  <c:v>0.4003637137372052</c:v>
                </c:pt>
                <c:pt idx="74">
                  <c:v>0.72209320346228845</c:v>
                </c:pt>
                <c:pt idx="75">
                  <c:v>0.55269962196074995</c:v>
                </c:pt>
                <c:pt idx="76">
                  <c:v>0.35400713029482556</c:v>
                </c:pt>
                <c:pt idx="77">
                  <c:v>0.28422222655498608</c:v>
                </c:pt>
                <c:pt idx="78">
                  <c:v>0.38139751853229464</c:v>
                </c:pt>
                <c:pt idx="79">
                  <c:v>0.22183678562712514</c:v>
                </c:pt>
                <c:pt idx="80">
                  <c:v>0.34731201101837383</c:v>
                </c:pt>
                <c:pt idx="81">
                  <c:v>0.31895092621841215</c:v>
                </c:pt>
                <c:pt idx="82">
                  <c:v>0.33007868171734683</c:v>
                </c:pt>
                <c:pt idx="83">
                  <c:v>0.39986377289270869</c:v>
                </c:pt>
                <c:pt idx="84">
                  <c:v>0.1249637856511434</c:v>
                </c:pt>
                <c:pt idx="85">
                  <c:v>0.25204807092174331</c:v>
                </c:pt>
                <c:pt idx="86">
                  <c:v>0.10285647997261373</c:v>
                </c:pt>
                <c:pt idx="87">
                  <c:v>2.6042826041969894E-2</c:v>
                </c:pt>
                <c:pt idx="88">
                  <c:v>1.2770343033087314E-2</c:v>
                </c:pt>
              </c:numCache>
            </c:numRef>
          </c:xVal>
          <c:yVal>
            <c:numRef>
              <c:f>'Calculation P'!$E$2:$E$90</c:f>
              <c:numCache>
                <c:formatCode>General</c:formatCode>
                <c:ptCount val="89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B5-3349-819D-3C30AF0EE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257856"/>
        <c:axId val="217273472"/>
      </c:scatterChart>
      <c:valAx>
        <c:axId val="217257856"/>
        <c:scaling>
          <c:orientation val="minMax"/>
          <c:max val="2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3200"/>
                  <a:t>Induced Power [MW]</a:t>
                </a:r>
              </a:p>
            </c:rich>
          </c:tx>
          <c:layout>
            <c:manualLayout>
              <c:xMode val="edge"/>
              <c:yMode val="edge"/>
              <c:x val="0.6579696619005676"/>
              <c:y val="0.79322645600991359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7273472"/>
        <c:crosses val="autoZero"/>
        <c:crossBetween val="midCat"/>
      </c:valAx>
      <c:valAx>
        <c:axId val="217273472"/>
        <c:scaling>
          <c:orientation val="minMax"/>
          <c:max val="6"/>
          <c:min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crossAx val="21725785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29" r="0.70000000000000029" t="0.78740157499999996" header="0.30000000000000016" footer="0.30000000000000016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200">
                <a:latin typeface="Arial" panose="020B0604020202020204" pitchFamily="34" charset="0"/>
                <a:cs typeface="Arial" panose="020B0604020202020204" pitchFamily="34" charset="0"/>
              </a:rPr>
              <a:t>FAA WTC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26936628545682E-2"/>
          <c:y val="8.4708340354331363E-2"/>
          <c:w val="0.91147337844415099"/>
          <c:h val="0.785835727863162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'Calculation P'!$U$1</c:f>
              <c:strCache>
                <c:ptCount val="1"/>
                <c:pt idx="0">
                  <c:v>in MW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6"/>
            <c:spPr>
              <a:solidFill>
                <a:schemeClr val="tx1"/>
              </a:solidFill>
              <a:ln w="9525">
                <a:noFill/>
                <a:round/>
              </a:ln>
              <a:effectLst/>
            </c:spPr>
          </c:marker>
          <c:xVal>
            <c:numRef>
              <c:f>'Calculation P'!$U$2:$U$90</c:f>
              <c:numCache>
                <c:formatCode>General</c:formatCode>
                <c:ptCount val="89"/>
                <c:pt idx="0">
                  <c:v>20.044459815901106</c:v>
                </c:pt>
                <c:pt idx="1">
                  <c:v>16.710479574920264</c:v>
                </c:pt>
                <c:pt idx="2">
                  <c:v>7.7962568854599263</c:v>
                </c:pt>
                <c:pt idx="3">
                  <c:v>8.1722311164811927</c:v>
                </c:pt>
                <c:pt idx="4">
                  <c:v>8.6152984987865597</c:v>
                </c:pt>
                <c:pt idx="5">
                  <c:v>12.450188358569166</c:v>
                </c:pt>
                <c:pt idx="6">
                  <c:v>13.946003303280705</c:v>
                </c:pt>
                <c:pt idx="7">
                  <c:v>8.1108224012771739</c:v>
                </c:pt>
                <c:pt idx="8">
                  <c:v>15.004716031185913</c:v>
                </c:pt>
                <c:pt idx="9">
                  <c:v>16.601157908711123</c:v>
                </c:pt>
                <c:pt idx="10">
                  <c:v>9.0489822048391861</c:v>
                </c:pt>
                <c:pt idx="11">
                  <c:v>11.794633630668624</c:v>
                </c:pt>
                <c:pt idx="12">
                  <c:v>9.7604692890061173</c:v>
                </c:pt>
                <c:pt idx="13">
                  <c:v>11.627839713583194</c:v>
                </c:pt>
                <c:pt idx="14">
                  <c:v>6.5602976424674955</c:v>
                </c:pt>
                <c:pt idx="15">
                  <c:v>7.776924400262347</c:v>
                </c:pt>
                <c:pt idx="16">
                  <c:v>7.6880534304635795</c:v>
                </c:pt>
                <c:pt idx="17">
                  <c:v>8.2177454459542449</c:v>
                </c:pt>
                <c:pt idx="18">
                  <c:v>6.7484707367906553</c:v>
                </c:pt>
                <c:pt idx="19">
                  <c:v>4.3254529874680196</c:v>
                </c:pt>
                <c:pt idx="20">
                  <c:v>5.275175608307201</c:v>
                </c:pt>
                <c:pt idx="21">
                  <c:v>5.7886766058609496</c:v>
                </c:pt>
                <c:pt idx="22">
                  <c:v>5.8523462732683065</c:v>
                </c:pt>
                <c:pt idx="23">
                  <c:v>6.7633372452043092</c:v>
                </c:pt>
                <c:pt idx="24">
                  <c:v>7.1860926596911296</c:v>
                </c:pt>
                <c:pt idx="25">
                  <c:v>5.5532758192661289</c:v>
                </c:pt>
                <c:pt idx="26">
                  <c:v>12.151116458858102</c:v>
                </c:pt>
                <c:pt idx="27">
                  <c:v>4.3024724145401532</c:v>
                </c:pt>
                <c:pt idx="28">
                  <c:v>8.7282167564598669</c:v>
                </c:pt>
                <c:pt idx="29">
                  <c:v>9.7994950988086753</c:v>
                </c:pt>
                <c:pt idx="30">
                  <c:v>2.65252219683844</c:v>
                </c:pt>
                <c:pt idx="31">
                  <c:v>3.026375884310692</c:v>
                </c:pt>
                <c:pt idx="32">
                  <c:v>2.6439431028424085</c:v>
                </c:pt>
                <c:pt idx="33">
                  <c:v>4.3206465204507758</c:v>
                </c:pt>
                <c:pt idx="34">
                  <c:v>2.4080911163197323</c:v>
                </c:pt>
                <c:pt idx="35">
                  <c:v>2.3835340525401438</c:v>
                </c:pt>
                <c:pt idx="36">
                  <c:v>2.5727400736667989</c:v>
                </c:pt>
                <c:pt idx="37">
                  <c:v>3.0665695739916017</c:v>
                </c:pt>
                <c:pt idx="38">
                  <c:v>3.1306257704870668</c:v>
                </c:pt>
                <c:pt idx="39">
                  <c:v>3.0845340313581371</c:v>
                </c:pt>
                <c:pt idx="40">
                  <c:v>1.7528454070217276</c:v>
                </c:pt>
                <c:pt idx="41">
                  <c:v>4.379225120611598</c:v>
                </c:pt>
                <c:pt idx="42">
                  <c:v>2.7043553998769658</c:v>
                </c:pt>
                <c:pt idx="43">
                  <c:v>3.1336766662291908</c:v>
                </c:pt>
                <c:pt idx="44">
                  <c:v>2.5818008741515057</c:v>
                </c:pt>
                <c:pt idx="45">
                  <c:v>2.8291718029482098</c:v>
                </c:pt>
                <c:pt idx="46">
                  <c:v>3.2194697244006698</c:v>
                </c:pt>
                <c:pt idx="47">
                  <c:v>3.8167542972386639</c:v>
                </c:pt>
                <c:pt idx="48">
                  <c:v>0.45051172403902628</c:v>
                </c:pt>
                <c:pt idx="49">
                  <c:v>0.64291990595211446</c:v>
                </c:pt>
                <c:pt idx="50">
                  <c:v>0.72094308301803467</c:v>
                </c:pt>
                <c:pt idx="51">
                  <c:v>2.223570208948936</c:v>
                </c:pt>
                <c:pt idx="52">
                  <c:v>2.6506808922452847</c:v>
                </c:pt>
                <c:pt idx="53">
                  <c:v>2.9152361081163223</c:v>
                </c:pt>
                <c:pt idx="54">
                  <c:v>3.2020627147203613</c:v>
                </c:pt>
                <c:pt idx="55">
                  <c:v>2.7579546753327984</c:v>
                </c:pt>
                <c:pt idx="56">
                  <c:v>0.64544219092968547</c:v>
                </c:pt>
                <c:pt idx="57">
                  <c:v>0.72708235556765222</c:v>
                </c:pt>
                <c:pt idx="58">
                  <c:v>0.77510124139338188</c:v>
                </c:pt>
                <c:pt idx="59">
                  <c:v>1.3628054535559955</c:v>
                </c:pt>
                <c:pt idx="60">
                  <c:v>1.6402919930647506</c:v>
                </c:pt>
                <c:pt idx="61">
                  <c:v>1.0251946070454769</c:v>
                </c:pt>
                <c:pt idx="62">
                  <c:v>0.7604661332814634</c:v>
                </c:pt>
                <c:pt idx="63">
                  <c:v>0.74801345114095519</c:v>
                </c:pt>
                <c:pt idx="64">
                  <c:v>1.3229069018717858</c:v>
                </c:pt>
                <c:pt idx="65">
                  <c:v>1.3791091799581423</c:v>
                </c:pt>
                <c:pt idx="66">
                  <c:v>1.8851970238319542</c:v>
                </c:pt>
                <c:pt idx="67">
                  <c:v>1.9813205177471718</c:v>
                </c:pt>
                <c:pt idx="68">
                  <c:v>1.323192952316302</c:v>
                </c:pt>
                <c:pt idx="69">
                  <c:v>1.719373266918619</c:v>
                </c:pt>
                <c:pt idx="70">
                  <c:v>0.93098347923699321</c:v>
                </c:pt>
                <c:pt idx="71">
                  <c:v>2.061645213005427</c:v>
                </c:pt>
                <c:pt idx="72">
                  <c:v>2.23497240795359</c:v>
                </c:pt>
                <c:pt idx="73">
                  <c:v>0.4003637137372052</c:v>
                </c:pt>
                <c:pt idx="74">
                  <c:v>0.72209320346228845</c:v>
                </c:pt>
                <c:pt idx="75">
                  <c:v>0.55269962196074995</c:v>
                </c:pt>
                <c:pt idx="76">
                  <c:v>0.35400713029482556</c:v>
                </c:pt>
                <c:pt idx="77">
                  <c:v>0.28422222655498608</c:v>
                </c:pt>
                <c:pt idx="78">
                  <c:v>0.38139751853229464</c:v>
                </c:pt>
                <c:pt idx="79">
                  <c:v>0.22183678562712514</c:v>
                </c:pt>
                <c:pt idx="80">
                  <c:v>0.34731201101837383</c:v>
                </c:pt>
                <c:pt idx="81">
                  <c:v>0.31895092621841215</c:v>
                </c:pt>
                <c:pt idx="82">
                  <c:v>0.33007868171734683</c:v>
                </c:pt>
                <c:pt idx="83">
                  <c:v>0.39986377289270869</c:v>
                </c:pt>
                <c:pt idx="84">
                  <c:v>0.1249637856511434</c:v>
                </c:pt>
                <c:pt idx="85">
                  <c:v>0.25204807092174331</c:v>
                </c:pt>
                <c:pt idx="86">
                  <c:v>0.10285647997261373</c:v>
                </c:pt>
                <c:pt idx="87">
                  <c:v>2.6042826041969894E-2</c:v>
                </c:pt>
                <c:pt idx="88">
                  <c:v>1.2770343033087314E-2</c:v>
                </c:pt>
              </c:numCache>
            </c:numRef>
          </c:xVal>
          <c:yVal>
            <c:numRef>
              <c:f>'Calculation P'!$I$2:$I$90</c:f>
              <c:numCache>
                <c:formatCode>General</c:formatCode>
                <c:ptCount val="89"/>
                <c:pt idx="0">
                  <c:v>9</c:v>
                </c:pt>
                <c:pt idx="1">
                  <c:v>6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8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6">
                  <c:v>4</c:v>
                </c:pt>
                <c:pt idx="70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30-594B-8704-39CDCAB7B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178688"/>
        <c:axId val="218190208"/>
      </c:scatterChart>
      <c:valAx>
        <c:axId val="218178688"/>
        <c:scaling>
          <c:orientation val="minMax"/>
          <c:max val="2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3200"/>
                  <a:t>Induced Power [MW]</a:t>
                </a:r>
              </a:p>
            </c:rich>
          </c:tx>
          <c:layout>
            <c:manualLayout>
              <c:xMode val="edge"/>
              <c:yMode val="edge"/>
              <c:x val="0.67953955847233649"/>
              <c:y val="0.80094286348849175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8190208"/>
        <c:crosses val="autoZero"/>
        <c:crossBetween val="midCat"/>
      </c:valAx>
      <c:valAx>
        <c:axId val="218190208"/>
        <c:scaling>
          <c:orientation val="minMax"/>
          <c:max val="9"/>
          <c:min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crossAx val="218178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29" r="0.70000000000000029" t="0.78740157499999996" header="0.30000000000000016" footer="0.30000000000000016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8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9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40</xdr:col>
      <xdr:colOff>623859</xdr:colOff>
      <xdr:row>70</xdr:row>
      <xdr:rowOff>66842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7092A0D-468B-7A4F-915B-4DB7FC494A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51837</xdr:colOff>
      <xdr:row>75</xdr:row>
      <xdr:rowOff>1</xdr:rowOff>
    </xdr:from>
    <xdr:to>
      <xdr:col>40</xdr:col>
      <xdr:colOff>675696</xdr:colOff>
      <xdr:row>145</xdr:row>
      <xdr:rowOff>66843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A52B3222-5EEA-7443-860B-993529712A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150</xdr:row>
      <xdr:rowOff>25919</xdr:rowOff>
    </xdr:from>
    <xdr:to>
      <xdr:col>40</xdr:col>
      <xdr:colOff>623859</xdr:colOff>
      <xdr:row>220</xdr:row>
      <xdr:rowOff>92761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683A1A6F-C692-E142-AF61-7DED717F69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386520</xdr:colOff>
      <xdr:row>0</xdr:row>
      <xdr:rowOff>0</xdr:rowOff>
    </xdr:from>
    <xdr:to>
      <xdr:col>77</xdr:col>
      <xdr:colOff>55217</xdr:colOff>
      <xdr:row>71</xdr:row>
      <xdr:rowOff>55216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109661C8-46E7-9B45-8F66-51F35EA0D1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811752</xdr:colOff>
      <xdr:row>95</xdr:row>
      <xdr:rowOff>104742</xdr:rowOff>
    </xdr:from>
    <xdr:to>
      <xdr:col>18</xdr:col>
      <xdr:colOff>811752</xdr:colOff>
      <xdr:row>127</xdr:row>
      <xdr:rowOff>170206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586AAAC-025C-78D8-592B-0134AAE2FF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246357</xdr:colOff>
      <xdr:row>4</xdr:row>
      <xdr:rowOff>125014</xdr:rowOff>
    </xdr:from>
    <xdr:to>
      <xdr:col>15</xdr:col>
      <xdr:colOff>247949</xdr:colOff>
      <xdr:row>43</xdr:row>
      <xdr:rowOff>21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8B00121-0A68-7B48-BD66-E3DB10DD16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247949</xdr:colOff>
      <xdr:row>4</xdr:row>
      <xdr:rowOff>125014</xdr:rowOff>
    </xdr:from>
    <xdr:to>
      <xdr:col>29</xdr:col>
      <xdr:colOff>228600</xdr:colOff>
      <xdr:row>43</xdr:row>
      <xdr:rowOff>4838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A6CE611C-C552-4442-A4A0-495046202B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251810</xdr:colOff>
      <xdr:row>45</xdr:row>
      <xdr:rowOff>126800</xdr:rowOff>
    </xdr:from>
    <xdr:to>
      <xdr:col>15</xdr:col>
      <xdr:colOff>254001</xdr:colOff>
      <xdr:row>83</xdr:row>
      <xdr:rowOff>152400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E66C20C2-DDF3-1D46-B50B-3EB88D0207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249903</xdr:colOff>
      <xdr:row>45</xdr:row>
      <xdr:rowOff>82097</xdr:rowOff>
    </xdr:from>
    <xdr:to>
      <xdr:col>29</xdr:col>
      <xdr:colOff>228600</xdr:colOff>
      <xdr:row>83</xdr:row>
      <xdr:rowOff>152400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267CD672-B68D-C84D-A5C4-ECFEF5E5BE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267368</xdr:colOff>
      <xdr:row>4</xdr:row>
      <xdr:rowOff>178246</xdr:rowOff>
    </xdr:from>
    <xdr:to>
      <xdr:col>44</xdr:col>
      <xdr:colOff>269559</xdr:colOff>
      <xdr:row>43</xdr:row>
      <xdr:rowOff>3319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EC9156E4-EB40-C145-AEDD-F0FEEAC9BC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0.01071</cdr:x>
      <cdr:y>0.07939</cdr:y>
    </cdr:from>
    <cdr:to>
      <cdr:x>0.11657</cdr:x>
      <cdr:y>0.12823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8A097C91-2626-5BED-D768-65ECB06B1F08}"/>
            </a:ext>
          </a:extLst>
        </cdr:cNvPr>
        <cdr:cNvSpPr txBox="1"/>
      </cdr:nvSpPr>
      <cdr:spPr>
        <a:xfrm xmlns:a="http://schemas.openxmlformats.org/drawingml/2006/main">
          <a:off x="122903" y="624545"/>
          <a:ext cx="1214509" cy="384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2800" b="1">
              <a:latin typeface="Arial" panose="020B0604020202020204" pitchFamily="34" charset="0"/>
              <a:cs typeface="Arial" panose="020B0604020202020204" pitchFamily="34" charset="0"/>
            </a:rPr>
            <a:t>CAT I</a:t>
          </a:r>
        </a:p>
      </cdr:txBody>
    </cdr:sp>
  </cdr:relSizeAnchor>
  <cdr:relSizeAnchor xmlns:cdr="http://schemas.openxmlformats.org/drawingml/2006/chartDrawing">
    <cdr:from>
      <cdr:x>0.00714</cdr:x>
      <cdr:y>0.33197</cdr:y>
    </cdr:from>
    <cdr:to>
      <cdr:x>0.11042</cdr:x>
      <cdr:y>0.40597</cdr:y>
    </cdr:to>
    <cdr:sp macro="" textlink="">
      <cdr:nvSpPr>
        <cdr:cNvPr id="3" name="Textfeld 1">
          <a:extLst xmlns:a="http://schemas.openxmlformats.org/drawingml/2006/main">
            <a:ext uri="{FF2B5EF4-FFF2-40B4-BE49-F238E27FC236}">
              <a16:creationId xmlns:a16="http://schemas.microsoft.com/office/drawing/2014/main" id="{E83CC4D7-ACE9-F743-4B6E-95CD96C00F38}"/>
            </a:ext>
          </a:extLst>
        </cdr:cNvPr>
        <cdr:cNvSpPr txBox="1"/>
      </cdr:nvSpPr>
      <cdr:spPr>
        <a:xfrm xmlns:a="http://schemas.openxmlformats.org/drawingml/2006/main">
          <a:off x="81935" y="2611556"/>
          <a:ext cx="1184892" cy="5821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2700" b="1">
              <a:latin typeface="Arial" panose="020B0604020202020204" pitchFamily="34" charset="0"/>
              <a:cs typeface="Arial" panose="020B0604020202020204" pitchFamily="34" charset="0"/>
            </a:rPr>
            <a:t>CAT</a:t>
          </a:r>
          <a:r>
            <a:rPr lang="de-DE" sz="2800" b="1">
              <a:latin typeface="Arial" panose="020B0604020202020204" pitchFamily="34" charset="0"/>
              <a:cs typeface="Arial" panose="020B0604020202020204" pitchFamily="34" charset="0"/>
            </a:rPr>
            <a:t> II</a:t>
          </a:r>
        </a:p>
      </cdr:txBody>
    </cdr:sp>
  </cdr:relSizeAnchor>
  <cdr:relSizeAnchor xmlns:cdr="http://schemas.openxmlformats.org/drawingml/2006/chartDrawing">
    <cdr:from>
      <cdr:x>0.00357</cdr:x>
      <cdr:y>0.58882</cdr:y>
    </cdr:from>
    <cdr:to>
      <cdr:x>0.12618</cdr:x>
      <cdr:y>0.66784</cdr:y>
    </cdr:to>
    <cdr:sp macro="" textlink="">
      <cdr:nvSpPr>
        <cdr:cNvPr id="4" name="Textfeld 1">
          <a:extLst xmlns:a="http://schemas.openxmlformats.org/drawingml/2006/main">
            <a:ext uri="{FF2B5EF4-FFF2-40B4-BE49-F238E27FC236}">
              <a16:creationId xmlns:a16="http://schemas.microsoft.com/office/drawing/2014/main" id="{AFC3AA56-177D-4A34-7D06-0DDC56D9FD8B}"/>
            </a:ext>
          </a:extLst>
        </cdr:cNvPr>
        <cdr:cNvSpPr txBox="1"/>
      </cdr:nvSpPr>
      <cdr:spPr>
        <a:xfrm xmlns:a="http://schemas.openxmlformats.org/drawingml/2006/main">
          <a:off x="41910" y="4592654"/>
          <a:ext cx="1438933" cy="6163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2800" b="1">
              <a:latin typeface="Arial" panose="020B0604020202020204" pitchFamily="34" charset="0"/>
              <a:cs typeface="Arial" panose="020B0604020202020204" pitchFamily="34" charset="0"/>
            </a:rPr>
            <a:t>CAT III</a:t>
          </a:r>
        </a:p>
      </cdr:txBody>
    </cdr:sp>
  </cdr:relSizeAnchor>
  <cdr:relSizeAnchor xmlns:cdr="http://schemas.openxmlformats.org/drawingml/2006/chartDrawing">
    <cdr:from>
      <cdr:x>0</cdr:x>
      <cdr:y>0.83686</cdr:y>
    </cdr:from>
    <cdr:to>
      <cdr:x>0.12185</cdr:x>
      <cdr:y>0.91533</cdr:y>
    </cdr:to>
    <cdr:sp macro="" textlink="">
      <cdr:nvSpPr>
        <cdr:cNvPr id="5" name="Textfeld 1">
          <a:extLst xmlns:a="http://schemas.openxmlformats.org/drawingml/2006/main">
            <a:ext uri="{FF2B5EF4-FFF2-40B4-BE49-F238E27FC236}">
              <a16:creationId xmlns:a16="http://schemas.microsoft.com/office/drawing/2014/main" id="{AFC3AA56-177D-4A34-7D06-0DDC56D9FD8B}"/>
            </a:ext>
          </a:extLst>
        </cdr:cNvPr>
        <cdr:cNvSpPr txBox="1"/>
      </cdr:nvSpPr>
      <cdr:spPr>
        <a:xfrm xmlns:a="http://schemas.openxmlformats.org/drawingml/2006/main">
          <a:off x="0" y="6527376"/>
          <a:ext cx="1430043" cy="6120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2800" b="1">
              <a:latin typeface="Arial" panose="020B0604020202020204" pitchFamily="34" charset="0"/>
              <a:cs typeface="Arial" panose="020B0604020202020204" pitchFamily="34" charset="0"/>
            </a:rPr>
            <a:t>CAT IV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0.01496</cdr:x>
      <cdr:y>0.07088</cdr:y>
    </cdr:from>
    <cdr:to>
      <cdr:x>0.07857</cdr:x>
      <cdr:y>0.13756</cdr:y>
    </cdr:to>
    <cdr:sp macro="" textlink="">
      <cdr:nvSpPr>
        <cdr:cNvPr id="6" name="Textfeld 1">
          <a:extLst xmlns:a="http://schemas.openxmlformats.org/drawingml/2006/main">
            <a:ext uri="{FF2B5EF4-FFF2-40B4-BE49-F238E27FC236}">
              <a16:creationId xmlns:a16="http://schemas.microsoft.com/office/drawing/2014/main" id="{1E5610B0-E864-E66A-9686-9E9D3067BBD3}"/>
            </a:ext>
          </a:extLst>
        </cdr:cNvPr>
        <cdr:cNvSpPr txBox="1"/>
      </cdr:nvSpPr>
      <cdr:spPr>
        <a:xfrm xmlns:a="http://schemas.openxmlformats.org/drawingml/2006/main">
          <a:off x="177429" y="553181"/>
          <a:ext cx="754529" cy="5204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3200" b="1">
              <a:latin typeface="Arial" panose="020B0604020202020204" pitchFamily="34" charset="0"/>
              <a:cs typeface="Arial" panose="020B0604020202020204" pitchFamily="34" charset="0"/>
            </a:rPr>
            <a:t>J</a:t>
          </a:r>
        </a:p>
      </cdr:txBody>
    </cdr:sp>
  </cdr:relSizeAnchor>
  <cdr:relSizeAnchor xmlns:cdr="http://schemas.openxmlformats.org/drawingml/2006/chartDrawing">
    <cdr:from>
      <cdr:x>0.00857</cdr:x>
      <cdr:y>0.32197</cdr:y>
    </cdr:from>
    <cdr:to>
      <cdr:x>0.07218</cdr:x>
      <cdr:y>0.37049</cdr:y>
    </cdr:to>
    <cdr:sp macro="" textlink="">
      <cdr:nvSpPr>
        <cdr:cNvPr id="7" name="Textfeld 1">
          <a:extLst xmlns:a="http://schemas.openxmlformats.org/drawingml/2006/main">
            <a:ext uri="{FF2B5EF4-FFF2-40B4-BE49-F238E27FC236}">
              <a16:creationId xmlns:a16="http://schemas.microsoft.com/office/drawing/2014/main" id="{4006C760-1022-721B-ED9F-D4BEA2452FED}"/>
            </a:ext>
          </a:extLst>
        </cdr:cNvPr>
        <cdr:cNvSpPr txBox="1"/>
      </cdr:nvSpPr>
      <cdr:spPr>
        <a:xfrm xmlns:a="http://schemas.openxmlformats.org/drawingml/2006/main">
          <a:off x="101600" y="2512833"/>
          <a:ext cx="754529" cy="3786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3200" b="1">
              <a:latin typeface="Arial" panose="020B0604020202020204" pitchFamily="34" charset="0"/>
              <a:cs typeface="Arial" panose="020B0604020202020204" pitchFamily="34" charset="0"/>
            </a:rPr>
            <a:t>H</a:t>
          </a:r>
        </a:p>
      </cdr:txBody>
    </cdr:sp>
  </cdr:relSizeAnchor>
  <cdr:relSizeAnchor xmlns:cdr="http://schemas.openxmlformats.org/drawingml/2006/chartDrawing">
    <cdr:from>
      <cdr:x>0.00642</cdr:x>
      <cdr:y>0.57041</cdr:y>
    </cdr:from>
    <cdr:to>
      <cdr:x>0.07003</cdr:x>
      <cdr:y>0.62248</cdr:y>
    </cdr:to>
    <cdr:sp macro="" textlink="">
      <cdr:nvSpPr>
        <cdr:cNvPr id="8" name="Textfeld 1">
          <a:extLst xmlns:a="http://schemas.openxmlformats.org/drawingml/2006/main">
            <a:ext uri="{FF2B5EF4-FFF2-40B4-BE49-F238E27FC236}">
              <a16:creationId xmlns:a16="http://schemas.microsoft.com/office/drawing/2014/main" id="{27BBCFDC-B3BF-B679-A602-A57289775998}"/>
            </a:ext>
          </a:extLst>
        </cdr:cNvPr>
        <cdr:cNvSpPr txBox="1"/>
      </cdr:nvSpPr>
      <cdr:spPr>
        <a:xfrm xmlns:a="http://schemas.openxmlformats.org/drawingml/2006/main">
          <a:off x="76200" y="4451824"/>
          <a:ext cx="754529" cy="4064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3200" b="1">
              <a:latin typeface="Arial" panose="020B0604020202020204" pitchFamily="34" charset="0"/>
              <a:cs typeface="Arial" panose="020B0604020202020204" pitchFamily="34" charset="0"/>
            </a:rPr>
            <a:t>M</a:t>
          </a:r>
        </a:p>
      </cdr:txBody>
    </cdr:sp>
  </cdr:relSizeAnchor>
  <cdr:relSizeAnchor xmlns:cdr="http://schemas.openxmlformats.org/drawingml/2006/chartDrawing">
    <cdr:from>
      <cdr:x>0.01068</cdr:x>
      <cdr:y>0.82965</cdr:y>
    </cdr:from>
    <cdr:to>
      <cdr:x>0.06297</cdr:x>
      <cdr:y>0.89451</cdr:y>
    </cdr:to>
    <cdr:sp macro="" textlink="">
      <cdr:nvSpPr>
        <cdr:cNvPr id="9" name="Textfeld 1">
          <a:extLst xmlns:a="http://schemas.openxmlformats.org/drawingml/2006/main">
            <a:ext uri="{FF2B5EF4-FFF2-40B4-BE49-F238E27FC236}">
              <a16:creationId xmlns:a16="http://schemas.microsoft.com/office/drawing/2014/main" id="{F5EDAF72-5763-BEAB-6389-1C01763255B4}"/>
            </a:ext>
          </a:extLst>
        </cdr:cNvPr>
        <cdr:cNvSpPr txBox="1"/>
      </cdr:nvSpPr>
      <cdr:spPr>
        <a:xfrm xmlns:a="http://schemas.openxmlformats.org/drawingml/2006/main">
          <a:off x="126629" y="6475141"/>
          <a:ext cx="620304" cy="5062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3200" b="1">
              <a:latin typeface="Arial" panose="020B0604020202020204" pitchFamily="34" charset="0"/>
              <a:cs typeface="Arial" panose="020B0604020202020204" pitchFamily="34" charset="0"/>
            </a:rPr>
            <a:t>L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0.00441</cdr:x>
      <cdr:y>0.0587</cdr:y>
    </cdr:from>
    <cdr:to>
      <cdr:x>0.13813</cdr:x>
      <cdr:y>0.15869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78AFA867-4894-CC8E-098F-FC6981627258}"/>
            </a:ext>
          </a:extLst>
        </cdr:cNvPr>
        <cdr:cNvSpPr txBox="1"/>
      </cdr:nvSpPr>
      <cdr:spPr>
        <a:xfrm xmlns:a="http://schemas.openxmlformats.org/drawingml/2006/main">
          <a:off x="50800" y="436863"/>
          <a:ext cx="1540859" cy="7441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2800" b="1">
              <a:latin typeface="Arial" panose="020B0604020202020204" pitchFamily="34" charset="0"/>
              <a:cs typeface="Arial" panose="020B0604020202020204" pitchFamily="34" charset="0"/>
            </a:rPr>
            <a:t>CAT- A</a:t>
          </a:r>
        </a:p>
      </cdr:txBody>
    </cdr:sp>
  </cdr:relSizeAnchor>
  <cdr:relSizeAnchor xmlns:cdr="http://schemas.openxmlformats.org/drawingml/2006/chartDrawing">
    <cdr:from>
      <cdr:x>0.00588</cdr:x>
      <cdr:y>0.20846</cdr:y>
    </cdr:from>
    <cdr:to>
      <cdr:x>0.15397</cdr:x>
      <cdr:y>0.35253</cdr:y>
    </cdr:to>
    <cdr:sp macro="" textlink="">
      <cdr:nvSpPr>
        <cdr:cNvPr id="3" name="Textfeld 1">
          <a:extLst xmlns:a="http://schemas.openxmlformats.org/drawingml/2006/main">
            <a:ext uri="{FF2B5EF4-FFF2-40B4-BE49-F238E27FC236}">
              <a16:creationId xmlns:a16="http://schemas.microsoft.com/office/drawing/2014/main" id="{8591A478-9E2A-B60A-5CD1-7FEB70EBC833}"/>
            </a:ext>
          </a:extLst>
        </cdr:cNvPr>
        <cdr:cNvSpPr txBox="1"/>
      </cdr:nvSpPr>
      <cdr:spPr>
        <a:xfrm xmlns:a="http://schemas.openxmlformats.org/drawingml/2006/main">
          <a:off x="67733" y="1551477"/>
          <a:ext cx="1706366" cy="1072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2800" b="1">
              <a:latin typeface="Arial" panose="020B0604020202020204" pitchFamily="34" charset="0"/>
              <a:cs typeface="Arial" panose="020B0604020202020204" pitchFamily="34" charset="0"/>
            </a:rPr>
            <a:t>CAT- B</a:t>
          </a:r>
        </a:p>
      </cdr:txBody>
    </cdr:sp>
  </cdr:relSizeAnchor>
  <cdr:relSizeAnchor xmlns:cdr="http://schemas.openxmlformats.org/drawingml/2006/chartDrawing">
    <cdr:from>
      <cdr:x>0.00735</cdr:x>
      <cdr:y>0.36479</cdr:y>
    </cdr:from>
    <cdr:to>
      <cdr:x>0.18647</cdr:x>
      <cdr:y>0.50793</cdr:y>
    </cdr:to>
    <cdr:sp macro="" textlink="">
      <cdr:nvSpPr>
        <cdr:cNvPr id="4" name="Textfeld 1">
          <a:extLst xmlns:a="http://schemas.openxmlformats.org/drawingml/2006/main">
            <a:ext uri="{FF2B5EF4-FFF2-40B4-BE49-F238E27FC236}">
              <a16:creationId xmlns:a16="http://schemas.microsoft.com/office/drawing/2014/main" id="{8591A478-9E2A-B60A-5CD1-7FEB70EBC833}"/>
            </a:ext>
          </a:extLst>
        </cdr:cNvPr>
        <cdr:cNvSpPr txBox="1"/>
      </cdr:nvSpPr>
      <cdr:spPr>
        <a:xfrm xmlns:a="http://schemas.openxmlformats.org/drawingml/2006/main">
          <a:off x="84666" y="2714906"/>
          <a:ext cx="2064025" cy="10653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2800" b="1">
              <a:latin typeface="Arial" panose="020B0604020202020204" pitchFamily="34" charset="0"/>
              <a:cs typeface="Arial" panose="020B0604020202020204" pitchFamily="34" charset="0"/>
            </a:rPr>
            <a:t>CAT- C</a:t>
          </a:r>
        </a:p>
      </cdr:txBody>
    </cdr:sp>
  </cdr:relSizeAnchor>
  <cdr:relSizeAnchor xmlns:cdr="http://schemas.openxmlformats.org/drawingml/2006/chartDrawing">
    <cdr:from>
      <cdr:x>0.00441</cdr:x>
      <cdr:y>0.5254</cdr:y>
    </cdr:from>
    <cdr:to>
      <cdr:x>0.13557</cdr:x>
      <cdr:y>0.61159</cdr:y>
    </cdr:to>
    <cdr:sp macro="" textlink="">
      <cdr:nvSpPr>
        <cdr:cNvPr id="5" name="Textfeld 1">
          <a:extLst xmlns:a="http://schemas.openxmlformats.org/drawingml/2006/main">
            <a:ext uri="{FF2B5EF4-FFF2-40B4-BE49-F238E27FC236}">
              <a16:creationId xmlns:a16="http://schemas.microsoft.com/office/drawing/2014/main" id="{8591A478-9E2A-B60A-5CD1-7FEB70EBC833}"/>
            </a:ext>
          </a:extLst>
        </cdr:cNvPr>
        <cdr:cNvSpPr txBox="1"/>
      </cdr:nvSpPr>
      <cdr:spPr>
        <a:xfrm xmlns:a="http://schemas.openxmlformats.org/drawingml/2006/main">
          <a:off x="50800" y="3910268"/>
          <a:ext cx="1511279" cy="6414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2800" b="1">
              <a:latin typeface="Arial" panose="020B0604020202020204" pitchFamily="34" charset="0"/>
              <a:cs typeface="Arial" panose="020B0604020202020204" pitchFamily="34" charset="0"/>
            </a:rPr>
            <a:t>CAT- D</a:t>
          </a:r>
        </a:p>
      </cdr:txBody>
    </cdr:sp>
  </cdr:relSizeAnchor>
  <cdr:relSizeAnchor xmlns:cdr="http://schemas.openxmlformats.org/drawingml/2006/chartDrawing">
    <cdr:from>
      <cdr:x>0.00441</cdr:x>
      <cdr:y>0.6768</cdr:y>
    </cdr:from>
    <cdr:to>
      <cdr:x>0.1525</cdr:x>
      <cdr:y>0.82604</cdr:y>
    </cdr:to>
    <cdr:sp macro="" textlink="">
      <cdr:nvSpPr>
        <cdr:cNvPr id="6" name="Textfeld 1">
          <a:extLst xmlns:a="http://schemas.openxmlformats.org/drawingml/2006/main">
            <a:ext uri="{FF2B5EF4-FFF2-40B4-BE49-F238E27FC236}">
              <a16:creationId xmlns:a16="http://schemas.microsoft.com/office/drawing/2014/main" id="{8591A478-9E2A-B60A-5CD1-7FEB70EBC833}"/>
            </a:ext>
          </a:extLst>
        </cdr:cNvPr>
        <cdr:cNvSpPr txBox="1"/>
      </cdr:nvSpPr>
      <cdr:spPr>
        <a:xfrm xmlns:a="http://schemas.openxmlformats.org/drawingml/2006/main">
          <a:off x="50800" y="5037043"/>
          <a:ext cx="1706366" cy="1110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2800" b="1">
              <a:latin typeface="Arial" panose="020B0604020202020204" pitchFamily="34" charset="0"/>
              <a:cs typeface="Arial" panose="020B0604020202020204" pitchFamily="34" charset="0"/>
            </a:rPr>
            <a:t>CAT- E</a:t>
          </a:r>
        </a:p>
      </cdr:txBody>
    </cdr:sp>
  </cdr:relSizeAnchor>
  <cdr:relSizeAnchor xmlns:cdr="http://schemas.openxmlformats.org/drawingml/2006/chartDrawing">
    <cdr:from>
      <cdr:x>0.00441</cdr:x>
      <cdr:y>0.83514</cdr:y>
    </cdr:from>
    <cdr:to>
      <cdr:x>0.14967</cdr:x>
      <cdr:y>0.91121</cdr:y>
    </cdr:to>
    <cdr:sp macro="" textlink="">
      <cdr:nvSpPr>
        <cdr:cNvPr id="7" name="Textfeld 1">
          <a:extLst xmlns:a="http://schemas.openxmlformats.org/drawingml/2006/main">
            <a:ext uri="{FF2B5EF4-FFF2-40B4-BE49-F238E27FC236}">
              <a16:creationId xmlns:a16="http://schemas.microsoft.com/office/drawing/2014/main" id="{8591A478-9E2A-B60A-5CD1-7FEB70EBC833}"/>
            </a:ext>
          </a:extLst>
        </cdr:cNvPr>
        <cdr:cNvSpPr txBox="1"/>
      </cdr:nvSpPr>
      <cdr:spPr>
        <a:xfrm xmlns:a="http://schemas.openxmlformats.org/drawingml/2006/main">
          <a:off x="50800" y="6215473"/>
          <a:ext cx="1673851" cy="5661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2800" b="1">
              <a:latin typeface="Arial" panose="020B0604020202020204" pitchFamily="34" charset="0"/>
              <a:cs typeface="Arial" panose="020B0604020202020204" pitchFamily="34" charset="0"/>
            </a:rPr>
            <a:t>CAT- F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0.02284</cdr:x>
      <cdr:y>0.06313</cdr:y>
    </cdr:from>
    <cdr:to>
      <cdr:x>0.0596</cdr:x>
      <cdr:y>0.1118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930E8800-79A4-10A5-E2BA-052CD94915BA}"/>
            </a:ext>
          </a:extLst>
        </cdr:cNvPr>
        <cdr:cNvSpPr txBox="1"/>
      </cdr:nvSpPr>
      <cdr:spPr>
        <a:xfrm xmlns:a="http://schemas.openxmlformats.org/drawingml/2006/main">
          <a:off x="237997" y="374606"/>
          <a:ext cx="382959" cy="288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3200" b="1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cdr:txBody>
    </cdr:sp>
  </cdr:relSizeAnchor>
  <cdr:relSizeAnchor xmlns:cdr="http://schemas.openxmlformats.org/drawingml/2006/chartDrawing">
    <cdr:from>
      <cdr:x>0.02215</cdr:x>
      <cdr:y>0.15965</cdr:y>
    </cdr:from>
    <cdr:to>
      <cdr:x>0.05891</cdr:x>
      <cdr:y>0.20832</cdr:y>
    </cdr:to>
    <cdr:sp macro="" textlink="">
      <cdr:nvSpPr>
        <cdr:cNvPr id="3" name="Textfeld 1">
          <a:extLst xmlns:a="http://schemas.openxmlformats.org/drawingml/2006/main">
            <a:ext uri="{FF2B5EF4-FFF2-40B4-BE49-F238E27FC236}">
              <a16:creationId xmlns:a16="http://schemas.microsoft.com/office/drawing/2014/main" id="{7EB35475-56B8-98A5-45A5-A35099FD5210}"/>
            </a:ext>
          </a:extLst>
        </cdr:cNvPr>
        <cdr:cNvSpPr txBox="1"/>
      </cdr:nvSpPr>
      <cdr:spPr>
        <a:xfrm xmlns:a="http://schemas.openxmlformats.org/drawingml/2006/main">
          <a:off x="230767" y="947323"/>
          <a:ext cx="382959" cy="288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3200" b="1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cdr:txBody>
    </cdr:sp>
  </cdr:relSizeAnchor>
  <cdr:relSizeAnchor xmlns:cdr="http://schemas.openxmlformats.org/drawingml/2006/chartDrawing">
    <cdr:from>
      <cdr:x>0.02007</cdr:x>
      <cdr:y>0.25914</cdr:y>
    </cdr:from>
    <cdr:to>
      <cdr:x>0.05683</cdr:x>
      <cdr:y>0.30551</cdr:y>
    </cdr:to>
    <cdr:sp macro="" textlink="">
      <cdr:nvSpPr>
        <cdr:cNvPr id="4" name="Textfeld 1">
          <a:extLst xmlns:a="http://schemas.openxmlformats.org/drawingml/2006/main">
            <a:ext uri="{FF2B5EF4-FFF2-40B4-BE49-F238E27FC236}">
              <a16:creationId xmlns:a16="http://schemas.microsoft.com/office/drawing/2014/main" id="{7EB35475-56B8-98A5-45A5-A35099FD5210}"/>
            </a:ext>
          </a:extLst>
        </cdr:cNvPr>
        <cdr:cNvSpPr txBox="1"/>
      </cdr:nvSpPr>
      <cdr:spPr>
        <a:xfrm xmlns:a="http://schemas.openxmlformats.org/drawingml/2006/main">
          <a:off x="209131" y="1537729"/>
          <a:ext cx="382959" cy="2751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3200" b="1">
              <a:latin typeface="Arial" panose="020B0604020202020204" pitchFamily="34" charset="0"/>
              <a:cs typeface="Arial" panose="020B0604020202020204" pitchFamily="34" charset="0"/>
            </a:rPr>
            <a:t>C</a:t>
          </a:r>
        </a:p>
      </cdr:txBody>
    </cdr:sp>
  </cdr:relSizeAnchor>
  <cdr:relSizeAnchor xmlns:cdr="http://schemas.openxmlformats.org/drawingml/2006/chartDrawing">
    <cdr:from>
      <cdr:x>0.02146</cdr:x>
      <cdr:y>0.35244</cdr:y>
    </cdr:from>
    <cdr:to>
      <cdr:x>0.05821</cdr:x>
      <cdr:y>0.40111</cdr:y>
    </cdr:to>
    <cdr:sp macro="" textlink="">
      <cdr:nvSpPr>
        <cdr:cNvPr id="5" name="Textfeld 1">
          <a:extLst xmlns:a="http://schemas.openxmlformats.org/drawingml/2006/main">
            <a:ext uri="{FF2B5EF4-FFF2-40B4-BE49-F238E27FC236}">
              <a16:creationId xmlns:a16="http://schemas.microsoft.com/office/drawing/2014/main" id="{7EB35475-56B8-98A5-45A5-A35099FD5210}"/>
            </a:ext>
          </a:extLst>
        </cdr:cNvPr>
        <cdr:cNvSpPr txBox="1"/>
      </cdr:nvSpPr>
      <cdr:spPr>
        <a:xfrm xmlns:a="http://schemas.openxmlformats.org/drawingml/2006/main">
          <a:off x="223538" y="2091349"/>
          <a:ext cx="382959" cy="2888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3200" b="1">
              <a:latin typeface="Arial" panose="020B0604020202020204" pitchFamily="34" charset="0"/>
              <a:cs typeface="Arial" panose="020B0604020202020204" pitchFamily="34" charset="0"/>
            </a:rPr>
            <a:t>D</a:t>
          </a:r>
        </a:p>
      </cdr:txBody>
    </cdr:sp>
  </cdr:relSizeAnchor>
  <cdr:relSizeAnchor xmlns:cdr="http://schemas.openxmlformats.org/drawingml/2006/chartDrawing">
    <cdr:from>
      <cdr:x>0.02145</cdr:x>
      <cdr:y>0.44815</cdr:y>
    </cdr:from>
    <cdr:to>
      <cdr:x>0.05821</cdr:x>
      <cdr:y>0.49682</cdr:y>
    </cdr:to>
    <cdr:sp macro="" textlink="">
      <cdr:nvSpPr>
        <cdr:cNvPr id="6" name="Textfeld 1">
          <a:extLst xmlns:a="http://schemas.openxmlformats.org/drawingml/2006/main">
            <a:ext uri="{FF2B5EF4-FFF2-40B4-BE49-F238E27FC236}">
              <a16:creationId xmlns:a16="http://schemas.microsoft.com/office/drawing/2014/main" id="{7EB35475-56B8-98A5-45A5-A35099FD5210}"/>
            </a:ext>
          </a:extLst>
        </cdr:cNvPr>
        <cdr:cNvSpPr txBox="1"/>
      </cdr:nvSpPr>
      <cdr:spPr>
        <a:xfrm xmlns:a="http://schemas.openxmlformats.org/drawingml/2006/main">
          <a:off x="223512" y="2659294"/>
          <a:ext cx="382960" cy="288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3200" b="1">
              <a:latin typeface="Arial" panose="020B0604020202020204" pitchFamily="34" charset="0"/>
              <a:cs typeface="Arial" panose="020B0604020202020204" pitchFamily="34" charset="0"/>
            </a:rPr>
            <a:t>E</a:t>
          </a:r>
        </a:p>
      </cdr:txBody>
    </cdr:sp>
  </cdr:relSizeAnchor>
  <cdr:relSizeAnchor xmlns:cdr="http://schemas.openxmlformats.org/drawingml/2006/chartDrawing">
    <cdr:from>
      <cdr:x>0.02215</cdr:x>
      <cdr:y>0.55089</cdr:y>
    </cdr:from>
    <cdr:to>
      <cdr:x>0.0589</cdr:x>
      <cdr:y>0.59956</cdr:y>
    </cdr:to>
    <cdr:sp macro="" textlink="">
      <cdr:nvSpPr>
        <cdr:cNvPr id="7" name="Textfeld 1">
          <a:extLst xmlns:a="http://schemas.openxmlformats.org/drawingml/2006/main">
            <a:ext uri="{FF2B5EF4-FFF2-40B4-BE49-F238E27FC236}">
              <a16:creationId xmlns:a16="http://schemas.microsoft.com/office/drawing/2014/main" id="{7EB35475-56B8-98A5-45A5-A35099FD5210}"/>
            </a:ext>
          </a:extLst>
        </cdr:cNvPr>
        <cdr:cNvSpPr txBox="1"/>
      </cdr:nvSpPr>
      <cdr:spPr>
        <a:xfrm xmlns:a="http://schemas.openxmlformats.org/drawingml/2006/main">
          <a:off x="230741" y="3268905"/>
          <a:ext cx="382959" cy="2888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3200" b="1">
              <a:latin typeface="Arial" panose="020B0604020202020204" pitchFamily="34" charset="0"/>
              <a:cs typeface="Arial" panose="020B0604020202020204" pitchFamily="34" charset="0"/>
            </a:rPr>
            <a:t>F</a:t>
          </a:r>
        </a:p>
      </cdr:txBody>
    </cdr:sp>
  </cdr:relSizeAnchor>
  <cdr:relSizeAnchor xmlns:cdr="http://schemas.openxmlformats.org/drawingml/2006/chartDrawing">
    <cdr:from>
      <cdr:x>0.02215</cdr:x>
      <cdr:y>0.64956</cdr:y>
    </cdr:from>
    <cdr:to>
      <cdr:x>0.0589</cdr:x>
      <cdr:y>0.69823</cdr:y>
    </cdr:to>
    <cdr:sp macro="" textlink="">
      <cdr:nvSpPr>
        <cdr:cNvPr id="8" name="Textfeld 1">
          <a:extLst xmlns:a="http://schemas.openxmlformats.org/drawingml/2006/main">
            <a:ext uri="{FF2B5EF4-FFF2-40B4-BE49-F238E27FC236}">
              <a16:creationId xmlns:a16="http://schemas.microsoft.com/office/drawing/2014/main" id="{7EB35475-56B8-98A5-45A5-A35099FD5210}"/>
            </a:ext>
          </a:extLst>
        </cdr:cNvPr>
        <cdr:cNvSpPr txBox="1"/>
      </cdr:nvSpPr>
      <cdr:spPr>
        <a:xfrm xmlns:a="http://schemas.openxmlformats.org/drawingml/2006/main">
          <a:off x="230742" y="3854427"/>
          <a:ext cx="382959" cy="288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3200" b="1">
              <a:latin typeface="Arial" panose="020B0604020202020204" pitchFamily="34" charset="0"/>
              <a:cs typeface="Arial" panose="020B0604020202020204" pitchFamily="34" charset="0"/>
            </a:rPr>
            <a:t>G</a:t>
          </a:r>
        </a:p>
      </cdr:txBody>
    </cdr:sp>
  </cdr:relSizeAnchor>
  <cdr:relSizeAnchor xmlns:cdr="http://schemas.openxmlformats.org/drawingml/2006/chartDrawing">
    <cdr:from>
      <cdr:x>0.02353</cdr:x>
      <cdr:y>0.74665</cdr:y>
    </cdr:from>
    <cdr:to>
      <cdr:x>0.06029</cdr:x>
      <cdr:y>0.79532</cdr:y>
    </cdr:to>
    <cdr:sp macro="" textlink="">
      <cdr:nvSpPr>
        <cdr:cNvPr id="9" name="Textfeld 1">
          <a:extLst xmlns:a="http://schemas.openxmlformats.org/drawingml/2006/main">
            <a:ext uri="{FF2B5EF4-FFF2-40B4-BE49-F238E27FC236}">
              <a16:creationId xmlns:a16="http://schemas.microsoft.com/office/drawing/2014/main" id="{7EB35475-56B8-98A5-45A5-A35099FD5210}"/>
            </a:ext>
          </a:extLst>
        </cdr:cNvPr>
        <cdr:cNvSpPr txBox="1"/>
      </cdr:nvSpPr>
      <cdr:spPr>
        <a:xfrm xmlns:a="http://schemas.openxmlformats.org/drawingml/2006/main">
          <a:off x="245199" y="4430510"/>
          <a:ext cx="382959" cy="2888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3200" b="1">
              <a:latin typeface="Arial" panose="020B0604020202020204" pitchFamily="34" charset="0"/>
              <a:cs typeface="Arial" panose="020B0604020202020204" pitchFamily="34" charset="0"/>
            </a:rPr>
            <a:t>H</a:t>
          </a:r>
        </a:p>
      </cdr:txBody>
    </cdr:sp>
  </cdr:relSizeAnchor>
  <cdr:relSizeAnchor xmlns:cdr="http://schemas.openxmlformats.org/drawingml/2006/chartDrawing">
    <cdr:from>
      <cdr:x>0.02076</cdr:x>
      <cdr:y>0.83814</cdr:y>
    </cdr:from>
    <cdr:to>
      <cdr:x>0.05752</cdr:x>
      <cdr:y>0.89894</cdr:y>
    </cdr:to>
    <cdr:sp macro="" textlink="">
      <cdr:nvSpPr>
        <cdr:cNvPr id="10" name="Textfeld 1">
          <a:extLst xmlns:a="http://schemas.openxmlformats.org/drawingml/2006/main">
            <a:ext uri="{FF2B5EF4-FFF2-40B4-BE49-F238E27FC236}">
              <a16:creationId xmlns:a16="http://schemas.microsoft.com/office/drawing/2014/main" id="{7EB35475-56B8-98A5-45A5-A35099FD5210}"/>
            </a:ext>
          </a:extLst>
        </cdr:cNvPr>
        <cdr:cNvSpPr txBox="1"/>
      </cdr:nvSpPr>
      <cdr:spPr>
        <a:xfrm xmlns:a="http://schemas.openxmlformats.org/drawingml/2006/main">
          <a:off x="216336" y="4973410"/>
          <a:ext cx="382959" cy="3607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28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3200" b="1">
              <a:latin typeface="Arial" panose="020B0604020202020204" pitchFamily="34" charset="0"/>
              <a:cs typeface="Arial" panose="020B0604020202020204" pitchFamily="34" charset="0"/>
            </a:rPr>
            <a:t>I</a:t>
          </a:r>
          <a:endParaRPr lang="de-DE" sz="28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0.00441</cdr:x>
      <cdr:y>0.0587</cdr:y>
    </cdr:from>
    <cdr:to>
      <cdr:x>0.13813</cdr:x>
      <cdr:y>0.15869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78AFA867-4894-CC8E-098F-FC6981627258}"/>
            </a:ext>
          </a:extLst>
        </cdr:cNvPr>
        <cdr:cNvSpPr txBox="1"/>
      </cdr:nvSpPr>
      <cdr:spPr>
        <a:xfrm xmlns:a="http://schemas.openxmlformats.org/drawingml/2006/main">
          <a:off x="50800" y="436863"/>
          <a:ext cx="1540859" cy="7441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2800" b="1">
              <a:latin typeface="Arial" panose="020B0604020202020204" pitchFamily="34" charset="0"/>
              <a:cs typeface="Arial" panose="020B0604020202020204" pitchFamily="34" charset="0"/>
            </a:rPr>
            <a:t>J</a:t>
          </a:r>
        </a:p>
      </cdr:txBody>
    </cdr:sp>
  </cdr:relSizeAnchor>
  <cdr:relSizeAnchor xmlns:cdr="http://schemas.openxmlformats.org/drawingml/2006/chartDrawing">
    <cdr:from>
      <cdr:x>0.00588</cdr:x>
      <cdr:y>0.20846</cdr:y>
    </cdr:from>
    <cdr:to>
      <cdr:x>0.15397</cdr:x>
      <cdr:y>0.35253</cdr:y>
    </cdr:to>
    <cdr:sp macro="" textlink="">
      <cdr:nvSpPr>
        <cdr:cNvPr id="3" name="Textfeld 1">
          <a:extLst xmlns:a="http://schemas.openxmlformats.org/drawingml/2006/main">
            <a:ext uri="{FF2B5EF4-FFF2-40B4-BE49-F238E27FC236}">
              <a16:creationId xmlns:a16="http://schemas.microsoft.com/office/drawing/2014/main" id="{8591A478-9E2A-B60A-5CD1-7FEB70EBC833}"/>
            </a:ext>
          </a:extLst>
        </cdr:cNvPr>
        <cdr:cNvSpPr txBox="1"/>
      </cdr:nvSpPr>
      <cdr:spPr>
        <a:xfrm xmlns:a="http://schemas.openxmlformats.org/drawingml/2006/main">
          <a:off x="67733" y="1551477"/>
          <a:ext cx="1706366" cy="1072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2800" b="1">
              <a:latin typeface="Arial" panose="020B0604020202020204" pitchFamily="34" charset="0"/>
              <a:cs typeface="Arial" panose="020B0604020202020204" pitchFamily="34" charset="0"/>
            </a:rPr>
            <a:t>H</a:t>
          </a:r>
        </a:p>
      </cdr:txBody>
    </cdr:sp>
  </cdr:relSizeAnchor>
  <cdr:relSizeAnchor xmlns:cdr="http://schemas.openxmlformats.org/drawingml/2006/chartDrawing">
    <cdr:from>
      <cdr:x>0.00735</cdr:x>
      <cdr:y>0.36479</cdr:y>
    </cdr:from>
    <cdr:to>
      <cdr:x>0.18647</cdr:x>
      <cdr:y>0.50793</cdr:y>
    </cdr:to>
    <cdr:sp macro="" textlink="">
      <cdr:nvSpPr>
        <cdr:cNvPr id="4" name="Textfeld 1">
          <a:extLst xmlns:a="http://schemas.openxmlformats.org/drawingml/2006/main">
            <a:ext uri="{FF2B5EF4-FFF2-40B4-BE49-F238E27FC236}">
              <a16:creationId xmlns:a16="http://schemas.microsoft.com/office/drawing/2014/main" id="{8591A478-9E2A-B60A-5CD1-7FEB70EBC833}"/>
            </a:ext>
          </a:extLst>
        </cdr:cNvPr>
        <cdr:cNvSpPr txBox="1"/>
      </cdr:nvSpPr>
      <cdr:spPr>
        <a:xfrm xmlns:a="http://schemas.openxmlformats.org/drawingml/2006/main">
          <a:off x="84666" y="2714906"/>
          <a:ext cx="2064025" cy="10653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2800" b="1">
              <a:latin typeface="Arial" panose="020B0604020202020204" pitchFamily="34" charset="0"/>
              <a:cs typeface="Arial" panose="020B0604020202020204" pitchFamily="34" charset="0"/>
            </a:rPr>
            <a:t>UM</a:t>
          </a:r>
        </a:p>
      </cdr:txBody>
    </cdr:sp>
  </cdr:relSizeAnchor>
  <cdr:relSizeAnchor xmlns:cdr="http://schemas.openxmlformats.org/drawingml/2006/chartDrawing">
    <cdr:from>
      <cdr:x>0.00441</cdr:x>
      <cdr:y>0.5254</cdr:y>
    </cdr:from>
    <cdr:to>
      <cdr:x>0.13557</cdr:x>
      <cdr:y>0.61159</cdr:y>
    </cdr:to>
    <cdr:sp macro="" textlink="">
      <cdr:nvSpPr>
        <cdr:cNvPr id="5" name="Textfeld 1">
          <a:extLst xmlns:a="http://schemas.openxmlformats.org/drawingml/2006/main">
            <a:ext uri="{FF2B5EF4-FFF2-40B4-BE49-F238E27FC236}">
              <a16:creationId xmlns:a16="http://schemas.microsoft.com/office/drawing/2014/main" id="{8591A478-9E2A-B60A-5CD1-7FEB70EBC833}"/>
            </a:ext>
          </a:extLst>
        </cdr:cNvPr>
        <cdr:cNvSpPr txBox="1"/>
      </cdr:nvSpPr>
      <cdr:spPr>
        <a:xfrm xmlns:a="http://schemas.openxmlformats.org/drawingml/2006/main">
          <a:off x="50800" y="3910268"/>
          <a:ext cx="1511279" cy="6414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2800" b="1">
              <a:latin typeface="Arial" panose="020B0604020202020204" pitchFamily="34" charset="0"/>
              <a:cs typeface="Arial" panose="020B0604020202020204" pitchFamily="34" charset="0"/>
            </a:rPr>
            <a:t>LM</a:t>
          </a:r>
        </a:p>
      </cdr:txBody>
    </cdr:sp>
  </cdr:relSizeAnchor>
  <cdr:relSizeAnchor xmlns:cdr="http://schemas.openxmlformats.org/drawingml/2006/chartDrawing">
    <cdr:from>
      <cdr:x>0.00441</cdr:x>
      <cdr:y>0.6768</cdr:y>
    </cdr:from>
    <cdr:to>
      <cdr:x>0.1525</cdr:x>
      <cdr:y>0.82604</cdr:y>
    </cdr:to>
    <cdr:sp macro="" textlink="">
      <cdr:nvSpPr>
        <cdr:cNvPr id="6" name="Textfeld 1">
          <a:extLst xmlns:a="http://schemas.openxmlformats.org/drawingml/2006/main">
            <a:ext uri="{FF2B5EF4-FFF2-40B4-BE49-F238E27FC236}">
              <a16:creationId xmlns:a16="http://schemas.microsoft.com/office/drawing/2014/main" id="{8591A478-9E2A-B60A-5CD1-7FEB70EBC833}"/>
            </a:ext>
          </a:extLst>
        </cdr:cNvPr>
        <cdr:cNvSpPr txBox="1"/>
      </cdr:nvSpPr>
      <cdr:spPr>
        <a:xfrm xmlns:a="http://schemas.openxmlformats.org/drawingml/2006/main">
          <a:off x="50800" y="5037043"/>
          <a:ext cx="1706366" cy="1110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2800" b="1">
              <a:latin typeface="Arial" panose="020B0604020202020204" pitchFamily="34" charset="0"/>
              <a:cs typeface="Arial" panose="020B0604020202020204" pitchFamily="34" charset="0"/>
            </a:rPr>
            <a:t>S</a:t>
          </a:r>
        </a:p>
      </cdr:txBody>
    </cdr:sp>
  </cdr:relSizeAnchor>
  <cdr:relSizeAnchor xmlns:cdr="http://schemas.openxmlformats.org/drawingml/2006/chartDrawing">
    <cdr:from>
      <cdr:x>0.00441</cdr:x>
      <cdr:y>0.83514</cdr:y>
    </cdr:from>
    <cdr:to>
      <cdr:x>0.14967</cdr:x>
      <cdr:y>0.91121</cdr:y>
    </cdr:to>
    <cdr:sp macro="" textlink="">
      <cdr:nvSpPr>
        <cdr:cNvPr id="7" name="Textfeld 1">
          <a:extLst xmlns:a="http://schemas.openxmlformats.org/drawingml/2006/main">
            <a:ext uri="{FF2B5EF4-FFF2-40B4-BE49-F238E27FC236}">
              <a16:creationId xmlns:a16="http://schemas.microsoft.com/office/drawing/2014/main" id="{8591A478-9E2A-B60A-5CD1-7FEB70EBC833}"/>
            </a:ext>
          </a:extLst>
        </cdr:cNvPr>
        <cdr:cNvSpPr txBox="1"/>
      </cdr:nvSpPr>
      <cdr:spPr>
        <a:xfrm xmlns:a="http://schemas.openxmlformats.org/drawingml/2006/main">
          <a:off x="50800" y="6215473"/>
          <a:ext cx="1673851" cy="5661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2800" b="1">
              <a:latin typeface="Arial" panose="020B0604020202020204" pitchFamily="34" charset="0"/>
              <a:cs typeface="Arial" panose="020B0604020202020204" pitchFamily="34" charset="0"/>
            </a:rPr>
            <a:t>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Caers/Ergebnisse/PassengerAircraftMinimumFue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LHT\HAM-WI41\Shop\Praktikanten\03_Praktikanten\John\Sonstiges\Projekt\Projekt%20im%20Master\Flugzeuge%20Auswertung%20und%20Erkenntnisse\7.11_Erkenntnis_Flugzeu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s_Outputs"/>
      <sheetName val="Fuel"/>
      <sheetName val="DOC"/>
      <sheetName val="Environmental"/>
      <sheetName val="Flight time"/>
      <sheetName val="Extra information"/>
      <sheetName val="(c)"/>
    </sheetNames>
    <sheetDataSet>
      <sheetData sheetId="0">
        <row r="2">
          <cell r="B2">
            <v>73500</v>
          </cell>
          <cell r="F2">
            <v>2</v>
          </cell>
          <cell r="J2">
            <v>0.9</v>
          </cell>
          <cell r="N2">
            <v>9.8066499999999994</v>
          </cell>
        </row>
        <row r="3">
          <cell r="B3">
            <v>122.4</v>
          </cell>
          <cell r="F3">
            <v>5.7</v>
          </cell>
          <cell r="J3">
            <v>12500</v>
          </cell>
          <cell r="N3">
            <v>287.053</v>
          </cell>
        </row>
        <row r="4">
          <cell r="B4">
            <v>9.5</v>
          </cell>
          <cell r="F4">
            <v>120000</v>
          </cell>
          <cell r="J4">
            <v>41010.49868766404</v>
          </cell>
          <cell r="N4">
            <v>6.4999999999999997E-3</v>
          </cell>
        </row>
        <row r="5">
          <cell r="F5">
            <v>32.6</v>
          </cell>
          <cell r="J5">
            <v>295.06956032434113</v>
          </cell>
          <cell r="N5">
            <v>288.14999999999998</v>
          </cell>
        </row>
        <row r="6">
          <cell r="B6">
            <v>60500</v>
          </cell>
          <cell r="F6">
            <v>18</v>
          </cell>
          <cell r="J6">
            <v>216.65</v>
          </cell>
          <cell r="N6">
            <v>101325</v>
          </cell>
        </row>
        <row r="7">
          <cell r="B7">
            <v>25</v>
          </cell>
          <cell r="F7">
            <v>2</v>
          </cell>
          <cell r="J7">
            <v>17884.531472127925</v>
          </cell>
          <cell r="N7">
            <v>1.1225000000000001</v>
          </cell>
        </row>
        <row r="8">
          <cell r="B8">
            <v>0.43633231299858238</v>
          </cell>
          <cell r="F8">
            <v>2380</v>
          </cell>
          <cell r="J8">
            <v>0.28726392255536015</v>
          </cell>
          <cell r="N8">
            <v>216.65</v>
          </cell>
        </row>
        <row r="9">
          <cell r="B9">
            <v>42600</v>
          </cell>
          <cell r="N9">
            <v>22657</v>
          </cell>
        </row>
        <row r="10">
          <cell r="B10">
            <v>17900</v>
          </cell>
          <cell r="J10">
            <v>516.21240575100717</v>
          </cell>
          <cell r="N10">
            <v>0.36392000000000002</v>
          </cell>
        </row>
        <row r="11">
          <cell r="B11">
            <v>150</v>
          </cell>
        </row>
        <row r="12">
          <cell r="J12">
            <v>1500</v>
          </cell>
        </row>
        <row r="13">
          <cell r="B13">
            <v>0.78</v>
          </cell>
        </row>
        <row r="157">
          <cell r="B157">
            <v>0.5</v>
          </cell>
        </row>
        <row r="158">
          <cell r="B158">
            <v>0.5</v>
          </cell>
        </row>
        <row r="163">
          <cell r="B163">
            <v>0.5</v>
          </cell>
        </row>
        <row r="164">
          <cell r="B164">
            <v>0.5</v>
          </cell>
        </row>
      </sheetData>
      <sheetData sheetId="1">
        <row r="15">
          <cell r="C15">
            <v>0.57793155638612903</v>
          </cell>
        </row>
        <row r="23">
          <cell r="C23" t="str">
            <v/>
          </cell>
        </row>
        <row r="28">
          <cell r="C28">
            <v>1.1273111577958602E-2</v>
          </cell>
        </row>
        <row r="29">
          <cell r="C29">
            <v>0.58135534282882717</v>
          </cell>
        </row>
        <row r="31">
          <cell r="C31" t="e">
            <v>#VALUE!</v>
          </cell>
        </row>
        <row r="33">
          <cell r="C33" t="e">
            <v>#VALUE!</v>
          </cell>
        </row>
        <row r="35">
          <cell r="I35">
            <v>1.831465106715439E-5</v>
          </cell>
        </row>
        <row r="41">
          <cell r="I41" t="e">
            <v>#VALUE!</v>
          </cell>
        </row>
        <row r="42">
          <cell r="I42" t="e">
            <v>#VALUE!</v>
          </cell>
        </row>
      </sheetData>
      <sheetData sheetId="2">
        <row r="7">
          <cell r="C7">
            <v>1.76</v>
          </cell>
        </row>
        <row r="10">
          <cell r="C10">
            <v>2.131410279024593</v>
          </cell>
        </row>
        <row r="40">
          <cell r="C40">
            <v>1505</v>
          </cell>
        </row>
        <row r="41">
          <cell r="D41">
            <v>809.93520518358537</v>
          </cell>
        </row>
        <row r="43">
          <cell r="C43" t="e">
            <v>#VALUE!</v>
          </cell>
        </row>
        <row r="50">
          <cell r="C50" t="e">
            <v>#VALUE!</v>
          </cell>
        </row>
        <row r="59">
          <cell r="C59">
            <v>1.7412726422869818</v>
          </cell>
        </row>
        <row r="79">
          <cell r="C79">
            <v>1.9912726422869818</v>
          </cell>
        </row>
        <row r="84">
          <cell r="C84" t="e">
            <v>#VALUE!</v>
          </cell>
        </row>
        <row r="92">
          <cell r="C92" t="e">
            <v>#VALUE!</v>
          </cell>
        </row>
        <row r="96">
          <cell r="C96">
            <v>2621.0589309815036</v>
          </cell>
        </row>
      </sheetData>
      <sheetData sheetId="3">
        <row r="50">
          <cell r="C50" t="e">
            <v>#VALUE!</v>
          </cell>
        </row>
        <row r="64">
          <cell r="C64">
            <v>260.50657953811276</v>
          </cell>
        </row>
        <row r="65">
          <cell r="C65">
            <v>23.862727604905828</v>
          </cell>
        </row>
      </sheetData>
      <sheetData sheetId="4">
        <row r="166">
          <cell r="B166">
            <v>290</v>
          </cell>
        </row>
        <row r="167">
          <cell r="B167">
            <v>410</v>
          </cell>
        </row>
        <row r="168">
          <cell r="B168">
            <v>0.68350831146106727</v>
          </cell>
        </row>
        <row r="170">
          <cell r="B170">
            <v>488.75045848362186</v>
          </cell>
        </row>
      </sheetData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_mMTO"/>
      <sheetName val="Schneeballfaktor "/>
      <sheetName val="Flugzeuge 1940-1972"/>
      <sheetName val="Flugzeuge 1980-present"/>
      <sheetName val="Ergebnisvergleich"/>
    </sheetNames>
    <sheetDataSet>
      <sheetData sheetId="0" refreshError="1"/>
      <sheetData sheetId="1">
        <row r="4">
          <cell r="B4">
            <v>1</v>
          </cell>
        </row>
        <row r="5">
          <cell r="B5">
            <v>90000</v>
          </cell>
        </row>
        <row r="6">
          <cell r="B6">
            <v>0.48333333333333334</v>
          </cell>
        </row>
        <row r="7">
          <cell r="B7">
            <v>43500</v>
          </cell>
        </row>
        <row r="8">
          <cell r="B8">
            <v>0.29444444444444445</v>
          </cell>
        </row>
        <row r="9">
          <cell r="B9">
            <v>26500</v>
          </cell>
        </row>
        <row r="10">
          <cell r="B10">
            <v>20000</v>
          </cell>
        </row>
        <row r="13">
          <cell r="B13">
            <v>90004.500225011288</v>
          </cell>
        </row>
        <row r="32">
          <cell r="B32">
            <v>4.5002250112884212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-Design 2013–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contentzone.eurocontrol.int/aircraftperformance/details.aspx?ICAO=H25B" TargetMode="External"/><Relationship Id="rId21" Type="http://schemas.openxmlformats.org/officeDocument/2006/relationships/hyperlink" Target="https://contentzone.eurocontrol.int/aircraftperformance/details.aspx?ICAO=B773" TargetMode="External"/><Relationship Id="rId42" Type="http://schemas.openxmlformats.org/officeDocument/2006/relationships/hyperlink" Target="https://www.boeing.com/resources/boeingdotcom/commercial/airports/acaps/md11.pdf" TargetMode="External"/><Relationship Id="rId63" Type="http://schemas.openxmlformats.org/officeDocument/2006/relationships/hyperlink" Target="https://www.boeing.com/resources/boeingdotcom/commercial/airports/acaps/md80.pdf" TargetMode="External"/><Relationship Id="rId84" Type="http://schemas.openxmlformats.org/officeDocument/2006/relationships/hyperlink" Target="https://customer.aero.bombardier.com/webd/BAG/CustSite/BRAD/RACSDocument.nsf/51aae8b2b3bfdf6685256c300045ff31/ec63f8639ff3ab9d85257c1500635bd8/$FILE/ATTQF1EY.pdf/CRJ900APMR11.pdf" TargetMode="External"/><Relationship Id="rId138" Type="http://schemas.openxmlformats.org/officeDocument/2006/relationships/hyperlink" Target="https://contentzone.eurocontrol.int/aircraftperformance/details.aspx?ICAO=C152" TargetMode="External"/><Relationship Id="rId16" Type="http://schemas.openxmlformats.org/officeDocument/2006/relationships/hyperlink" Target="https://contentzone.eurocontrol.int/aircraftperformance/details.aspx?ICAO=B744" TargetMode="External"/><Relationship Id="rId107" Type="http://schemas.openxmlformats.org/officeDocument/2006/relationships/hyperlink" Target="https://contentzone.eurocontrol.int/aircraftperformance/details.aspx?ICAO=FA10" TargetMode="External"/><Relationship Id="rId11" Type="http://schemas.openxmlformats.org/officeDocument/2006/relationships/hyperlink" Target="https://contentzone.eurocontrol.int/aircraftperformance/details.aspx?ICAO=A345" TargetMode="External"/><Relationship Id="rId32" Type="http://schemas.openxmlformats.org/officeDocument/2006/relationships/hyperlink" Target="https://www.boeing.com/resources/boeingdotcom/commercial/airports/acaps/707.pdf" TargetMode="External"/><Relationship Id="rId37" Type="http://schemas.openxmlformats.org/officeDocument/2006/relationships/hyperlink" Target="https://www.boeing.com/resources/boeingdotcom/commercial/airports/acaps/dc10.pdf" TargetMode="External"/><Relationship Id="rId53" Type="http://schemas.openxmlformats.org/officeDocument/2006/relationships/hyperlink" Target="https://contentzone.eurocontrol.int/aircraftperformance/details.aspx?ICAO=AN12" TargetMode="External"/><Relationship Id="rId58" Type="http://schemas.openxmlformats.org/officeDocument/2006/relationships/hyperlink" Target="https://contentzone.eurocontrol.int/aircraftperformance/details.aspx?ICAO=B739" TargetMode="External"/><Relationship Id="rId74" Type="http://schemas.openxmlformats.org/officeDocument/2006/relationships/hyperlink" Target="https://contentzone.eurocontrol.int/aircraftperformance/details.aspx?ICAO=AT45" TargetMode="External"/><Relationship Id="rId79" Type="http://schemas.openxmlformats.org/officeDocument/2006/relationships/hyperlink" Target="https://contentzone.eurocontrol.int/aircraftperformance/details.aspx?ICAO=CL60" TargetMode="External"/><Relationship Id="rId102" Type="http://schemas.openxmlformats.org/officeDocument/2006/relationships/hyperlink" Target="https://www.globalair.com/aircraft-for-sale/specifications?specid=236" TargetMode="External"/><Relationship Id="rId123" Type="http://schemas.openxmlformats.org/officeDocument/2006/relationships/hyperlink" Target="https://contentzone.eurocontrol.int/aircraftperformance/details.aspx?ICAO=LJ35" TargetMode="External"/><Relationship Id="rId128" Type="http://schemas.openxmlformats.org/officeDocument/2006/relationships/hyperlink" Target="https://contentzone.eurocontrol.int/aircraftperformance/details.aspx?ICAO=SF34" TargetMode="External"/><Relationship Id="rId5" Type="http://schemas.openxmlformats.org/officeDocument/2006/relationships/hyperlink" Target="https://www.airbus.com/sites/g/files/jlcbta136/files/2021-11/Airbus-Commercial-Aircraft-AC-A330.pdf" TargetMode="External"/><Relationship Id="rId90" Type="http://schemas.openxmlformats.org/officeDocument/2006/relationships/hyperlink" Target="https://contentzone.eurocontrol.int/aircraftperformance/details.aspx?ICAO=E135" TargetMode="External"/><Relationship Id="rId95" Type="http://schemas.openxmlformats.org/officeDocument/2006/relationships/hyperlink" Target="https://www.embraercommercialaviation.com/wp-content/uploads/2017/02/APM_E175.pdf" TargetMode="External"/><Relationship Id="rId22" Type="http://schemas.openxmlformats.org/officeDocument/2006/relationships/hyperlink" Target="https://contentzone.eurocontrol.int/aircraftperformance/details.aspx?ICAO=B77L" TargetMode="External"/><Relationship Id="rId27" Type="http://schemas.openxmlformats.org/officeDocument/2006/relationships/hyperlink" Target="https://contentzone.eurocontrol.int/aircraftperformance/details.aspx?ICAO=IL96" TargetMode="External"/><Relationship Id="rId43" Type="http://schemas.openxmlformats.org/officeDocument/2006/relationships/hyperlink" Target="https://contentzone.eurocontrol.int/aircraftperformance/details.aspx?ICAO=MD11" TargetMode="External"/><Relationship Id="rId48" Type="http://schemas.openxmlformats.org/officeDocument/2006/relationships/hyperlink" Target="https://www.airbus.com/sites/g/files/jlcbta136/files/2021-11/Airbus-Commercial-Aircraft-AC-A320.pdf" TargetMode="External"/><Relationship Id="rId64" Type="http://schemas.openxmlformats.org/officeDocument/2006/relationships/hyperlink" Target="https://contentzone.eurocontrol.int/aircraftperformance/details.aspx?ICAO=MD81" TargetMode="External"/><Relationship Id="rId69" Type="http://schemas.openxmlformats.org/officeDocument/2006/relationships/hyperlink" Target="https://www.boeing.com/resources/boeingdotcom/commercial/airports/acaps/md90.pdf" TargetMode="External"/><Relationship Id="rId113" Type="http://schemas.openxmlformats.org/officeDocument/2006/relationships/hyperlink" Target="https://contentzone.eurocontrol.int/aircraftperformance/details.aspx?ICAO=E120" TargetMode="External"/><Relationship Id="rId118" Type="http://schemas.openxmlformats.org/officeDocument/2006/relationships/hyperlink" Target="https://www.easa.europa.eu/sites/default/files/dfu/EASA-TCDS-A.191_BAe_Systems_Jetstream_3100_and_3200-02-30092009.pdf" TargetMode="External"/><Relationship Id="rId134" Type="http://schemas.openxmlformats.org/officeDocument/2006/relationships/hyperlink" Target="https://contentzone.eurocontrol.int/aircraftperformance/details.aspx?ICAO=C525" TargetMode="External"/><Relationship Id="rId80" Type="http://schemas.openxmlformats.org/officeDocument/2006/relationships/hyperlink" Target="https://caisatech.net/uploads/XXI_3_BOMBARDIER_H51_CRJ100-200-440_O_APM_R11_10DIC2021.pdf" TargetMode="External"/><Relationship Id="rId85" Type="http://schemas.openxmlformats.org/officeDocument/2006/relationships/hyperlink" Target="https://contentzone.eurocontrol.int/aircraftperformance/details.aspx?ICAO=CRJ7" TargetMode="External"/><Relationship Id="rId12" Type="http://schemas.openxmlformats.org/officeDocument/2006/relationships/hyperlink" Target="https://contentzone.eurocontrol.int/aircraftperformance/details.aspx?ICAO=A346" TargetMode="External"/><Relationship Id="rId17" Type="http://schemas.openxmlformats.org/officeDocument/2006/relationships/hyperlink" Target="https://www.boeing.com/resources/boeingdotcom/commercial/airports/acaps/747_8.pdf" TargetMode="External"/><Relationship Id="rId33" Type="http://schemas.openxmlformats.org/officeDocument/2006/relationships/hyperlink" Target="https://www.boeing.com/resources/boeingdotcom/commercial/airports/acaps/757_23.pdf" TargetMode="External"/><Relationship Id="rId38" Type="http://schemas.openxmlformats.org/officeDocument/2006/relationships/hyperlink" Target="https://contentzone.eurocontrol.int/aircraftperformance/details.aspx?ICAO=DC85" TargetMode="External"/><Relationship Id="rId59" Type="http://schemas.openxmlformats.org/officeDocument/2006/relationships/hyperlink" Target="https://www.lockheedmartin.com/content/dam/lockheed-martin/aero/documents/C-130J/C130JPocketGuide.pdf" TargetMode="External"/><Relationship Id="rId103" Type="http://schemas.openxmlformats.org/officeDocument/2006/relationships/hyperlink" Target="https://contentzone.eurocontrol.int/aircraftperformance/details.aspx?ICAO=GLF4" TargetMode="External"/><Relationship Id="rId108" Type="http://schemas.openxmlformats.org/officeDocument/2006/relationships/hyperlink" Target="https://www.globalair.com/aircraft-for-sale/specifications?specid=208" TargetMode="External"/><Relationship Id="rId124" Type="http://schemas.openxmlformats.org/officeDocument/2006/relationships/hyperlink" Target="https://www.globalair.com/aircraft-for-sale/specifications?specid=32" TargetMode="External"/><Relationship Id="rId129" Type="http://schemas.openxmlformats.org/officeDocument/2006/relationships/hyperlink" Target="https://www.smartcockpit.com/docs/P180_Avanti-Specification_and_Description.pdf" TargetMode="External"/><Relationship Id="rId54" Type="http://schemas.openxmlformats.org/officeDocument/2006/relationships/hyperlink" Target="https://www.boeing.com/resources/boeingdotcom/commercial/airports/acaps/737NG_REV%20C.pdf" TargetMode="External"/><Relationship Id="rId70" Type="http://schemas.openxmlformats.org/officeDocument/2006/relationships/hyperlink" Target="https://contentzone.eurocontrol.int/aircraftperformance/details.aspx?ICAO=MD90" TargetMode="External"/><Relationship Id="rId75" Type="http://schemas.openxmlformats.org/officeDocument/2006/relationships/hyperlink" Target="https://www.atr-aircraft.com/our-aircraft/atr-72-600/" TargetMode="External"/><Relationship Id="rId91" Type="http://schemas.openxmlformats.org/officeDocument/2006/relationships/hyperlink" Target="https://contentzone.eurocontrol.int/aircraftperformance/details.aspx?ICAO=E145" TargetMode="External"/><Relationship Id="rId96" Type="http://schemas.openxmlformats.org/officeDocument/2006/relationships/hyperlink" Target="https://www.flyembraer.com/irj/go/km/docs/download_center/Anonymous/Ergonomia/Home%20Page/Documents/APM_190.pdf" TargetMode="External"/><Relationship Id="rId1" Type="http://schemas.openxmlformats.org/officeDocument/2006/relationships/hyperlink" Target="https://www.airbus.com/sites/g/files/jlcbta136/files/2021-11/Airbus-Aircraft-AC-A380.pdf" TargetMode="External"/><Relationship Id="rId6" Type="http://schemas.openxmlformats.org/officeDocument/2006/relationships/hyperlink" Target="https://contentzone.eurocontrol.int/aircraftperformance/details.aspx?ICAO=A332" TargetMode="External"/><Relationship Id="rId23" Type="http://schemas.openxmlformats.org/officeDocument/2006/relationships/hyperlink" Target="https://contentzone.eurocontrol.int/aircraftperformance/details.aspx?ICAO=B77W" TargetMode="External"/><Relationship Id="rId28" Type="http://schemas.openxmlformats.org/officeDocument/2006/relationships/hyperlink" Target="https://www.airbus.com/sites/g/files/jlcbta136/files/2021-11/Airbus-Commercial-Aircraft-AC-A300-600-Dec-2009.pdf" TargetMode="External"/><Relationship Id="rId49" Type="http://schemas.openxmlformats.org/officeDocument/2006/relationships/hyperlink" Target="https://contentzone.eurocontrol.int/aircraftperformance/details.aspx?ICAO=A320" TargetMode="External"/><Relationship Id="rId114" Type="http://schemas.openxmlformats.org/officeDocument/2006/relationships/hyperlink" Target="https://www.globalair.com/aircraft-for-sale/specifications?specid=33" TargetMode="External"/><Relationship Id="rId119" Type="http://schemas.openxmlformats.org/officeDocument/2006/relationships/hyperlink" Target="https://www.easa.europa.eu/sites/default/files/dfu/EASA-TCDS-A.189_BAe_Jetstream_4100-02-20102010.pdf" TargetMode="External"/><Relationship Id="rId44" Type="http://schemas.openxmlformats.org/officeDocument/2006/relationships/hyperlink" Target="https://www.airbus.com/sites/g/files/jlcbta136/files/2021-11/Airbus-Commercial-Aircraft-AC-A318.pdf" TargetMode="External"/><Relationship Id="rId60" Type="http://schemas.openxmlformats.org/officeDocument/2006/relationships/hyperlink" Target="https://contentzone.eurocontrol.int/aircraftperformance/details.aspx?ICAO=C130" TargetMode="External"/><Relationship Id="rId65" Type="http://schemas.openxmlformats.org/officeDocument/2006/relationships/hyperlink" Target="https://contentzone.eurocontrol.int/aircraftperformance/details.aspx?ICAO=MD82" TargetMode="External"/><Relationship Id="rId81" Type="http://schemas.openxmlformats.org/officeDocument/2006/relationships/hyperlink" Target="https://contentzone.eurocontrol.int/aircraftperformance/details.aspx?ICAO=CRJ1" TargetMode="External"/><Relationship Id="rId86" Type="http://schemas.openxmlformats.org/officeDocument/2006/relationships/hyperlink" Target="https://contentzone.eurocontrol.int/aircraftperformance/details.aspx?ICAO=CRJ9" TargetMode="External"/><Relationship Id="rId130" Type="http://schemas.openxmlformats.org/officeDocument/2006/relationships/hyperlink" Target="https://contentzone.eurocontrol.int/aircraftperformance/details.aspx?ICAO=P180" TargetMode="External"/><Relationship Id="rId135" Type="http://schemas.openxmlformats.org/officeDocument/2006/relationships/hyperlink" Target="https://www.globalair.com/aircraft-for-sale/specifications?specid=358" TargetMode="External"/><Relationship Id="rId13" Type="http://schemas.openxmlformats.org/officeDocument/2006/relationships/hyperlink" Target="https://www.airbus.com/sites/g/files/jlcbta136/files/2021-11/Airbus-Commercial-Aircraft-AC-A350-900-1000.pdf" TargetMode="External"/><Relationship Id="rId18" Type="http://schemas.openxmlformats.org/officeDocument/2006/relationships/hyperlink" Target="https://contentzone.eurocontrol.int/aircraftperformance/details.aspx?ICAO=B748" TargetMode="External"/><Relationship Id="rId39" Type="http://schemas.openxmlformats.org/officeDocument/2006/relationships/hyperlink" Target="https://en.wikipedia.org/wiki/Douglas_DC-8" TargetMode="External"/><Relationship Id="rId109" Type="http://schemas.openxmlformats.org/officeDocument/2006/relationships/hyperlink" Target="https://contentzone.eurocontrol.int/aircraftperformance/details.aspx?ICAO=FA20" TargetMode="External"/><Relationship Id="rId34" Type="http://schemas.openxmlformats.org/officeDocument/2006/relationships/hyperlink" Target="https://www.boeing.com/resources/boeingdotcom/commercial/airports/acaps/767_REV_I.pdf" TargetMode="External"/><Relationship Id="rId50" Type="http://schemas.openxmlformats.org/officeDocument/2006/relationships/hyperlink" Target="https://www.airbus.com/sites/g/files/jlcbta136/files/2021-11/Airbus-Commercial-Aircraft-AC-A321.pdf" TargetMode="External"/><Relationship Id="rId55" Type="http://schemas.openxmlformats.org/officeDocument/2006/relationships/hyperlink" Target="https://contentzone.eurocontrol.int/aircraftperformance/details.aspx?ICAO=B736" TargetMode="External"/><Relationship Id="rId76" Type="http://schemas.openxmlformats.org/officeDocument/2006/relationships/hyperlink" Target="https://contentzone.eurocontrol.int/aircraftperformance/details.aspx?ICAO=AT72" TargetMode="External"/><Relationship Id="rId97" Type="http://schemas.openxmlformats.org/officeDocument/2006/relationships/hyperlink" Target="https://contentzone.eurocontrol.int/aircraftperformance/details.aspx?ICAO=E190" TargetMode="External"/><Relationship Id="rId104" Type="http://schemas.openxmlformats.org/officeDocument/2006/relationships/hyperlink" Target="https://contentzone.eurocontrol.int/aircraftperformance/details.aspx?ICAO=RJ85" TargetMode="External"/><Relationship Id="rId120" Type="http://schemas.openxmlformats.org/officeDocument/2006/relationships/hyperlink" Target="https://contentzone.eurocontrol.int/aircraftperformance/details.aspx?ICAO=JS32" TargetMode="External"/><Relationship Id="rId125" Type="http://schemas.openxmlformats.org/officeDocument/2006/relationships/hyperlink" Target="https://contentzone.eurocontrol.int/aircraftperformance/details.aspx?ICAO=LJ60" TargetMode="External"/><Relationship Id="rId7" Type="http://schemas.openxmlformats.org/officeDocument/2006/relationships/hyperlink" Target="https://contentzone.eurocontrol.int/aircraftperformance/details.aspx?ICAO=A333" TargetMode="External"/><Relationship Id="rId71" Type="http://schemas.openxmlformats.org/officeDocument/2006/relationships/hyperlink" Target="https://contentzone.eurocontrol.int/aircraftperformance/details.aspx?ICAO=T204" TargetMode="External"/><Relationship Id="rId92" Type="http://schemas.openxmlformats.org/officeDocument/2006/relationships/hyperlink" Target="https://www.easa.europa.eu/downloads/8393/en" TargetMode="External"/><Relationship Id="rId2" Type="http://schemas.openxmlformats.org/officeDocument/2006/relationships/hyperlink" Target="https://contentzone.eurocontrol.int/aircraftperformance/details.aspx?ICAO=A388" TargetMode="External"/><Relationship Id="rId29" Type="http://schemas.openxmlformats.org/officeDocument/2006/relationships/hyperlink" Target="https://contentzone.eurocontrol.int/aircraftperformance/details.aspx?ICAO=A306" TargetMode="External"/><Relationship Id="rId24" Type="http://schemas.openxmlformats.org/officeDocument/2006/relationships/hyperlink" Target="https://www.boeing.com/resources/boeingdotcom/commercial/airports/acaps/777_2lr3er.pdf" TargetMode="External"/><Relationship Id="rId40" Type="http://schemas.openxmlformats.org/officeDocument/2006/relationships/hyperlink" Target="https://www.globalsecurity.org/military/world/russia/il-76-specs.htm" TargetMode="External"/><Relationship Id="rId45" Type="http://schemas.openxmlformats.org/officeDocument/2006/relationships/hyperlink" Target="https://contentzone.eurocontrol.int/aircraftperformance/details.aspx?ICAO=A318" TargetMode="External"/><Relationship Id="rId66" Type="http://schemas.openxmlformats.org/officeDocument/2006/relationships/hyperlink" Target="https://contentzone.eurocontrol.int/aircraftperformance/details.aspx?ICAO=MD83" TargetMode="External"/><Relationship Id="rId87" Type="http://schemas.openxmlformats.org/officeDocument/2006/relationships/hyperlink" Target="https://www.easa.europa.eu/en/downloads/7257/en" TargetMode="External"/><Relationship Id="rId110" Type="http://schemas.openxmlformats.org/officeDocument/2006/relationships/hyperlink" Target="https://www.globalair.com/aircraft-for-sale/specifications?specid=716" TargetMode="External"/><Relationship Id="rId115" Type="http://schemas.openxmlformats.org/officeDocument/2006/relationships/hyperlink" Target="https://contentzone.eurocontrol.int/aircraftperformance/details.aspx?ICAO=BE40" TargetMode="External"/><Relationship Id="rId131" Type="http://schemas.openxmlformats.org/officeDocument/2006/relationships/hyperlink" Target="http://www.flugzeuginfo.net/acdata_php/acdata_cessna_650citation3_6_en.php" TargetMode="External"/><Relationship Id="rId136" Type="http://schemas.openxmlformats.org/officeDocument/2006/relationships/hyperlink" Target="https://contentzone.eurocontrol.int/aircraftperformance/details.aspx?ICAO=C182" TargetMode="External"/><Relationship Id="rId61" Type="http://schemas.openxmlformats.org/officeDocument/2006/relationships/hyperlink" Target="http://www.interflug.biz/Archiv/FZH/IL18/FZH_IL18.pdf" TargetMode="External"/><Relationship Id="rId82" Type="http://schemas.openxmlformats.org/officeDocument/2006/relationships/hyperlink" Target="https://contentzone.eurocontrol.int/aircraftperformance/details.aspx?ICAO=CRJ2" TargetMode="External"/><Relationship Id="rId19" Type="http://schemas.openxmlformats.org/officeDocument/2006/relationships/hyperlink" Target="https://www.boeing.com/resources/boeingdotcom/commercial/airports/acaps/777_23.pdf" TargetMode="External"/><Relationship Id="rId14" Type="http://schemas.openxmlformats.org/officeDocument/2006/relationships/hyperlink" Target="https://contentzone.eurocontrol.int/aircraftperformance/details.aspx?ICAO=A359" TargetMode="External"/><Relationship Id="rId30" Type="http://schemas.openxmlformats.org/officeDocument/2006/relationships/hyperlink" Target="https://www.airbus.com/sites/g/files/jlcbta136/files/2021-11/Airbus-Commercial-Aircraft-AC-A310-Dec-2009.pdf" TargetMode="External"/><Relationship Id="rId35" Type="http://schemas.openxmlformats.org/officeDocument/2006/relationships/hyperlink" Target="https://www.safie.hq.af.mil/Portals/78/documents/IEN/KC-135%20Landing%20Weight%20Leave-Behind.pdf?ver=2020-06-15-133055-253" TargetMode="External"/><Relationship Id="rId56" Type="http://schemas.openxmlformats.org/officeDocument/2006/relationships/hyperlink" Target="https://contentzone.eurocontrol.int/aircraftperformance/details.aspx?ICAO=B737" TargetMode="External"/><Relationship Id="rId77" Type="http://schemas.openxmlformats.org/officeDocument/2006/relationships/hyperlink" Target="https://www.boeing.com/resources/boeingdotcom/commercial/airports/acaps/717.pdf" TargetMode="External"/><Relationship Id="rId100" Type="http://schemas.openxmlformats.org/officeDocument/2006/relationships/hyperlink" Target="https://booksite.elsevier.com/9780340741528/appendices/data-a/table-8/table.htm" TargetMode="External"/><Relationship Id="rId105" Type="http://schemas.openxmlformats.org/officeDocument/2006/relationships/hyperlink" Target="https://contentzone.eurocontrol.int/aircraftperformance/details.aspx?ICAO=RJ1H" TargetMode="External"/><Relationship Id="rId126" Type="http://schemas.openxmlformats.org/officeDocument/2006/relationships/hyperlink" Target="https://www.easa.europa.eu/en/downloads/7388/en" TargetMode="External"/><Relationship Id="rId8" Type="http://schemas.openxmlformats.org/officeDocument/2006/relationships/hyperlink" Target="https://www.airbus.com/sites/g/files/jlcbta136/files/2021-11/Airbus-Commercial-Aircraft-AC-A340-200-300.pdf" TargetMode="External"/><Relationship Id="rId51" Type="http://schemas.openxmlformats.org/officeDocument/2006/relationships/hyperlink" Target="https://contentzone.eurocontrol.int/aircraftperformance/details.aspx?ICAO=A321" TargetMode="External"/><Relationship Id="rId72" Type="http://schemas.openxmlformats.org/officeDocument/2006/relationships/hyperlink" Target="http://www.feamtechnicaltraining.com/files/ATR%2042%20REFRESHER.pdf" TargetMode="External"/><Relationship Id="rId93" Type="http://schemas.openxmlformats.org/officeDocument/2006/relationships/hyperlink" Target="https://www.flyembraer.com/irj/go/km/docs/download_center/Anonymous/Ergonomia/Home%20Page/Documents/APM_170.pdf" TargetMode="External"/><Relationship Id="rId98" Type="http://schemas.openxmlformats.org/officeDocument/2006/relationships/hyperlink" Target="https://www.flyembraer.com/irj/go/km/docs/download_center/Anonymous/Ergonomia/Home%20Page/Documents/APM_195.pdf" TargetMode="External"/><Relationship Id="rId121" Type="http://schemas.openxmlformats.org/officeDocument/2006/relationships/hyperlink" Target="https://contentzone.eurocontrol.int/aircraftperformance/details.aspx?ICAO=JS41" TargetMode="External"/><Relationship Id="rId3" Type="http://schemas.openxmlformats.org/officeDocument/2006/relationships/hyperlink" Target="https://www.volga-dnepr.com/files/booklet/an-124e_final.pdf" TargetMode="External"/><Relationship Id="rId25" Type="http://schemas.openxmlformats.org/officeDocument/2006/relationships/hyperlink" Target="https://www.boeing.com/resources/boeingdotcom/commercial/airports/acaps/787.pdf" TargetMode="External"/><Relationship Id="rId46" Type="http://schemas.openxmlformats.org/officeDocument/2006/relationships/hyperlink" Target="https://www.airbus.com/sites/g/files/jlcbta136/files/2021-11/Airbus-Commercial-Aircraft-AC-A319.pdf" TargetMode="External"/><Relationship Id="rId67" Type="http://schemas.openxmlformats.org/officeDocument/2006/relationships/hyperlink" Target="https://contentzone.eurocontrol.int/aircraftperformance/details.aspx?ICAO=MD87" TargetMode="External"/><Relationship Id="rId116" Type="http://schemas.openxmlformats.org/officeDocument/2006/relationships/hyperlink" Target="https://www.globalair.com/aircraft-for-sale/specifications?specid=904" TargetMode="External"/><Relationship Id="rId137" Type="http://schemas.openxmlformats.org/officeDocument/2006/relationships/hyperlink" Target="https://www.purdueaviationllc.com/storage/app/media/Data%20Sheets/C152%20Data%20Sheet.pdf" TargetMode="External"/><Relationship Id="rId20" Type="http://schemas.openxmlformats.org/officeDocument/2006/relationships/hyperlink" Target="https://contentzone.eurocontrol.int/aircraftperformance/details.aspx?ICAO=B772" TargetMode="External"/><Relationship Id="rId41" Type="http://schemas.openxmlformats.org/officeDocument/2006/relationships/hyperlink" Target="https://contentzone.eurocontrol.int/aircraftperformance/details.aspx?ICAO=IL76" TargetMode="External"/><Relationship Id="rId62" Type="http://schemas.openxmlformats.org/officeDocument/2006/relationships/hyperlink" Target="https://contentzone.eurocontrol.int/aircraftperformance/details.aspx?ICAO=IL18" TargetMode="External"/><Relationship Id="rId83" Type="http://schemas.openxmlformats.org/officeDocument/2006/relationships/hyperlink" Target="https://customer.aero.bombardier.com/webd/BAG/CustSite/BRAD/RACSDocument.nsf/51aae8b2b3bfdf6685256c300045ff31/ec63f8639ff3ab9d85257c1500635bd8/$FILE/ATTE8Q23.pdf/CRJ700APMR15.pdf" TargetMode="External"/><Relationship Id="rId88" Type="http://schemas.openxmlformats.org/officeDocument/2006/relationships/hyperlink" Target="https://contentzone.eurocontrol.int/aircraftperformance/details.aspx?ICAO=DH8D" TargetMode="External"/><Relationship Id="rId111" Type="http://schemas.openxmlformats.org/officeDocument/2006/relationships/hyperlink" Target="https://contentzone.eurocontrol.int/aircraftperformance/details.aspx?ICAO=D328" TargetMode="External"/><Relationship Id="rId132" Type="http://schemas.openxmlformats.org/officeDocument/2006/relationships/hyperlink" Target="https://contentzone.eurocontrol.int/aircraftperformance/details.aspx?ICAO=C650" TargetMode="External"/><Relationship Id="rId15" Type="http://schemas.openxmlformats.org/officeDocument/2006/relationships/hyperlink" Target="https://www.boeing.com/resources/boeingdotcom/commercial/airports/acaps/747_4.pdf" TargetMode="External"/><Relationship Id="rId36" Type="http://schemas.openxmlformats.org/officeDocument/2006/relationships/hyperlink" Target="https://contentzone.eurocontrol.int/aircraftperformance/details.aspx?ICAO=C135" TargetMode="External"/><Relationship Id="rId57" Type="http://schemas.openxmlformats.org/officeDocument/2006/relationships/hyperlink" Target="https://contentzone.eurocontrol.int/aircraftperformance/details.aspx?ICAO=B738" TargetMode="External"/><Relationship Id="rId106" Type="http://schemas.openxmlformats.org/officeDocument/2006/relationships/hyperlink" Target="https://www.globalair.com/aircraft-for-sale/specifications?specid=200" TargetMode="External"/><Relationship Id="rId127" Type="http://schemas.openxmlformats.org/officeDocument/2006/relationships/hyperlink" Target="https://www.saabaircraftleasing.com/prod/datasheets/340b_jar.pdf" TargetMode="External"/><Relationship Id="rId10" Type="http://schemas.openxmlformats.org/officeDocument/2006/relationships/hyperlink" Target="https://www.airbus.com/sites/g/files/jlcbta136/files/2021-11/Airbus-Commercial-Aircraft-AC-A340-500_600.pdf" TargetMode="External"/><Relationship Id="rId31" Type="http://schemas.openxmlformats.org/officeDocument/2006/relationships/hyperlink" Target="https://contentzone.eurocontrol.int/aircraftperformance/details.aspx?ICAO=A310" TargetMode="External"/><Relationship Id="rId52" Type="http://schemas.openxmlformats.org/officeDocument/2006/relationships/hyperlink" Target="https://de.wikipedia.org/wiki/Antonow_An-12" TargetMode="External"/><Relationship Id="rId73" Type="http://schemas.openxmlformats.org/officeDocument/2006/relationships/hyperlink" Target="https://contentzone.eurocontrol.int/aircraftperformance/details.aspx?ICAO=AT43" TargetMode="External"/><Relationship Id="rId78" Type="http://schemas.openxmlformats.org/officeDocument/2006/relationships/hyperlink" Target="https://contentzone.eurocontrol.int/aircraftperformance/details.aspx?ICAO=B712" TargetMode="External"/><Relationship Id="rId94" Type="http://schemas.openxmlformats.org/officeDocument/2006/relationships/hyperlink" Target="https://contentzone.eurocontrol.int/aircraftperformance/details.aspx?ICAO=E170" TargetMode="External"/><Relationship Id="rId99" Type="http://schemas.openxmlformats.org/officeDocument/2006/relationships/hyperlink" Target="https://contentzone.eurocontrol.int/aircraftperformance/details.aspx?ICAO=E195" TargetMode="External"/><Relationship Id="rId101" Type="http://schemas.openxmlformats.org/officeDocument/2006/relationships/hyperlink" Target="https://contentzone.eurocontrol.int/aircraftperformance/details.aspx?ICAO=F70" TargetMode="External"/><Relationship Id="rId122" Type="http://schemas.openxmlformats.org/officeDocument/2006/relationships/hyperlink" Target="https://www.globalair.com/aircraft-for-sale/specifications?specid=25" TargetMode="External"/><Relationship Id="rId4" Type="http://schemas.openxmlformats.org/officeDocument/2006/relationships/hyperlink" Target="https://contentzone.eurocontrol.int/aircraftperformance/details.aspx?ICAO=A124" TargetMode="External"/><Relationship Id="rId9" Type="http://schemas.openxmlformats.org/officeDocument/2006/relationships/hyperlink" Target="https://contentzone.eurocontrol.int/aircraftperformance/details.aspx?ICAO=A343" TargetMode="External"/><Relationship Id="rId26" Type="http://schemas.openxmlformats.org/officeDocument/2006/relationships/hyperlink" Target="https://www.boeing.com/assets/pdf/commercial/airports/faqs/arcandapproachspeeds.pdf" TargetMode="External"/><Relationship Id="rId47" Type="http://schemas.openxmlformats.org/officeDocument/2006/relationships/hyperlink" Target="https://contentzone.eurocontrol.int/aircraftperformance/details.aspx?ICAO=A319" TargetMode="External"/><Relationship Id="rId68" Type="http://schemas.openxmlformats.org/officeDocument/2006/relationships/hyperlink" Target="https://contentzone.eurocontrol.int/aircraftperformance/details.aspx?ICAO=MD88" TargetMode="External"/><Relationship Id="rId89" Type="http://schemas.openxmlformats.org/officeDocument/2006/relationships/hyperlink" Target="https://www.flyembraer.com/irj/go/km/docs/download_center/Anonymous/Ergonomia/Home%20Page/Documents/APM_145.pdf" TargetMode="External"/><Relationship Id="rId112" Type="http://schemas.openxmlformats.org/officeDocument/2006/relationships/hyperlink" Target="https://www.flyembraer.com/irj/go/km/docs/download_center/Anonymous/Ergonomia/Home%20Page/Documents/APM_120.pdf" TargetMode="External"/><Relationship Id="rId133" Type="http://schemas.openxmlformats.org/officeDocument/2006/relationships/hyperlink" Target="https://www.guardianjet.com/userfiles/files/specs/CJ1/CJ1_sn_525_2003_Spec(1).pdf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contentzone.eurocontrol.int/aircraftperformance/details.aspx?ICAO=C135" TargetMode="External"/><Relationship Id="rId21" Type="http://schemas.openxmlformats.org/officeDocument/2006/relationships/hyperlink" Target="https://www.boeing.com/resources/boeingdotcom/commercial/airports/acaps/707.pdf" TargetMode="External"/><Relationship Id="rId42" Type="http://schemas.openxmlformats.org/officeDocument/2006/relationships/hyperlink" Target="https://www.atr-aircraft.com/our-aircraft/atr-72-600/" TargetMode="External"/><Relationship Id="rId47" Type="http://schemas.openxmlformats.org/officeDocument/2006/relationships/hyperlink" Target="https://booksite.elsevier.com/9780340741528/appendices/data-a/table-8/table.htm" TargetMode="External"/><Relationship Id="rId63" Type="http://schemas.openxmlformats.org/officeDocument/2006/relationships/hyperlink" Target="https://contentzone.eurocontrol.int/aircraftperformance/details.aspx?ICAO=H25B" TargetMode="External"/><Relationship Id="rId68" Type="http://schemas.openxmlformats.org/officeDocument/2006/relationships/hyperlink" Target="https://www.smartcockpit.com/docs/P180_Avanti-Specification_and_Description.pdf" TargetMode="External"/><Relationship Id="rId2" Type="http://schemas.openxmlformats.org/officeDocument/2006/relationships/hyperlink" Target="https://booksite.elsevier.com/9780340741528/appendices/data-a/table-1/table.htm" TargetMode="External"/><Relationship Id="rId16" Type="http://schemas.openxmlformats.org/officeDocument/2006/relationships/hyperlink" Target="https://www.boeing.com/resources/boeingdotcom/commercial/airports/acaps/787.pdf" TargetMode="External"/><Relationship Id="rId29" Type="http://schemas.openxmlformats.org/officeDocument/2006/relationships/hyperlink" Target="https://www.globalsecurity.org/military/world/russia/il-76-specs.htm" TargetMode="External"/><Relationship Id="rId11" Type="http://schemas.openxmlformats.org/officeDocument/2006/relationships/hyperlink" Target="https://booksite.elsevier.com/9780340741528/appendices/data-a/table-3/table.htm" TargetMode="External"/><Relationship Id="rId24" Type="http://schemas.openxmlformats.org/officeDocument/2006/relationships/hyperlink" Target="https://en.wikipedia.org/wiki/Thickness-to-chord_ratio" TargetMode="External"/><Relationship Id="rId32" Type="http://schemas.openxmlformats.org/officeDocument/2006/relationships/hyperlink" Target="https://www.airbus.com/sites/g/files/jlcbta136/files/2021-11/Airbus-Commercial-Aircraft-AC-A319.pdf" TargetMode="External"/><Relationship Id="rId37" Type="http://schemas.openxmlformats.org/officeDocument/2006/relationships/hyperlink" Target="https://www.lockheedmartin.com/content/dam/lockheed-martin/aero/documents/C-130J/C130JPocketGuide.pdf" TargetMode="External"/><Relationship Id="rId40" Type="http://schemas.openxmlformats.org/officeDocument/2006/relationships/hyperlink" Target="https://booksite.elsevier.com/9780340741528/appendices/data-a/table-5/table.htm" TargetMode="External"/><Relationship Id="rId45" Type="http://schemas.openxmlformats.org/officeDocument/2006/relationships/hyperlink" Target="https://businessaircraft.bombardier.com/en/aircraft/challenger-650" TargetMode="External"/><Relationship Id="rId53" Type="http://schemas.openxmlformats.org/officeDocument/2006/relationships/hyperlink" Target="https://www.flyembraer.com/irj/go/km/docs/download_center/Anonymous/Ergonomia/Home%20Page/Documents/APM_170.pdf" TargetMode="External"/><Relationship Id="rId58" Type="http://schemas.openxmlformats.org/officeDocument/2006/relationships/hyperlink" Target="https://www.globalair.com/aircraft-for-sale/specifications?specid=200" TargetMode="External"/><Relationship Id="rId66" Type="http://schemas.openxmlformats.org/officeDocument/2006/relationships/hyperlink" Target="https://www.globalair.com/aircraft-for-sale/specifications?specid=32" TargetMode="External"/><Relationship Id="rId5" Type="http://schemas.openxmlformats.org/officeDocument/2006/relationships/hyperlink" Target="https://www.airbus.com/sites/g/files/jlcbta136/files/2021-11/Airbus-Commercial-Aircraft-AC-A330.pdf" TargetMode="External"/><Relationship Id="rId61" Type="http://schemas.openxmlformats.org/officeDocument/2006/relationships/hyperlink" Target="https://www.flyembraer.com/irj/go/km/docs/download_center/Anonymous/Ergonomia/Home%20Page/Documents/APM_120.pdf" TargetMode="External"/><Relationship Id="rId19" Type="http://schemas.openxmlformats.org/officeDocument/2006/relationships/hyperlink" Target="https://www.airbus.com/sites/g/files/jlcbta136/files/2021-11/Airbus-Commercial-Aircraft-AC-A300-600-Dec-2009.pdf" TargetMode="External"/><Relationship Id="rId14" Type="http://schemas.openxmlformats.org/officeDocument/2006/relationships/hyperlink" Target="https://booksite.elsevier.com/9780340741528/appendices/data-a/table-4/table.htm" TargetMode="External"/><Relationship Id="rId22" Type="http://schemas.openxmlformats.org/officeDocument/2006/relationships/hyperlink" Target="https://booksite.elsevier.com/9780340741528/appendices/data-a/table-2/table.htm" TargetMode="External"/><Relationship Id="rId27" Type="http://schemas.openxmlformats.org/officeDocument/2006/relationships/hyperlink" Target="https://www.boeing.com/resources/boeingdotcom/commercial/airports/acaps/dc10.pdf" TargetMode="External"/><Relationship Id="rId30" Type="http://schemas.openxmlformats.org/officeDocument/2006/relationships/hyperlink" Target="https://www.boeing.com/resources/boeingdotcom/commercial/airports/acaps/md11.pdf" TargetMode="External"/><Relationship Id="rId35" Type="http://schemas.openxmlformats.org/officeDocument/2006/relationships/hyperlink" Target="https://de.wikipedia.org/wiki/Antonow_An-12" TargetMode="External"/><Relationship Id="rId43" Type="http://schemas.openxmlformats.org/officeDocument/2006/relationships/hyperlink" Target="https://aviation-is.better-than.tv/atr72fcom.pdf" TargetMode="External"/><Relationship Id="rId48" Type="http://schemas.openxmlformats.org/officeDocument/2006/relationships/hyperlink" Target="https://customer.aero.bombardier.com/webd/BAG/CustSite/BRAD/RACSDocument.nsf/51aae8b2b3bfdf6685256c300045ff31/ec63f8639ff3ab9d85257c1500635bd8/$FILE/ATTE8Q23.pdf/CRJ700APMR15.pdf" TargetMode="External"/><Relationship Id="rId56" Type="http://schemas.openxmlformats.org/officeDocument/2006/relationships/hyperlink" Target="https://www.flyembraer.com/irj/go/km/docs/download_center/Anonymous/Ergonomia/Home%20Page/Documents/APM_195.pdf" TargetMode="External"/><Relationship Id="rId64" Type="http://schemas.openxmlformats.org/officeDocument/2006/relationships/hyperlink" Target="https://www.bfu-web.de/EN/Publications/Interim_Reports/IR2019/IR1_19-1422-EX_BAE-JS32_Muenster-Osnabr.pdf?__blob=publicationFile" TargetMode="External"/><Relationship Id="rId69" Type="http://schemas.openxmlformats.org/officeDocument/2006/relationships/hyperlink" Target="https://en.wikipedia.org/wiki/Cessna_Citation_III" TargetMode="External"/><Relationship Id="rId8" Type="http://schemas.openxmlformats.org/officeDocument/2006/relationships/hyperlink" Target="https://www.airbus.com/sites/g/files/jlcbta136/files/2021-11/Airbus-Commercial-Aircraft-AC-A340-500_600.pdf" TargetMode="External"/><Relationship Id="rId51" Type="http://schemas.openxmlformats.org/officeDocument/2006/relationships/hyperlink" Target="https://customer.aero.bombardier.com/webd/BAG/CustSite/BRAD/RACSDocument.nsf/51aae8b2b3bfdf6685256c300045ff31/ec63f8639ff3ab9d85257c1500635bd8/$FILE/ATTNBEOB.pdf/D8400-APM.pdf" TargetMode="External"/><Relationship Id="rId72" Type="http://schemas.openxmlformats.org/officeDocument/2006/relationships/hyperlink" Target="https://www.globalair.com/aircraft-for-sale/specifications?specid=358" TargetMode="External"/><Relationship Id="rId3" Type="http://schemas.openxmlformats.org/officeDocument/2006/relationships/hyperlink" Target="https://www.volga-dnepr.com/files/booklet/an-124e_final.pdf" TargetMode="External"/><Relationship Id="rId12" Type="http://schemas.openxmlformats.org/officeDocument/2006/relationships/hyperlink" Target="https://www.boeing.com/resources/boeingdotcom/commercial/airports/acaps/747_8.pdf" TargetMode="External"/><Relationship Id="rId17" Type="http://schemas.openxmlformats.org/officeDocument/2006/relationships/hyperlink" Target="https://www.lissys.uk/samp1/index.html" TargetMode="External"/><Relationship Id="rId25" Type="http://schemas.openxmlformats.org/officeDocument/2006/relationships/hyperlink" Target="https://www.boeing.com/resources/boeingdotcom/commercial/airports/acaps/767_REV_I.pdf" TargetMode="External"/><Relationship Id="rId33" Type="http://schemas.openxmlformats.org/officeDocument/2006/relationships/hyperlink" Target="https://www.airbus.com/sites/g/files/jlcbta136/files/2021-11/Airbus-Commercial-Aircraft-AC-A320.pdf" TargetMode="External"/><Relationship Id="rId38" Type="http://schemas.openxmlformats.org/officeDocument/2006/relationships/hyperlink" Target="http://www.interflug.biz/Archiv/FZH/IL18/FZH_IL18.pdf" TargetMode="External"/><Relationship Id="rId46" Type="http://schemas.openxmlformats.org/officeDocument/2006/relationships/hyperlink" Target="https://caisatech.net/uploads/XXI_3_BOMBARDIER_H51_CRJ100-200-440_O_APM_R11_10DIC2021.pdf" TargetMode="External"/><Relationship Id="rId59" Type="http://schemas.openxmlformats.org/officeDocument/2006/relationships/hyperlink" Target="https://www.globalair.com/aircraft-for-sale/specifications?specid=208" TargetMode="External"/><Relationship Id="rId67" Type="http://schemas.openxmlformats.org/officeDocument/2006/relationships/hyperlink" Target="https://www.saabaircraftleasing.com/prod/datasheets/340b_jar.pdf" TargetMode="External"/><Relationship Id="rId20" Type="http://schemas.openxmlformats.org/officeDocument/2006/relationships/hyperlink" Target="https://www.airbus.com/sites/g/files/jlcbta136/files/2021-11/Airbus-Commercial-Aircraft-AC-A310-Dec-2009.pdf" TargetMode="External"/><Relationship Id="rId41" Type="http://schemas.openxmlformats.org/officeDocument/2006/relationships/hyperlink" Target="https://www.boeing.com/resources/boeingdotcom/commercial/airports/acaps/md90.pdf" TargetMode="External"/><Relationship Id="rId54" Type="http://schemas.openxmlformats.org/officeDocument/2006/relationships/hyperlink" Target="https://www.embraercommercialaviation.com/wp-content/uploads/2017/02/APM_E175.pdf" TargetMode="External"/><Relationship Id="rId62" Type="http://schemas.openxmlformats.org/officeDocument/2006/relationships/hyperlink" Target="https://www.globalair.com/aircraft-for-sale/specifications?specid=33" TargetMode="External"/><Relationship Id="rId70" Type="http://schemas.openxmlformats.org/officeDocument/2006/relationships/hyperlink" Target="https://www.guardianjet.com/userfiles/files/specs/CJ1/CJ1_sn_525_2003_Spec(1).pdf" TargetMode="External"/><Relationship Id="rId1" Type="http://schemas.openxmlformats.org/officeDocument/2006/relationships/hyperlink" Target="https://www.airbus.com/sites/g/files/jlcbta136/files/2021-11/Airbus-Aircraft-AC-A380.pdf" TargetMode="External"/><Relationship Id="rId6" Type="http://schemas.openxmlformats.org/officeDocument/2006/relationships/hyperlink" Target="https://booksite.elsevier.com/9780340741528/appendices/data-a/table-1/table.htm" TargetMode="External"/><Relationship Id="rId15" Type="http://schemas.openxmlformats.org/officeDocument/2006/relationships/hyperlink" Target="https://www.boeing.com/resources/boeingdotcom/commercial/airports/acaps/777_2lr3er.pdf" TargetMode="External"/><Relationship Id="rId23" Type="http://schemas.openxmlformats.org/officeDocument/2006/relationships/hyperlink" Target="https://www.boeing.com/resources/boeingdotcom/commercial/airports/acaps/757_23.pdf" TargetMode="External"/><Relationship Id="rId28" Type="http://schemas.openxmlformats.org/officeDocument/2006/relationships/hyperlink" Target="https://en.wikipedia.org/wiki/Douglas_DC-8" TargetMode="External"/><Relationship Id="rId36" Type="http://schemas.openxmlformats.org/officeDocument/2006/relationships/hyperlink" Target="https://www.boeing.com/resources/boeingdotcom/commercial/airports/acaps/737NG_REV%20C.pdf" TargetMode="External"/><Relationship Id="rId49" Type="http://schemas.openxmlformats.org/officeDocument/2006/relationships/hyperlink" Target="https://customer.aero.bombardier.com/webd/BAG/CustSite/BRAD/RACSDocument.nsf/51aae8b2b3bfdf6685256c300045ff31/ec63f8639ff3ab9d85257c1500635bd8/$FILE/ATTQF1EY.pdf/CRJ900APMR11.pdf" TargetMode="External"/><Relationship Id="rId57" Type="http://schemas.openxmlformats.org/officeDocument/2006/relationships/hyperlink" Target="https://www.globalair.com/aircraft-for-sale/specifications?specid=236" TargetMode="External"/><Relationship Id="rId10" Type="http://schemas.openxmlformats.org/officeDocument/2006/relationships/hyperlink" Target="https://www.boeing.com/resources/boeingdotcom/commercial/airports/acaps/747_4.pdf" TargetMode="External"/><Relationship Id="rId31" Type="http://schemas.openxmlformats.org/officeDocument/2006/relationships/hyperlink" Target="https://www.airbus.com/sites/g/files/jlcbta136/files/2021-11/Airbus-Commercial-Aircraft-AC-A318.pdf" TargetMode="External"/><Relationship Id="rId44" Type="http://schemas.openxmlformats.org/officeDocument/2006/relationships/hyperlink" Target="https://www.boeing.com/resources/boeingdotcom/commercial/airports/acaps/717.pdf" TargetMode="External"/><Relationship Id="rId52" Type="http://schemas.openxmlformats.org/officeDocument/2006/relationships/hyperlink" Target="https://www.flyembraer.com/irj/go/km/docs/download_center/Anonymous/Ergonomia/Home%20Page/Documents/APM_145.pdf" TargetMode="External"/><Relationship Id="rId60" Type="http://schemas.openxmlformats.org/officeDocument/2006/relationships/hyperlink" Target="https://www.globalair.com/aircraft-for-sale/specifications?specid=716" TargetMode="External"/><Relationship Id="rId65" Type="http://schemas.openxmlformats.org/officeDocument/2006/relationships/hyperlink" Target="https://www.globalair.com/aircraft-for-sale/specifications?specid=24" TargetMode="External"/><Relationship Id="rId73" Type="http://schemas.openxmlformats.org/officeDocument/2006/relationships/hyperlink" Target="https://www.purdueaviationllc.com/storage/app/media/Data%20Sheets/C152%20Data%20Sheet.pdf" TargetMode="External"/><Relationship Id="rId4" Type="http://schemas.openxmlformats.org/officeDocument/2006/relationships/hyperlink" Target="https://booksite.elsevier.com/9780340741528/appendices/data-a/table-7/table.htm" TargetMode="External"/><Relationship Id="rId9" Type="http://schemas.openxmlformats.org/officeDocument/2006/relationships/hyperlink" Target="https://www.airbus.com/sites/g/files/jlcbta136/files/2021-11/Airbus-Commercial-Aircraft-AC-A350-900-1000.pdf" TargetMode="External"/><Relationship Id="rId13" Type="http://schemas.openxmlformats.org/officeDocument/2006/relationships/hyperlink" Target="https://www.boeing.com/resources/boeingdotcom/commercial/airports/acaps/777_23.pdf" TargetMode="External"/><Relationship Id="rId18" Type="http://schemas.openxmlformats.org/officeDocument/2006/relationships/hyperlink" Target="https://booksite.elsevier.com/9780340741528/appendices/data-a/table-7/table.htm" TargetMode="External"/><Relationship Id="rId39" Type="http://schemas.openxmlformats.org/officeDocument/2006/relationships/hyperlink" Target="https://www.boeing.com/resources/boeingdotcom/commercial/airports/acaps/md80.pdf" TargetMode="External"/><Relationship Id="rId34" Type="http://schemas.openxmlformats.org/officeDocument/2006/relationships/hyperlink" Target="https://www.airbus.com/sites/g/files/jlcbta136/files/2021-11/Airbus-Commercial-Aircraft-AC-A321.pdf" TargetMode="External"/><Relationship Id="rId50" Type="http://schemas.openxmlformats.org/officeDocument/2006/relationships/hyperlink" Target="https://www.easa.europa.eu/en/downloads/7257/en" TargetMode="External"/><Relationship Id="rId55" Type="http://schemas.openxmlformats.org/officeDocument/2006/relationships/hyperlink" Target="https://www.flyembraer.com/irj/go/km/docs/download_center/Anonymous/Ergonomia/Home%20Page/Documents/APM_190.pdf" TargetMode="External"/><Relationship Id="rId7" Type="http://schemas.openxmlformats.org/officeDocument/2006/relationships/hyperlink" Target="https://www.airbus.com/sites/g/files/jlcbta136/files/2021-11/Airbus-Commercial-Aircraft-AC-A340-200-300.pdf" TargetMode="External"/><Relationship Id="rId71" Type="http://schemas.openxmlformats.org/officeDocument/2006/relationships/hyperlink" Target="https://janes.migavia.com/usa/cessna/cessna-525-citation-cj1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fzt.haw-hamburg.de/pers/Scholz/arbeiten/TextSchlueter.pdf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hyperlink" Target="https://www.gnu.org/licens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41"/>
  <sheetViews>
    <sheetView zoomScale="93" zoomScaleNormal="57" workbookViewId="0">
      <pane ySplit="1" topLeftCell="A2" activePane="bottomLeft" state="frozen"/>
      <selection pane="bottomLeft" activeCell="A2" sqref="A2"/>
    </sheetView>
  </sheetViews>
  <sheetFormatPr baseColWidth="10" defaultColWidth="10.875" defaultRowHeight="15.75" x14ac:dyDescent="0.25"/>
  <cols>
    <col min="1" max="1" width="29.375" style="3" bestFit="1" customWidth="1"/>
    <col min="2" max="2" width="14.375" style="3" bestFit="1" customWidth="1"/>
    <col min="3" max="3" width="27.125" style="3" bestFit="1" customWidth="1"/>
    <col min="4" max="5" width="15" style="3" customWidth="1"/>
    <col min="6" max="7" width="15.625" style="3" customWidth="1"/>
    <col min="8" max="8" width="12.375" style="3" customWidth="1"/>
    <col min="9" max="11" width="17" style="3" customWidth="1"/>
    <col min="12" max="12" width="20.125" style="3" bestFit="1" customWidth="1"/>
    <col min="13" max="13" width="4.5" style="5" customWidth="1"/>
    <col min="14" max="14" width="18.875" style="3" bestFit="1" customWidth="1"/>
    <col min="15" max="15" width="4.5" style="5" customWidth="1"/>
    <col min="16" max="16" width="25.375" style="3" bestFit="1" customWidth="1"/>
    <col min="17" max="17" width="4.5" style="5" customWidth="1"/>
    <col min="18" max="18" width="14.625" style="3" bestFit="1" customWidth="1"/>
    <col min="19" max="19" width="14.625" style="3" customWidth="1"/>
    <col min="20" max="20" width="21.375" style="3" customWidth="1"/>
    <col min="21" max="21" width="10.875" style="3"/>
    <col min="22" max="22" width="24.875" style="3" customWidth="1"/>
    <col min="23" max="23" width="12.125" style="3" bestFit="1" customWidth="1"/>
    <col min="24" max="24" width="10.875" style="3"/>
    <col min="25" max="25" width="102.375" style="3" customWidth="1"/>
    <col min="26" max="16384" width="10.875" style="3"/>
  </cols>
  <sheetData>
    <row r="1" spans="1:25" x14ac:dyDescent="0.25">
      <c r="A1" s="3" t="s">
        <v>196</v>
      </c>
      <c r="B1" s="3" t="s">
        <v>0</v>
      </c>
      <c r="C1" s="3" t="s">
        <v>1</v>
      </c>
      <c r="D1" s="3" t="s">
        <v>175</v>
      </c>
      <c r="E1" s="3" t="s">
        <v>231</v>
      </c>
      <c r="F1" s="3" t="s">
        <v>182</v>
      </c>
      <c r="G1" s="3" t="s">
        <v>232</v>
      </c>
      <c r="H1" s="3" t="s">
        <v>183</v>
      </c>
      <c r="I1" s="3" t="s">
        <v>233</v>
      </c>
      <c r="J1" s="3" t="s">
        <v>539</v>
      </c>
      <c r="K1" s="3" t="s">
        <v>540</v>
      </c>
      <c r="L1" s="3" t="s">
        <v>554</v>
      </c>
      <c r="M1" s="4" t="s">
        <v>234</v>
      </c>
      <c r="N1" s="3" t="s">
        <v>548</v>
      </c>
      <c r="O1" s="4" t="s">
        <v>234</v>
      </c>
      <c r="P1" s="3" t="s">
        <v>555</v>
      </c>
      <c r="Q1" s="4" t="s">
        <v>234</v>
      </c>
      <c r="R1" s="3" t="s">
        <v>556</v>
      </c>
      <c r="S1" s="3" t="s">
        <v>557</v>
      </c>
      <c r="T1" s="3" t="s">
        <v>558</v>
      </c>
      <c r="U1" s="3" t="s">
        <v>214</v>
      </c>
      <c r="V1" s="3" t="s">
        <v>559</v>
      </c>
      <c r="W1" s="3" t="s">
        <v>547</v>
      </c>
      <c r="X1" s="3" t="s">
        <v>236</v>
      </c>
    </row>
    <row r="2" spans="1:25" x14ac:dyDescent="0.25">
      <c r="A2" s="3">
        <v>1</v>
      </c>
      <c r="B2" s="3" t="s">
        <v>2</v>
      </c>
      <c r="C2" s="3" t="s">
        <v>3</v>
      </c>
      <c r="D2" s="3" t="s">
        <v>176</v>
      </c>
      <c r="E2" s="3">
        <v>6</v>
      </c>
      <c r="F2" s="3" t="s">
        <v>184</v>
      </c>
      <c r="G2" s="3">
        <v>4</v>
      </c>
      <c r="H2" s="3" t="s">
        <v>185</v>
      </c>
      <c r="I2" s="3">
        <v>9</v>
      </c>
      <c r="J2" s="3" t="s">
        <v>184</v>
      </c>
      <c r="K2" s="3">
        <v>6</v>
      </c>
      <c r="L2" s="3">
        <v>394000</v>
      </c>
      <c r="M2" s="4" t="str">
        <f>X2</f>
        <v>[1]</v>
      </c>
      <c r="N2" s="3">
        <v>79.75</v>
      </c>
      <c r="O2" s="4" t="str">
        <f>X2</f>
        <v>[1]</v>
      </c>
      <c r="P2" s="3">
        <f>140/1.944</f>
        <v>72.016460905349803</v>
      </c>
      <c r="Q2" s="4" t="str">
        <f>X3</f>
        <v>[2]</v>
      </c>
      <c r="R2" s="3">
        <f>'Calculation Oswald-factor'!Q2</f>
        <v>0.84506538679795351</v>
      </c>
      <c r="S2" s="3" t="e">
        <f>VLOOKUP(C2,'Oswald-factor Method 2'!B:L,9,0)</f>
        <v>#N/A</v>
      </c>
      <c r="T2" s="3">
        <f t="shared" ref="T2:T33" si="0">((2*$B$97^2)/PI())*(1/(N2^2*R2))*(L2^2/($B$96*P2))</f>
        <v>20044459.815901108</v>
      </c>
      <c r="U2" s="3">
        <f t="shared" ref="U2:U33" si="1">T2/1000000</f>
        <v>20.044459815901106</v>
      </c>
      <c r="X2" s="3" t="s">
        <v>237</v>
      </c>
      <c r="Y2" s="2" t="s">
        <v>238</v>
      </c>
    </row>
    <row r="3" spans="1:25" x14ac:dyDescent="0.25">
      <c r="A3" s="3">
        <v>2</v>
      </c>
      <c r="B3" s="3" t="s">
        <v>4</v>
      </c>
      <c r="C3" s="3" t="s">
        <v>5</v>
      </c>
      <c r="D3" s="3" t="s">
        <v>176</v>
      </c>
      <c r="E3" s="3">
        <v>6</v>
      </c>
      <c r="F3" s="3" t="s">
        <v>186</v>
      </c>
      <c r="G3" s="3">
        <v>3</v>
      </c>
      <c r="H3" s="3" t="s">
        <v>187</v>
      </c>
      <c r="I3" s="3">
        <v>6</v>
      </c>
      <c r="J3" s="3" t="s">
        <v>184</v>
      </c>
      <c r="K3" s="3">
        <v>6</v>
      </c>
      <c r="L3" s="3">
        <v>330000</v>
      </c>
      <c r="M3" s="4" t="str">
        <f>X4</f>
        <v>[3]</v>
      </c>
      <c r="N3" s="3">
        <v>73.3</v>
      </c>
      <c r="O3" s="4" t="str">
        <f>X4</f>
        <v>[3]</v>
      </c>
      <c r="P3" s="3">
        <f>140/1.944</f>
        <v>72.016460905349803</v>
      </c>
      <c r="Q3" s="4" t="str">
        <f>X5</f>
        <v>[4]</v>
      </c>
      <c r="R3" s="3">
        <f>'Calculation Oswald-factor'!Q3</f>
        <v>0.84175291086726645</v>
      </c>
      <c r="S3" s="3" t="e">
        <f>VLOOKUP(C3,'Oswald-factor Method 2'!B:L,9,0)</f>
        <v>#N/A</v>
      </c>
      <c r="T3" s="3">
        <f t="shared" si="0"/>
        <v>16710479.574920265</v>
      </c>
      <c r="U3" s="3">
        <f t="shared" si="1"/>
        <v>16.710479574920264</v>
      </c>
      <c r="X3" s="3" t="s">
        <v>239</v>
      </c>
      <c r="Y3" s="2" t="s">
        <v>240</v>
      </c>
    </row>
    <row r="4" spans="1:25" x14ac:dyDescent="0.25">
      <c r="A4" s="3">
        <v>3</v>
      </c>
      <c r="B4" s="3" t="s">
        <v>6</v>
      </c>
      <c r="C4" s="3" t="s">
        <v>7</v>
      </c>
      <c r="D4" s="3" t="s">
        <v>177</v>
      </c>
      <c r="E4" s="3">
        <v>5</v>
      </c>
      <c r="F4" s="3" t="s">
        <v>186</v>
      </c>
      <c r="G4" s="3">
        <v>3</v>
      </c>
      <c r="H4" s="3" t="s">
        <v>188</v>
      </c>
      <c r="I4" s="3">
        <v>8</v>
      </c>
      <c r="J4" s="3" t="s">
        <v>186</v>
      </c>
      <c r="K4" s="3">
        <v>5</v>
      </c>
      <c r="L4" s="3">
        <v>182000</v>
      </c>
      <c r="M4" s="4" t="str">
        <f>X6</f>
        <v>[5]</v>
      </c>
      <c r="N4" s="3">
        <v>60.3</v>
      </c>
      <c r="O4" s="4" t="str">
        <f>X6</f>
        <v>[5]</v>
      </c>
      <c r="P4" s="3">
        <f>135/1.944</f>
        <v>69.444444444444443</v>
      </c>
      <c r="Q4" s="4" t="str">
        <f>X7</f>
        <v>[6]</v>
      </c>
      <c r="R4" s="3">
        <f>'Calculation Oswald-factor'!Q4</f>
        <v>0.84094944559145435</v>
      </c>
      <c r="S4" s="3" t="e">
        <f>VLOOKUP(C4,'Oswald-factor Method 2'!B:L,9,0)</f>
        <v>#N/A</v>
      </c>
      <c r="T4" s="3">
        <f t="shared" si="0"/>
        <v>7796256.885459926</v>
      </c>
      <c r="U4" s="3">
        <f t="shared" si="1"/>
        <v>7.7962568854599263</v>
      </c>
      <c r="X4" s="3" t="s">
        <v>243</v>
      </c>
      <c r="Y4" s="2" t="s">
        <v>242</v>
      </c>
    </row>
    <row r="5" spans="1:25" x14ac:dyDescent="0.25">
      <c r="A5" s="3">
        <v>4</v>
      </c>
      <c r="B5" s="3" t="s">
        <v>8</v>
      </c>
      <c r="C5" s="3" t="s">
        <v>9</v>
      </c>
      <c r="D5" s="3" t="s">
        <v>177</v>
      </c>
      <c r="E5" s="3">
        <v>5</v>
      </c>
      <c r="F5" s="3" t="s">
        <v>186</v>
      </c>
      <c r="G5" s="3">
        <v>3</v>
      </c>
      <c r="H5" s="3" t="s">
        <v>188</v>
      </c>
      <c r="I5" s="3">
        <v>8</v>
      </c>
      <c r="J5" s="3" t="s">
        <v>186</v>
      </c>
      <c r="K5" s="3">
        <v>5</v>
      </c>
      <c r="L5" s="3">
        <v>187000</v>
      </c>
      <c r="M5" s="4" t="str">
        <f>X6</f>
        <v>[5]</v>
      </c>
      <c r="N5" s="3">
        <v>60.3</v>
      </c>
      <c r="O5" s="4" t="str">
        <f>X6</f>
        <v>[5]</v>
      </c>
      <c r="P5" s="3">
        <f>136/1.944</f>
        <v>69.958847736625515</v>
      </c>
      <c r="Q5" s="4" t="str">
        <f>X8</f>
        <v>[7]</v>
      </c>
      <c r="R5" s="3">
        <f>'Calculation Oswald-factor'!Q5</f>
        <v>0.84071865869936102</v>
      </c>
      <c r="S5" s="3" t="e">
        <f>VLOOKUP(C5,'Oswald-factor Method 2'!B:L,9,0)</f>
        <v>#N/A</v>
      </c>
      <c r="T5" s="3">
        <f t="shared" si="0"/>
        <v>8172231.1164811924</v>
      </c>
      <c r="U5" s="3">
        <f t="shared" si="1"/>
        <v>8.1722311164811927</v>
      </c>
      <c r="X5" s="3" t="s">
        <v>245</v>
      </c>
      <c r="Y5" s="2" t="s">
        <v>244</v>
      </c>
    </row>
    <row r="6" spans="1:25" x14ac:dyDescent="0.25">
      <c r="A6" s="3">
        <v>5</v>
      </c>
      <c r="B6" s="3" t="s">
        <v>10</v>
      </c>
      <c r="C6" s="3" t="s">
        <v>11</v>
      </c>
      <c r="D6" s="3" t="s">
        <v>177</v>
      </c>
      <c r="E6" s="3">
        <v>5</v>
      </c>
      <c r="F6" s="3" t="s">
        <v>186</v>
      </c>
      <c r="G6" s="3">
        <v>3</v>
      </c>
      <c r="H6" s="3" t="s">
        <v>188</v>
      </c>
      <c r="I6" s="3">
        <v>8</v>
      </c>
      <c r="J6" s="3" t="s">
        <v>186</v>
      </c>
      <c r="K6" s="3">
        <v>5</v>
      </c>
      <c r="L6" s="3">
        <v>192000</v>
      </c>
      <c r="M6" s="4" t="str">
        <f>X9</f>
        <v>[8]</v>
      </c>
      <c r="N6" s="3">
        <v>60.3</v>
      </c>
      <c r="O6" s="4" t="str">
        <f>X9</f>
        <v>[8]</v>
      </c>
      <c r="P6" s="3">
        <f>136/1.944</f>
        <v>69.958847736625515</v>
      </c>
      <c r="Q6" s="4" t="str">
        <f>X10</f>
        <v>[9]</v>
      </c>
      <c r="R6" s="3">
        <f>'Calculation Oswald-factor'!Q6</f>
        <v>0.84069843991310189</v>
      </c>
      <c r="S6" s="3">
        <f>VLOOKUP(C6,'Oswald-factor Method 2'!B:L,11,0)</f>
        <v>0.81691636486013652</v>
      </c>
      <c r="T6" s="3">
        <f t="shared" si="0"/>
        <v>8615298.4987865593</v>
      </c>
      <c r="U6" s="3">
        <f t="shared" si="1"/>
        <v>8.6152984987865597</v>
      </c>
      <c r="V6" s="3">
        <f>(((2*$B$97^2)/PI())*(1/(N6^2*S6))*(L6^2/($B$96*P6)))/1000000</f>
        <v>8.8661071302636874</v>
      </c>
      <c r="W6" s="3">
        <f>((V6-U6)/V6)*100</f>
        <v>2.8288472921899865</v>
      </c>
      <c r="X6" s="3" t="s">
        <v>248</v>
      </c>
      <c r="Y6" s="2" t="s">
        <v>247</v>
      </c>
    </row>
    <row r="7" spans="1:25" x14ac:dyDescent="0.25">
      <c r="A7" s="3">
        <v>6</v>
      </c>
      <c r="B7" s="3" t="s">
        <v>12</v>
      </c>
      <c r="C7" s="3" t="s">
        <v>13</v>
      </c>
      <c r="D7" s="3" t="s">
        <v>177</v>
      </c>
      <c r="E7" s="3">
        <v>5</v>
      </c>
      <c r="F7" s="3" t="s">
        <v>186</v>
      </c>
      <c r="G7" s="3">
        <v>3</v>
      </c>
      <c r="H7" s="3" t="s">
        <v>188</v>
      </c>
      <c r="I7" s="3">
        <v>8</v>
      </c>
      <c r="J7" s="3" t="s">
        <v>186</v>
      </c>
      <c r="K7" s="3">
        <v>5</v>
      </c>
      <c r="L7" s="3">
        <v>246000</v>
      </c>
      <c r="M7" s="4" t="str">
        <f>X11</f>
        <v>[10]</v>
      </c>
      <c r="N7" s="3">
        <v>63.45</v>
      </c>
      <c r="O7" s="4" t="str">
        <f>X11</f>
        <v>[10]</v>
      </c>
      <c r="P7" s="3">
        <f>139/1.944</f>
        <v>71.502057613168731</v>
      </c>
      <c r="Q7" s="4" t="str">
        <f>X12</f>
        <v>[11]</v>
      </c>
      <c r="R7" s="3">
        <f>'Calculation Oswald-factor'!Q7</f>
        <v>0.84391340456692931</v>
      </c>
      <c r="S7" s="3" t="e">
        <f>VLOOKUP(C7,'Oswald-factor Method 2'!B:L,11,0)</f>
        <v>#N/A</v>
      </c>
      <c r="T7" s="3">
        <f t="shared" si="0"/>
        <v>12450188.358569166</v>
      </c>
      <c r="U7" s="3">
        <f t="shared" si="1"/>
        <v>12.450188358569166</v>
      </c>
      <c r="X7" s="3" t="s">
        <v>250</v>
      </c>
      <c r="Y7" s="2" t="s">
        <v>249</v>
      </c>
    </row>
    <row r="8" spans="1:25" x14ac:dyDescent="0.25">
      <c r="A8" s="3">
        <v>7</v>
      </c>
      <c r="B8" s="3" t="s">
        <v>14</v>
      </c>
      <c r="C8" s="3" t="s">
        <v>15</v>
      </c>
      <c r="D8" s="3" t="s">
        <v>177</v>
      </c>
      <c r="E8" s="3">
        <v>5</v>
      </c>
      <c r="F8" s="3" t="s">
        <v>186</v>
      </c>
      <c r="G8" s="3">
        <v>3</v>
      </c>
      <c r="H8" s="3" t="s">
        <v>188</v>
      </c>
      <c r="I8" s="3">
        <v>8</v>
      </c>
      <c r="J8" s="3" t="s">
        <v>186</v>
      </c>
      <c r="K8" s="3">
        <v>5</v>
      </c>
      <c r="L8" s="3">
        <v>265000</v>
      </c>
      <c r="M8" s="4" t="str">
        <f>X11</f>
        <v>[10]</v>
      </c>
      <c r="N8" s="3">
        <v>63.45</v>
      </c>
      <c r="O8" s="4" t="str">
        <f>X11</f>
        <v>[10]</v>
      </c>
      <c r="P8" s="3">
        <f>144/1.944</f>
        <v>74.074074074074076</v>
      </c>
      <c r="Q8" s="4" t="str">
        <f>X13</f>
        <v>[12]</v>
      </c>
      <c r="R8" s="3">
        <f>'Calculation Oswald-factor'!Q8</f>
        <v>0.84391340456692931</v>
      </c>
      <c r="S8" s="3" t="e">
        <f>VLOOKUP(C8,'Oswald-factor Method 2'!B:L,11,0)</f>
        <v>#N/A</v>
      </c>
      <c r="T8" s="3">
        <f t="shared" si="0"/>
        <v>13946003.303280706</v>
      </c>
      <c r="U8" s="3">
        <f t="shared" si="1"/>
        <v>13.946003303280705</v>
      </c>
      <c r="X8" s="3" t="s">
        <v>253</v>
      </c>
      <c r="Y8" s="2" t="s">
        <v>252</v>
      </c>
    </row>
    <row r="9" spans="1:25" x14ac:dyDescent="0.25">
      <c r="A9" s="3">
        <v>8</v>
      </c>
      <c r="B9" s="3" t="s">
        <v>16</v>
      </c>
      <c r="C9" s="3" t="s">
        <v>17</v>
      </c>
      <c r="D9" s="3" t="s">
        <v>177</v>
      </c>
      <c r="E9" s="3">
        <v>5</v>
      </c>
      <c r="F9" s="3" t="s">
        <v>186</v>
      </c>
      <c r="G9" s="3">
        <v>3</v>
      </c>
      <c r="H9" s="3" t="s">
        <v>188</v>
      </c>
      <c r="I9" s="3">
        <v>8</v>
      </c>
      <c r="J9" s="3" t="s">
        <v>186</v>
      </c>
      <c r="K9" s="3">
        <v>5</v>
      </c>
      <c r="L9" s="3">
        <v>207000</v>
      </c>
      <c r="M9" s="4" t="str">
        <f>X14</f>
        <v>[13]</v>
      </c>
      <c r="N9" s="3">
        <v>64.75</v>
      </c>
      <c r="O9" s="4" t="str">
        <f>X14</f>
        <v>[13]</v>
      </c>
      <c r="P9" s="3">
        <f>140/1.944</f>
        <v>72.016460905349803</v>
      </c>
      <c r="Q9" s="4" t="str">
        <f>X15</f>
        <v>[14]</v>
      </c>
      <c r="R9" s="3">
        <f>'Calculation Oswald-factor'!Q9</f>
        <v>0.87447996471859613</v>
      </c>
      <c r="S9" s="3" t="e">
        <f>VLOOKUP(C9,'Oswald-factor Method 2'!B:L,11,0)</f>
        <v>#N/A</v>
      </c>
      <c r="T9" s="3">
        <f t="shared" si="0"/>
        <v>8110822.4012771742</v>
      </c>
      <c r="U9" s="3">
        <f t="shared" si="1"/>
        <v>8.1108224012771739</v>
      </c>
      <c r="X9" s="3" t="s">
        <v>255</v>
      </c>
      <c r="Y9" s="2" t="s">
        <v>254</v>
      </c>
    </row>
    <row r="10" spans="1:25" x14ac:dyDescent="0.25">
      <c r="A10" s="3">
        <v>9</v>
      </c>
      <c r="B10" s="3" t="s">
        <v>18</v>
      </c>
      <c r="C10" s="3" t="s">
        <v>19</v>
      </c>
      <c r="D10" s="3" t="s">
        <v>177</v>
      </c>
      <c r="E10" s="3">
        <v>5</v>
      </c>
      <c r="F10" s="3" t="s">
        <v>186</v>
      </c>
      <c r="G10" s="3">
        <v>3</v>
      </c>
      <c r="H10" s="3" t="s">
        <v>188</v>
      </c>
      <c r="I10" s="3">
        <v>8</v>
      </c>
      <c r="J10" s="3" t="s">
        <v>186</v>
      </c>
      <c r="K10" s="3">
        <v>5</v>
      </c>
      <c r="L10" s="3">
        <v>285764</v>
      </c>
      <c r="M10" s="4" t="str">
        <f>X16</f>
        <v>[15]</v>
      </c>
      <c r="N10" s="3">
        <v>64.44</v>
      </c>
      <c r="O10" s="4" t="str">
        <f>X16</f>
        <v>[15]</v>
      </c>
      <c r="P10" s="3">
        <f>152/1.944</f>
        <v>78.189300411522638</v>
      </c>
      <c r="Q10" s="4" t="str">
        <f>X17</f>
        <v>[16]</v>
      </c>
      <c r="R10" s="3">
        <f>'Calculation Oswald-factor'!Q10</f>
        <v>0.83774963352295817</v>
      </c>
      <c r="S10" s="3" t="e">
        <f>VLOOKUP(C10,'Oswald-factor Method 2'!B:L,11,0)</f>
        <v>#N/A</v>
      </c>
      <c r="T10" s="3">
        <f t="shared" si="0"/>
        <v>15004716.031185912</v>
      </c>
      <c r="U10" s="3">
        <f t="shared" si="1"/>
        <v>15.004716031185913</v>
      </c>
      <c r="X10" s="3" t="s">
        <v>257</v>
      </c>
      <c r="Y10" s="2" t="s">
        <v>256</v>
      </c>
    </row>
    <row r="11" spans="1:25" x14ac:dyDescent="0.25">
      <c r="A11" s="3">
        <v>10</v>
      </c>
      <c r="B11" s="3" t="s">
        <v>20</v>
      </c>
      <c r="C11" s="3" t="s">
        <v>21</v>
      </c>
      <c r="D11" s="3" t="s">
        <v>177</v>
      </c>
      <c r="E11" s="3">
        <v>5</v>
      </c>
      <c r="F11" s="3" t="s">
        <v>186</v>
      </c>
      <c r="G11" s="3">
        <v>3</v>
      </c>
      <c r="H11" s="3" t="s">
        <v>188</v>
      </c>
      <c r="I11" s="3">
        <v>8</v>
      </c>
      <c r="J11" s="3" t="s">
        <v>186</v>
      </c>
      <c r="K11" s="3">
        <v>5</v>
      </c>
      <c r="L11" s="3">
        <v>312072</v>
      </c>
      <c r="M11" s="4" t="str">
        <f>X18</f>
        <v>[17]</v>
      </c>
      <c r="N11" s="3">
        <v>68.400000000000006</v>
      </c>
      <c r="O11" s="4" t="str">
        <f>X18</f>
        <v>[17]</v>
      </c>
      <c r="P11" s="3">
        <f>145/1.944</f>
        <v>74.588477366255148</v>
      </c>
      <c r="Q11" s="4" t="str">
        <f>X19</f>
        <v>[18]</v>
      </c>
      <c r="R11" s="3">
        <f>'Calculation Oswald-factor'!Q11</f>
        <v>0.84018063667833842</v>
      </c>
      <c r="S11" s="3" t="e">
        <f>VLOOKUP(C11,'Oswald-factor Method 2'!B:L,11,0)</f>
        <v>#N/A</v>
      </c>
      <c r="T11" s="3">
        <f t="shared" si="0"/>
        <v>16601157.908711122</v>
      </c>
      <c r="U11" s="3">
        <f t="shared" si="1"/>
        <v>16.601157908711123</v>
      </c>
      <c r="X11" s="3" t="s">
        <v>259</v>
      </c>
      <c r="Y11" s="2" t="s">
        <v>258</v>
      </c>
    </row>
    <row r="12" spans="1:25" x14ac:dyDescent="0.25">
      <c r="A12" s="3">
        <v>11</v>
      </c>
      <c r="B12" s="3" t="s">
        <v>22</v>
      </c>
      <c r="C12" s="3" t="s">
        <v>23</v>
      </c>
      <c r="D12" s="3" t="s">
        <v>177</v>
      </c>
      <c r="E12" s="3">
        <v>5</v>
      </c>
      <c r="F12" s="3" t="s">
        <v>186</v>
      </c>
      <c r="G12" s="3">
        <v>3</v>
      </c>
      <c r="H12" s="3" t="s">
        <v>188</v>
      </c>
      <c r="I12" s="3">
        <v>8</v>
      </c>
      <c r="J12" s="3" t="s">
        <v>186</v>
      </c>
      <c r="K12" s="3">
        <v>5</v>
      </c>
      <c r="L12" s="3">
        <v>201800</v>
      </c>
      <c r="M12" s="4" t="str">
        <f>X20</f>
        <v>[19]</v>
      </c>
      <c r="N12" s="3">
        <v>60.93</v>
      </c>
      <c r="O12" s="4" t="str">
        <f>X20</f>
        <v>[19]</v>
      </c>
      <c r="P12" s="3">
        <f>140/1.944</f>
        <v>72.016460905349803</v>
      </c>
      <c r="Q12" s="4" t="str">
        <f>X21</f>
        <v>[20]</v>
      </c>
      <c r="R12" s="3">
        <f>'Calculation Oswald-factor'!Q12</f>
        <v>0.84126698131560151</v>
      </c>
      <c r="S12" s="3" t="e">
        <f>VLOOKUP(C12,'Oswald-factor Method 2'!B:L,11,0)</f>
        <v>#N/A</v>
      </c>
      <c r="T12" s="3">
        <f t="shared" si="0"/>
        <v>9048982.2048391867</v>
      </c>
      <c r="U12" s="3">
        <f t="shared" si="1"/>
        <v>9.0489822048391861</v>
      </c>
      <c r="X12" s="3" t="s">
        <v>261</v>
      </c>
      <c r="Y12" s="2" t="s">
        <v>260</v>
      </c>
    </row>
    <row r="13" spans="1:25" x14ac:dyDescent="0.25">
      <c r="A13" s="3">
        <v>12</v>
      </c>
      <c r="B13" s="3" t="s">
        <v>24</v>
      </c>
      <c r="C13" s="3" t="s">
        <v>25</v>
      </c>
      <c r="D13" s="3" t="s">
        <v>177</v>
      </c>
      <c r="E13" s="3">
        <v>5</v>
      </c>
      <c r="F13" s="3" t="s">
        <v>186</v>
      </c>
      <c r="G13" s="3">
        <v>3</v>
      </c>
      <c r="H13" s="3" t="s">
        <v>188</v>
      </c>
      <c r="I13" s="3">
        <v>8</v>
      </c>
      <c r="J13" s="3" t="s">
        <v>186</v>
      </c>
      <c r="K13" s="3">
        <v>5</v>
      </c>
      <c r="L13" s="3">
        <v>237680</v>
      </c>
      <c r="M13" s="4" t="str">
        <f>X20</f>
        <v>[19]</v>
      </c>
      <c r="N13" s="3">
        <v>60.93</v>
      </c>
      <c r="O13" s="4" t="str">
        <f>X20</f>
        <v>[19]</v>
      </c>
      <c r="P13" s="3">
        <f>149/1.944</f>
        <v>76.646090534979422</v>
      </c>
      <c r="Q13" s="4" t="str">
        <f>X22</f>
        <v>[21]</v>
      </c>
      <c r="R13" s="3">
        <f>'Calculation Oswald-factor'!Q13</f>
        <v>0.84126698131560151</v>
      </c>
      <c r="S13" s="3" t="e">
        <f>VLOOKUP(C13,'Oswald-factor Method 2'!B:L,11,0)</f>
        <v>#N/A</v>
      </c>
      <c r="T13" s="3">
        <f t="shared" si="0"/>
        <v>11794633.630668623</v>
      </c>
      <c r="U13" s="3">
        <f t="shared" si="1"/>
        <v>11.794633630668624</v>
      </c>
      <c r="X13" s="3" t="s">
        <v>263</v>
      </c>
      <c r="Y13" s="2" t="s">
        <v>262</v>
      </c>
    </row>
    <row r="14" spans="1:25" x14ac:dyDescent="0.25">
      <c r="A14" s="3">
        <v>13</v>
      </c>
      <c r="B14" s="3" t="s">
        <v>26</v>
      </c>
      <c r="C14" s="3" t="s">
        <v>27</v>
      </c>
      <c r="D14" s="3" t="s">
        <v>177</v>
      </c>
      <c r="E14" s="3">
        <v>5</v>
      </c>
      <c r="F14" s="3" t="s">
        <v>186</v>
      </c>
      <c r="G14" s="3">
        <v>3</v>
      </c>
      <c r="H14" s="3" t="s">
        <v>188</v>
      </c>
      <c r="I14" s="3">
        <v>8</v>
      </c>
      <c r="J14" s="3" t="s">
        <v>186</v>
      </c>
      <c r="K14" s="3">
        <v>5</v>
      </c>
      <c r="L14" s="3">
        <v>223168</v>
      </c>
      <c r="M14" s="4" t="str">
        <f>X25</f>
        <v>[24]</v>
      </c>
      <c r="N14" s="3">
        <v>64.8</v>
      </c>
      <c r="O14" s="4" t="str">
        <f>X25</f>
        <v>[24]</v>
      </c>
      <c r="P14" s="3">
        <f>140/1.944</f>
        <v>72.016460905349803</v>
      </c>
      <c r="Q14" s="4" t="str">
        <f>X23</f>
        <v>[22]</v>
      </c>
      <c r="R14" s="3">
        <f>'Calculation Oswald-factor'!Q14</f>
        <v>0.84332843127150803</v>
      </c>
      <c r="S14" s="3" t="e">
        <f>VLOOKUP(C14,'Oswald-factor Method 2'!B:L,11,0)</f>
        <v>#N/A</v>
      </c>
      <c r="T14" s="3">
        <f t="shared" si="0"/>
        <v>9760469.2890061177</v>
      </c>
      <c r="U14" s="3">
        <f t="shared" si="1"/>
        <v>9.7604692890061173</v>
      </c>
      <c r="X14" s="3" t="s">
        <v>265</v>
      </c>
      <c r="Y14" s="2" t="s">
        <v>264</v>
      </c>
    </row>
    <row r="15" spans="1:25" x14ac:dyDescent="0.25">
      <c r="A15" s="3">
        <v>14</v>
      </c>
      <c r="B15" s="3" t="s">
        <v>28</v>
      </c>
      <c r="C15" s="3" t="s">
        <v>29</v>
      </c>
      <c r="D15" s="3" t="s">
        <v>177</v>
      </c>
      <c r="E15" s="3">
        <v>5</v>
      </c>
      <c r="F15" s="3" t="s">
        <v>186</v>
      </c>
      <c r="G15" s="3">
        <v>3</v>
      </c>
      <c r="H15" s="3" t="s">
        <v>188</v>
      </c>
      <c r="I15" s="3">
        <v>8</v>
      </c>
      <c r="J15" s="3" t="s">
        <v>186</v>
      </c>
      <c r="K15" s="3">
        <v>5</v>
      </c>
      <c r="L15" s="3">
        <v>251290</v>
      </c>
      <c r="M15" s="4" t="str">
        <f>X25</f>
        <v>[24]</v>
      </c>
      <c r="N15" s="3">
        <v>64.8</v>
      </c>
      <c r="O15" s="4" t="str">
        <f>X25</f>
        <v>[24]</v>
      </c>
      <c r="P15" s="3">
        <f>149/1.944</f>
        <v>76.646090534979422</v>
      </c>
      <c r="Q15" s="4" t="str">
        <f>X24</f>
        <v>[23]</v>
      </c>
      <c r="R15" s="3">
        <f>'Calculation Oswald-factor'!Q15</f>
        <v>0.84332843127150803</v>
      </c>
      <c r="S15" s="3" t="e">
        <f>VLOOKUP(C15,'Oswald-factor Method 2'!B:L,11,0)</f>
        <v>#N/A</v>
      </c>
      <c r="T15" s="3">
        <f t="shared" si="0"/>
        <v>11627839.713583194</v>
      </c>
      <c r="U15" s="3">
        <f t="shared" si="1"/>
        <v>11.627839713583194</v>
      </c>
      <c r="X15" s="3" t="s">
        <v>267</v>
      </c>
      <c r="Y15" s="2" t="s">
        <v>266</v>
      </c>
    </row>
    <row r="16" spans="1:25" x14ac:dyDescent="0.25">
      <c r="A16" s="3">
        <v>15</v>
      </c>
      <c r="B16" s="3" t="s">
        <v>30</v>
      </c>
      <c r="C16" s="3" t="s">
        <v>31</v>
      </c>
      <c r="D16" s="3" t="s">
        <v>177</v>
      </c>
      <c r="E16" s="3">
        <v>5</v>
      </c>
      <c r="F16" s="3" t="s">
        <v>186</v>
      </c>
      <c r="G16" s="3">
        <v>3</v>
      </c>
      <c r="H16" s="3" t="s">
        <v>188</v>
      </c>
      <c r="I16" s="3">
        <v>8</v>
      </c>
      <c r="J16" s="3" t="s">
        <v>186</v>
      </c>
      <c r="K16" s="3">
        <v>5</v>
      </c>
      <c r="L16" s="3">
        <v>172365</v>
      </c>
      <c r="M16" s="4" t="str">
        <f>X26</f>
        <v>[25]</v>
      </c>
      <c r="N16" s="3">
        <v>60.12</v>
      </c>
      <c r="O16" s="4" t="str">
        <f>X26</f>
        <v>[25]</v>
      </c>
      <c r="P16" s="3">
        <f>145/1.944</f>
        <v>74.588477366255148</v>
      </c>
      <c r="Q16" s="4" t="str">
        <f>X27</f>
        <v>[26]</v>
      </c>
      <c r="R16" s="3">
        <f>'Calculation Oswald-factor'!Q16</f>
        <v>0.83955726381734663</v>
      </c>
      <c r="S16" s="3" t="e">
        <f>VLOOKUP(C16,'Oswald-factor Method 2'!B:L,11,0)</f>
        <v>#N/A</v>
      </c>
      <c r="T16" s="3">
        <f t="shared" si="0"/>
        <v>6560297.6424674951</v>
      </c>
      <c r="U16" s="3">
        <f t="shared" si="1"/>
        <v>6.5602976424674955</v>
      </c>
      <c r="X16" s="3" t="s">
        <v>269</v>
      </c>
      <c r="Y16" s="2" t="s">
        <v>268</v>
      </c>
    </row>
    <row r="17" spans="1:25" x14ac:dyDescent="0.25">
      <c r="A17" s="3">
        <v>16</v>
      </c>
      <c r="B17" s="3" t="s">
        <v>32</v>
      </c>
      <c r="C17" s="3" t="s">
        <v>33</v>
      </c>
      <c r="D17" s="3" t="s">
        <v>177</v>
      </c>
      <c r="E17" s="3">
        <v>5</v>
      </c>
      <c r="F17" s="3" t="s">
        <v>186</v>
      </c>
      <c r="G17" s="3">
        <v>3</v>
      </c>
      <c r="H17" s="3" t="s">
        <v>188</v>
      </c>
      <c r="I17" s="3">
        <v>8</v>
      </c>
      <c r="J17" s="3" t="s">
        <v>186</v>
      </c>
      <c r="K17" s="3">
        <v>5</v>
      </c>
      <c r="L17" s="3">
        <v>192776</v>
      </c>
      <c r="M17" s="4" t="str">
        <f>X26</f>
        <v>[25]</v>
      </c>
      <c r="N17" s="3">
        <v>60.12</v>
      </c>
      <c r="O17" s="4" t="str">
        <f>X26</f>
        <v>[25]</v>
      </c>
      <c r="P17" s="3">
        <f>153/1.944</f>
        <v>78.703703703703709</v>
      </c>
      <c r="Q17" s="4" t="str">
        <f>X27</f>
        <v>[26]</v>
      </c>
      <c r="R17" s="3">
        <f>'Calculation Oswald-factor'!Q17</f>
        <v>0.83955726381734663</v>
      </c>
      <c r="S17" s="3" t="e">
        <f>VLOOKUP(C17,'Oswald-factor Method 2'!B:L,11,0)</f>
        <v>#N/A</v>
      </c>
      <c r="T17" s="3">
        <f t="shared" si="0"/>
        <v>7776924.4002623474</v>
      </c>
      <c r="U17" s="3">
        <f t="shared" si="1"/>
        <v>7.776924400262347</v>
      </c>
      <c r="X17" s="3" t="s">
        <v>271</v>
      </c>
      <c r="Y17" s="2" t="s">
        <v>270</v>
      </c>
    </row>
    <row r="18" spans="1:25" x14ac:dyDescent="0.25">
      <c r="A18" s="3">
        <v>17</v>
      </c>
      <c r="B18" s="3" t="s">
        <v>34</v>
      </c>
      <c r="C18" s="3" t="s">
        <v>218</v>
      </c>
      <c r="D18" s="3" t="s">
        <v>177</v>
      </c>
      <c r="E18" s="3">
        <v>5</v>
      </c>
      <c r="F18" s="3" t="s">
        <v>186</v>
      </c>
      <c r="G18" s="3">
        <v>3</v>
      </c>
      <c r="H18" s="3" t="s">
        <v>187</v>
      </c>
      <c r="I18" s="3">
        <v>6</v>
      </c>
      <c r="J18" s="3" t="s">
        <v>186</v>
      </c>
      <c r="K18" s="3">
        <v>5</v>
      </c>
      <c r="L18" s="3">
        <v>175000</v>
      </c>
      <c r="M18" s="4" t="str">
        <f>X29</f>
        <v>[28]</v>
      </c>
      <c r="N18" s="3">
        <v>55.57</v>
      </c>
      <c r="O18" s="4" t="str">
        <f>X29</f>
        <v>[28]</v>
      </c>
      <c r="P18" s="3">
        <f>150/1.944</f>
        <v>77.160493827160494</v>
      </c>
      <c r="Q18" s="4" t="str">
        <f>X28</f>
        <v>[27]</v>
      </c>
      <c r="R18" s="3">
        <f>'Calculation Oswald-factor'!Q18</f>
        <v>0.83554394789525821</v>
      </c>
      <c r="S18" s="3" t="e">
        <f>VLOOKUP(C18,'Oswald-factor Method 2'!B:L,11,0)</f>
        <v>#N/A</v>
      </c>
      <c r="T18" s="3">
        <f t="shared" si="0"/>
        <v>7688053.4304635795</v>
      </c>
      <c r="U18" s="3">
        <f t="shared" si="1"/>
        <v>7.6880534304635795</v>
      </c>
      <c r="X18" s="3" t="s">
        <v>274</v>
      </c>
      <c r="Y18" s="2" t="s">
        <v>273</v>
      </c>
    </row>
    <row r="19" spans="1:25" x14ac:dyDescent="0.25">
      <c r="A19" s="3">
        <v>18</v>
      </c>
      <c r="B19" s="3" t="s">
        <v>35</v>
      </c>
      <c r="C19" s="3" t="s">
        <v>36</v>
      </c>
      <c r="D19" s="3" t="s">
        <v>178</v>
      </c>
      <c r="E19" s="3">
        <v>4</v>
      </c>
      <c r="F19" s="3" t="s">
        <v>186</v>
      </c>
      <c r="G19" s="3">
        <v>3</v>
      </c>
      <c r="H19" s="3" t="s">
        <v>189</v>
      </c>
      <c r="I19" s="3">
        <v>7</v>
      </c>
      <c r="J19" s="3" t="s">
        <v>186</v>
      </c>
      <c r="K19" s="3">
        <v>5</v>
      </c>
      <c r="L19" s="3">
        <v>140000</v>
      </c>
      <c r="M19" s="4" t="str">
        <f>X30</f>
        <v>[29]</v>
      </c>
      <c r="N19" s="3">
        <v>44.84</v>
      </c>
      <c r="O19" s="4" t="str">
        <f>X30</f>
        <v>[29]</v>
      </c>
      <c r="P19" s="3">
        <f>139/1.944</f>
        <v>71.502057613168731</v>
      </c>
      <c r="Q19" s="4" t="str">
        <f>X31</f>
        <v>[30]</v>
      </c>
      <c r="R19" s="3">
        <f>'Calculation Oswald-factor'!Q19</f>
        <v>0.82916130214926509</v>
      </c>
      <c r="S19" s="3">
        <f>VLOOKUP(C19,'Oswald-factor Method 2'!B:L,11,0)</f>
        <v>0.81970760237249296</v>
      </c>
      <c r="T19" s="3">
        <f t="shared" si="0"/>
        <v>8217745.4459542446</v>
      </c>
      <c r="U19" s="3">
        <f t="shared" si="1"/>
        <v>8.2177454459542449</v>
      </c>
      <c r="V19" s="3">
        <f t="shared" ref="V19:V55" si="2">(((2*$B$97^2)/PI())*(1/(N19^2*S19))*(L19^2/($B$96*P19)))/1000000</f>
        <v>8.3125208244710898</v>
      </c>
      <c r="W19" s="3">
        <f t="shared" ref="W19:W55" si="3">((V19-U19)/V19)*100</f>
        <v>1.140152073217515</v>
      </c>
      <c r="X19" s="3" t="s">
        <v>276</v>
      </c>
      <c r="Y19" s="2" t="s">
        <v>275</v>
      </c>
    </row>
    <row r="20" spans="1:25" x14ac:dyDescent="0.25">
      <c r="A20" s="3">
        <v>19</v>
      </c>
      <c r="B20" s="3" t="s">
        <v>37</v>
      </c>
      <c r="C20" s="3" t="s">
        <v>38</v>
      </c>
      <c r="D20" s="3" t="s">
        <v>178</v>
      </c>
      <c r="E20" s="3">
        <v>4</v>
      </c>
      <c r="F20" s="3" t="s">
        <v>186</v>
      </c>
      <c r="G20" s="3">
        <v>3</v>
      </c>
      <c r="H20" s="3" t="s">
        <v>189</v>
      </c>
      <c r="I20" s="3">
        <v>7</v>
      </c>
      <c r="J20" s="3" t="s">
        <v>186</v>
      </c>
      <c r="K20" s="3">
        <v>5</v>
      </c>
      <c r="L20" s="3">
        <v>124000</v>
      </c>
      <c r="M20" s="4" t="str">
        <f>X32</f>
        <v>[31]</v>
      </c>
      <c r="N20" s="3">
        <v>43.9</v>
      </c>
      <c r="O20" s="4" t="str">
        <f>X32</f>
        <v>[31]</v>
      </c>
      <c r="P20" s="3">
        <f>139/1.944</f>
        <v>71.502057613168731</v>
      </c>
      <c r="Q20" s="4" t="str">
        <f>X33</f>
        <v>[32]</v>
      </c>
      <c r="R20" s="3">
        <f>'Calculation Oswald-factor'!Q20</f>
        <v>0.82637240539558288</v>
      </c>
      <c r="S20" s="3">
        <f>VLOOKUP(C20,'Oswald-factor Method 2'!B:L,11,0)</f>
        <v>0.80021173771480258</v>
      </c>
      <c r="T20" s="3">
        <f t="shared" si="0"/>
        <v>6748470.7367906552</v>
      </c>
      <c r="U20" s="3">
        <f t="shared" si="1"/>
        <v>6.7484707367906553</v>
      </c>
      <c r="V20" s="3">
        <f t="shared" si="2"/>
        <v>6.9690929696047057</v>
      </c>
      <c r="W20" s="3">
        <f t="shared" si="3"/>
        <v>3.1657237717487976</v>
      </c>
      <c r="X20" s="3" t="s">
        <v>278</v>
      </c>
      <c r="Y20" s="2" t="s">
        <v>277</v>
      </c>
    </row>
    <row r="21" spans="1:25" x14ac:dyDescent="0.25">
      <c r="A21" s="3">
        <v>20</v>
      </c>
      <c r="B21" s="3" t="s">
        <v>39</v>
      </c>
      <c r="C21" s="3" t="s">
        <v>212</v>
      </c>
      <c r="D21" s="3" t="s">
        <v>178</v>
      </c>
      <c r="E21" s="3">
        <v>4</v>
      </c>
      <c r="F21" s="3" t="s">
        <v>186</v>
      </c>
      <c r="G21" s="3">
        <v>3</v>
      </c>
      <c r="H21" s="3" t="s">
        <v>187</v>
      </c>
      <c r="I21" s="3">
        <v>6</v>
      </c>
      <c r="J21" s="3" t="s">
        <v>186</v>
      </c>
      <c r="K21" s="3">
        <v>5</v>
      </c>
      <c r="L21" s="3">
        <v>97500</v>
      </c>
      <c r="M21" s="4" t="str">
        <f>X34</f>
        <v>[33]</v>
      </c>
      <c r="N21" s="3">
        <v>44.42</v>
      </c>
      <c r="O21" s="4" t="str">
        <f>X34</f>
        <v>[33]</v>
      </c>
      <c r="P21" s="3">
        <f>128/1.944</f>
        <v>65.843621399176953</v>
      </c>
      <c r="Q21" s="4" t="str">
        <f>X27</f>
        <v>[26]</v>
      </c>
      <c r="R21" s="3">
        <f>'Calculation Oswald-factor'!Q21</f>
        <v>0.84545832178695901</v>
      </c>
      <c r="S21" s="3" t="e">
        <f>VLOOKUP(C21,'Oswald-factor Method 2'!B:L,11,0)</f>
        <v>#N/A</v>
      </c>
      <c r="T21" s="3">
        <f t="shared" si="0"/>
        <v>4325452.9874680201</v>
      </c>
      <c r="U21" s="3">
        <f t="shared" si="1"/>
        <v>4.3254529874680196</v>
      </c>
      <c r="X21" s="3" t="s">
        <v>281</v>
      </c>
      <c r="Y21" s="2" t="s">
        <v>279</v>
      </c>
    </row>
    <row r="22" spans="1:25" x14ac:dyDescent="0.25">
      <c r="A22" s="3">
        <v>21</v>
      </c>
      <c r="B22" s="3" t="s">
        <v>40</v>
      </c>
      <c r="C22" s="3" t="s">
        <v>41</v>
      </c>
      <c r="D22" s="3" t="s">
        <v>178</v>
      </c>
      <c r="E22" s="3">
        <v>4</v>
      </c>
      <c r="F22" s="3" t="s">
        <v>190</v>
      </c>
      <c r="G22" s="3">
        <v>2</v>
      </c>
      <c r="H22" s="3" t="s">
        <v>191</v>
      </c>
      <c r="I22" s="3">
        <v>5</v>
      </c>
      <c r="J22" s="3" t="s">
        <v>541</v>
      </c>
      <c r="K22" s="3">
        <v>4</v>
      </c>
      <c r="L22" s="3">
        <v>95250</v>
      </c>
      <c r="M22" s="4" t="str">
        <f>X35</f>
        <v>[34]</v>
      </c>
      <c r="N22" s="3">
        <v>38.049999999999997</v>
      </c>
      <c r="O22" s="4" t="str">
        <f>X35</f>
        <v>[34]</v>
      </c>
      <c r="P22" s="3">
        <f>137/1.944</f>
        <v>70.473251028806587</v>
      </c>
      <c r="Q22" s="4" t="str">
        <f>X27</f>
        <v>[26]</v>
      </c>
      <c r="R22" s="3">
        <f>'Calculation Oswald-factor'!Q22</f>
        <v>0.84245129779252936</v>
      </c>
      <c r="S22" s="3">
        <f>VLOOKUP(C22,'Oswald-factor Method 2'!B:L,11,0)</f>
        <v>0.83011806897600304</v>
      </c>
      <c r="T22" s="3">
        <f t="shared" si="0"/>
        <v>5275175.6083072014</v>
      </c>
      <c r="U22" s="3">
        <f t="shared" si="1"/>
        <v>5.275175608307201</v>
      </c>
      <c r="V22" s="3">
        <f t="shared" si="2"/>
        <v>5.3535499387260854</v>
      </c>
      <c r="W22" s="3">
        <f t="shared" si="3"/>
        <v>1.4639693533434031</v>
      </c>
      <c r="X22" s="3" t="s">
        <v>282</v>
      </c>
      <c r="Y22" s="2" t="s">
        <v>280</v>
      </c>
    </row>
    <row r="23" spans="1:25" x14ac:dyDescent="0.25">
      <c r="A23" s="3">
        <v>22</v>
      </c>
      <c r="B23" s="3" t="s">
        <v>42</v>
      </c>
      <c r="C23" s="3" t="s">
        <v>43</v>
      </c>
      <c r="D23" s="3" t="s">
        <v>178</v>
      </c>
      <c r="E23" s="3">
        <v>4</v>
      </c>
      <c r="F23" s="3" t="s">
        <v>190</v>
      </c>
      <c r="G23" s="3">
        <v>2</v>
      </c>
      <c r="H23" s="3" t="s">
        <v>191</v>
      </c>
      <c r="I23" s="3">
        <v>5</v>
      </c>
      <c r="J23" s="3" t="s">
        <v>541</v>
      </c>
      <c r="K23" s="3">
        <v>4</v>
      </c>
      <c r="L23" s="3">
        <v>101610</v>
      </c>
      <c r="M23" s="4" t="str">
        <f>X35</f>
        <v>[34]</v>
      </c>
      <c r="N23" s="3">
        <v>38.06</v>
      </c>
      <c r="O23" s="4" t="str">
        <f>X35</f>
        <v>[34]</v>
      </c>
      <c r="P23" s="3">
        <f>142/1.944</f>
        <v>73.045267489711932</v>
      </c>
      <c r="Q23" s="4" t="str">
        <f>X27</f>
        <v>[26]</v>
      </c>
      <c r="R23" s="3">
        <f>'Calculation Oswald-factor'!Q23</f>
        <v>0.84246011459059345</v>
      </c>
      <c r="S23" s="3" t="e">
        <f>VLOOKUP(C23,'Oswald-factor Method 2'!B:L,11,0)</f>
        <v>#N/A</v>
      </c>
      <c r="T23" s="3">
        <f t="shared" si="0"/>
        <v>5788676.6058609495</v>
      </c>
      <c r="U23" s="3">
        <f t="shared" si="1"/>
        <v>5.7886766058609496</v>
      </c>
      <c r="X23" s="3" t="s">
        <v>285</v>
      </c>
      <c r="Y23" s="2" t="s">
        <v>284</v>
      </c>
    </row>
    <row r="24" spans="1:25" x14ac:dyDescent="0.25">
      <c r="A24" s="3">
        <v>23</v>
      </c>
      <c r="B24" s="3" t="s">
        <v>44</v>
      </c>
      <c r="C24" s="3" t="s">
        <v>45</v>
      </c>
      <c r="D24" s="3" t="s">
        <v>178</v>
      </c>
      <c r="E24" s="3">
        <v>4</v>
      </c>
      <c r="F24" s="3" t="s">
        <v>186</v>
      </c>
      <c r="G24" s="3">
        <v>3</v>
      </c>
      <c r="H24" s="3" t="s">
        <v>189</v>
      </c>
      <c r="I24" s="3">
        <v>7</v>
      </c>
      <c r="J24" s="3" t="s">
        <v>186</v>
      </c>
      <c r="K24" s="3">
        <v>5</v>
      </c>
      <c r="L24" s="3">
        <v>123377</v>
      </c>
      <c r="M24" s="4" t="str">
        <f>X36</f>
        <v>[35]</v>
      </c>
      <c r="N24" s="3">
        <v>47.57</v>
      </c>
      <c r="O24" s="4" t="str">
        <f>X36</f>
        <v>[35]</v>
      </c>
      <c r="P24" s="3">
        <f>133/1.944</f>
        <v>68.415637860082313</v>
      </c>
      <c r="Q24" s="4" t="str">
        <f>X27</f>
        <v>[26]</v>
      </c>
      <c r="R24" s="3">
        <f>'Calculation Oswald-factor'!Q24</f>
        <v>0.83965736021668913</v>
      </c>
      <c r="S24" s="3" t="e">
        <f>VLOOKUP(C24,'Oswald-factor Method 2'!B:L,11,0)</f>
        <v>#N/A</v>
      </c>
      <c r="T24" s="3">
        <f t="shared" si="0"/>
        <v>5852346.2732683066</v>
      </c>
      <c r="U24" s="3">
        <f t="shared" si="1"/>
        <v>5.8523462732683065</v>
      </c>
      <c r="X24" s="3" t="s">
        <v>287</v>
      </c>
      <c r="Y24" s="2" t="s">
        <v>286</v>
      </c>
    </row>
    <row r="25" spans="1:25" x14ac:dyDescent="0.25">
      <c r="A25" s="3">
        <v>24</v>
      </c>
      <c r="B25" s="3" t="s">
        <v>46</v>
      </c>
      <c r="C25" s="3" t="s">
        <v>47</v>
      </c>
      <c r="D25" s="3" t="s">
        <v>178</v>
      </c>
      <c r="E25" s="3">
        <v>4</v>
      </c>
      <c r="F25" s="3" t="s">
        <v>186</v>
      </c>
      <c r="G25" s="3">
        <v>3</v>
      </c>
      <c r="H25" s="3" t="s">
        <v>189</v>
      </c>
      <c r="I25" s="3">
        <v>7</v>
      </c>
      <c r="J25" s="3" t="s">
        <v>186</v>
      </c>
      <c r="K25" s="3">
        <v>5</v>
      </c>
      <c r="L25" s="3">
        <v>136078</v>
      </c>
      <c r="M25" s="4" t="str">
        <f>X36</f>
        <v>[35]</v>
      </c>
      <c r="N25" s="3">
        <v>47.57</v>
      </c>
      <c r="O25" s="4" t="str">
        <f>X36</f>
        <v>[35]</v>
      </c>
      <c r="P25" s="3">
        <f>140/1.944</f>
        <v>72.016460905349803</v>
      </c>
      <c r="Q25" s="4" t="str">
        <f>X28</f>
        <v>[27]</v>
      </c>
      <c r="R25" s="3">
        <f>'Calculation Oswald-factor'!Q25</f>
        <v>0.83965736021668913</v>
      </c>
      <c r="S25" s="3">
        <f>VLOOKUP(C25,'Oswald-factor Method 2'!B:L,11,0)</f>
        <v>0.83376978253022926</v>
      </c>
      <c r="T25" s="3">
        <f t="shared" si="0"/>
        <v>6763337.245204309</v>
      </c>
      <c r="U25" s="3">
        <f t="shared" si="1"/>
        <v>6.7633372452043092</v>
      </c>
      <c r="V25" s="3">
        <f t="shared" si="2"/>
        <v>6.8110958403047777</v>
      </c>
      <c r="W25" s="3">
        <f t="shared" si="3"/>
        <v>0.7011881233245334</v>
      </c>
      <c r="X25" s="3" t="s">
        <v>289</v>
      </c>
      <c r="Y25" s="2" t="s">
        <v>288</v>
      </c>
    </row>
    <row r="26" spans="1:25" x14ac:dyDescent="0.25">
      <c r="A26" s="3">
        <v>25</v>
      </c>
      <c r="B26" s="3" t="s">
        <v>48</v>
      </c>
      <c r="C26" s="3" t="s">
        <v>211</v>
      </c>
      <c r="D26" s="3" t="s">
        <v>178</v>
      </c>
      <c r="E26" s="3">
        <v>4</v>
      </c>
      <c r="F26" s="3" t="s">
        <v>186</v>
      </c>
      <c r="G26" s="3">
        <v>3</v>
      </c>
      <c r="H26" s="3" t="s">
        <v>189</v>
      </c>
      <c r="I26" s="3">
        <v>7</v>
      </c>
      <c r="J26" s="3" t="s">
        <v>186</v>
      </c>
      <c r="K26" s="3">
        <v>5</v>
      </c>
      <c r="L26" s="3">
        <v>158757</v>
      </c>
      <c r="M26" s="4" t="str">
        <f>X36</f>
        <v>[35]</v>
      </c>
      <c r="N26" s="3">
        <v>51.92</v>
      </c>
      <c r="O26" s="4" t="str">
        <f>X36</f>
        <v>[35]</v>
      </c>
      <c r="P26" s="3">
        <f>150/1.944</f>
        <v>77.160493827160494</v>
      </c>
      <c r="Q26" s="4" t="str">
        <f>X27</f>
        <v>[26]</v>
      </c>
      <c r="R26" s="3">
        <f>'Calculation Oswald-factor'!Q26</f>
        <v>0.84274070973258053</v>
      </c>
      <c r="S26" s="3" t="e">
        <f>VLOOKUP(C26,'Oswald-factor Method 2'!B:L,11,0)</f>
        <v>#N/A</v>
      </c>
      <c r="T26" s="3">
        <f t="shared" si="0"/>
        <v>7186092.6596911298</v>
      </c>
      <c r="U26" s="3">
        <f t="shared" si="1"/>
        <v>7.1860926596911296</v>
      </c>
      <c r="X26" s="3" t="s">
        <v>291</v>
      </c>
      <c r="Y26" s="2" t="s">
        <v>290</v>
      </c>
    </row>
    <row r="27" spans="1:25" x14ac:dyDescent="0.25">
      <c r="A27" s="3">
        <v>26</v>
      </c>
      <c r="B27" s="3" t="s">
        <v>49</v>
      </c>
      <c r="C27" s="3" t="s">
        <v>50</v>
      </c>
      <c r="D27" s="3" t="s">
        <v>178</v>
      </c>
      <c r="E27" s="3">
        <v>4</v>
      </c>
      <c r="F27" s="3" t="s">
        <v>186</v>
      </c>
      <c r="G27" s="3">
        <v>3</v>
      </c>
      <c r="H27" s="3" t="s">
        <v>187</v>
      </c>
      <c r="I27" s="3">
        <v>6</v>
      </c>
      <c r="J27" s="3" t="s">
        <v>541</v>
      </c>
      <c r="K27" s="3">
        <v>4</v>
      </c>
      <c r="L27" s="3">
        <v>106600</v>
      </c>
      <c r="M27" s="4" t="str">
        <f>X37</f>
        <v>[36]</v>
      </c>
      <c r="N27" s="3">
        <v>39.9</v>
      </c>
      <c r="O27" s="4" t="str">
        <f>X38</f>
        <v>[37]</v>
      </c>
      <c r="P27" s="3">
        <f>150/1.944</f>
        <v>77.160493827160494</v>
      </c>
      <c r="Q27" s="4" t="str">
        <f>X38</f>
        <v>[37]</v>
      </c>
      <c r="R27" s="3">
        <f>'Calculation Oswald-factor'!Q27</f>
        <v>0.83254891753228932</v>
      </c>
      <c r="S27" s="3" t="e">
        <f>VLOOKUP(C27,'Oswald-factor Method 2'!B:L,11,0)</f>
        <v>#N/A</v>
      </c>
      <c r="T27" s="3">
        <f t="shared" si="0"/>
        <v>5553275.8192661293</v>
      </c>
      <c r="U27" s="3">
        <f t="shared" si="1"/>
        <v>5.5532758192661289</v>
      </c>
      <c r="X27" s="3" t="s">
        <v>293</v>
      </c>
      <c r="Y27" s="2" t="s">
        <v>292</v>
      </c>
    </row>
    <row r="28" spans="1:25" x14ac:dyDescent="0.25">
      <c r="A28" s="3">
        <v>27</v>
      </c>
      <c r="B28" s="3" t="s">
        <v>51</v>
      </c>
      <c r="C28" s="3" t="s">
        <v>213</v>
      </c>
      <c r="D28" s="3" t="s">
        <v>178</v>
      </c>
      <c r="E28" s="3">
        <v>4</v>
      </c>
      <c r="F28" s="3" t="s">
        <v>186</v>
      </c>
      <c r="G28" s="3">
        <v>3</v>
      </c>
      <c r="H28" s="3" t="s">
        <v>189</v>
      </c>
      <c r="I28" s="3">
        <v>7</v>
      </c>
      <c r="J28" s="3" t="s">
        <v>186</v>
      </c>
      <c r="K28" s="3">
        <v>5</v>
      </c>
      <c r="L28" s="3">
        <v>186427</v>
      </c>
      <c r="M28" s="4" t="str">
        <f>X39</f>
        <v>[38]</v>
      </c>
      <c r="N28" s="3">
        <v>47.35</v>
      </c>
      <c r="O28" s="4" t="str">
        <f>X39</f>
        <v>[38]</v>
      </c>
      <c r="P28" s="3">
        <f>149/1.944</f>
        <v>76.646090534979422</v>
      </c>
      <c r="Q28" s="4" t="str">
        <f>X27</f>
        <v>[26]</v>
      </c>
      <c r="R28" s="3">
        <f>'Calculation Oswald-factor'!Q28</f>
        <v>0.83187265681597045</v>
      </c>
      <c r="S28" s="3" t="e">
        <f>VLOOKUP(C28,'Oswald-factor Method 2'!B:L,11,0)</f>
        <v>#N/A</v>
      </c>
      <c r="T28" s="3">
        <f t="shared" si="0"/>
        <v>12151116.458858103</v>
      </c>
      <c r="U28" s="3">
        <f t="shared" si="1"/>
        <v>12.151116458858102</v>
      </c>
      <c r="X28" s="3" t="s">
        <v>296</v>
      </c>
      <c r="Y28" s="2" t="s">
        <v>295</v>
      </c>
    </row>
    <row r="29" spans="1:25" x14ac:dyDescent="0.25">
      <c r="A29" s="3">
        <v>28</v>
      </c>
      <c r="B29" s="3" t="s">
        <v>52</v>
      </c>
      <c r="C29" s="3" t="s">
        <v>53</v>
      </c>
      <c r="D29" s="3" t="s">
        <v>178</v>
      </c>
      <c r="E29" s="3">
        <v>4</v>
      </c>
      <c r="F29" s="3" t="s">
        <v>186</v>
      </c>
      <c r="G29" s="3">
        <v>3</v>
      </c>
      <c r="H29" s="3" t="s">
        <v>187</v>
      </c>
      <c r="I29" s="3">
        <v>6</v>
      </c>
      <c r="J29" s="3" t="s">
        <v>186</v>
      </c>
      <c r="K29" s="3">
        <v>5</v>
      </c>
      <c r="L29" s="3">
        <v>98431</v>
      </c>
      <c r="M29" s="4" t="str">
        <f>X41</f>
        <v>[40]</v>
      </c>
      <c r="N29" s="3">
        <v>43.4</v>
      </c>
      <c r="O29" s="4" t="str">
        <f>X40</f>
        <v>[39]</v>
      </c>
      <c r="P29" s="3">
        <f>137/1.944</f>
        <v>70.473251028806587</v>
      </c>
      <c r="Q29" s="4" t="str">
        <f>X40</f>
        <v>[39]</v>
      </c>
      <c r="R29" s="3">
        <f>'Calculation Oswald-factor'!Q29</f>
        <v>0.84786619485233272</v>
      </c>
      <c r="S29" s="3" t="e">
        <f>VLOOKUP(C29,'Oswald-factor Method 2'!B:L,11,0)</f>
        <v>#N/A</v>
      </c>
      <c r="T29" s="3">
        <f t="shared" si="0"/>
        <v>4302472.414540153</v>
      </c>
      <c r="U29" s="3">
        <f t="shared" si="1"/>
        <v>4.3024724145401532</v>
      </c>
      <c r="X29" s="3" t="s">
        <v>297</v>
      </c>
      <c r="Y29" s="2" t="s">
        <v>246</v>
      </c>
    </row>
    <row r="30" spans="1:25" x14ac:dyDescent="0.25">
      <c r="A30" s="3">
        <v>29</v>
      </c>
      <c r="B30" s="3" t="s">
        <v>54</v>
      </c>
      <c r="C30" s="3" t="s">
        <v>55</v>
      </c>
      <c r="D30" s="3" t="s">
        <v>178</v>
      </c>
      <c r="E30" s="3">
        <v>4</v>
      </c>
      <c r="F30" s="3" t="s">
        <v>186</v>
      </c>
      <c r="G30" s="3">
        <v>3</v>
      </c>
      <c r="H30" s="3" t="s">
        <v>187</v>
      </c>
      <c r="I30" s="3">
        <v>6</v>
      </c>
      <c r="J30" s="3" t="s">
        <v>186</v>
      </c>
      <c r="K30" s="3">
        <v>5</v>
      </c>
      <c r="L30" s="3">
        <v>152000</v>
      </c>
      <c r="M30" s="4" t="str">
        <f>X42</f>
        <v>[41]</v>
      </c>
      <c r="N30" s="3">
        <v>50.5</v>
      </c>
      <c r="O30" s="4" t="str">
        <f>X43</f>
        <v>[42]</v>
      </c>
      <c r="P30" s="3">
        <f>120/1.944</f>
        <v>61.728395061728399</v>
      </c>
      <c r="Q30" s="4" t="str">
        <f>X43</f>
        <v>[42]</v>
      </c>
      <c r="R30" s="3">
        <f>'Calculation Oswald-factor'!Q30</f>
        <v>0.84038694384866652</v>
      </c>
      <c r="S30" s="3" t="e">
        <f>VLOOKUP(C30,'Oswald-factor Method 2'!B:L,11,0)</f>
        <v>#N/A</v>
      </c>
      <c r="T30" s="3">
        <f t="shared" si="0"/>
        <v>8728216.7564598676</v>
      </c>
      <c r="U30" s="3">
        <f t="shared" si="1"/>
        <v>8.7282167564598669</v>
      </c>
      <c r="X30" s="3" t="s">
        <v>299</v>
      </c>
      <c r="Y30" s="2" t="s">
        <v>298</v>
      </c>
    </row>
    <row r="31" spans="1:25" x14ac:dyDescent="0.25">
      <c r="A31" s="3">
        <v>30</v>
      </c>
      <c r="B31" s="3" t="s">
        <v>56</v>
      </c>
      <c r="C31" s="3" t="s">
        <v>57</v>
      </c>
      <c r="D31" s="3" t="s">
        <v>178</v>
      </c>
      <c r="E31" s="3">
        <v>4</v>
      </c>
      <c r="F31" s="3" t="s">
        <v>186</v>
      </c>
      <c r="G31" s="3">
        <v>3</v>
      </c>
      <c r="H31" s="3" t="s">
        <v>189</v>
      </c>
      <c r="I31" s="3">
        <v>7</v>
      </c>
      <c r="J31" s="3" t="s">
        <v>186</v>
      </c>
      <c r="K31" s="3">
        <v>5</v>
      </c>
      <c r="L31" s="3">
        <v>195048</v>
      </c>
      <c r="M31" s="4" t="str">
        <f>X44</f>
        <v>[43]</v>
      </c>
      <c r="N31" s="3">
        <v>51.97</v>
      </c>
      <c r="O31" s="4" t="str">
        <f>X44</f>
        <v>[43]</v>
      </c>
      <c r="P31" s="3">
        <f>159/1.944</f>
        <v>81.790123456790127</v>
      </c>
      <c r="Q31" s="4" t="str">
        <f>X45</f>
        <v>[44]</v>
      </c>
      <c r="R31" s="3">
        <f>'Calculation Oswald-factor'!Q31</f>
        <v>0.8783313637113529</v>
      </c>
      <c r="S31" s="3">
        <f>VLOOKUP(C31,'Oswald-factor Method 2'!B:L,11,0)</f>
        <v>0.8208169768016742</v>
      </c>
      <c r="T31" s="3">
        <f t="shared" si="0"/>
        <v>9799495.098808676</v>
      </c>
      <c r="U31" s="3">
        <f t="shared" si="1"/>
        <v>9.7994950988086753</v>
      </c>
      <c r="V31" s="3">
        <f t="shared" si="2"/>
        <v>10.486142632377613</v>
      </c>
      <c r="W31" s="3">
        <f t="shared" si="3"/>
        <v>6.5481422258057513</v>
      </c>
      <c r="X31" s="3" t="s">
        <v>301</v>
      </c>
      <c r="Y31" s="2" t="s">
        <v>300</v>
      </c>
    </row>
    <row r="32" spans="1:25" x14ac:dyDescent="0.25">
      <c r="A32" s="3">
        <v>31</v>
      </c>
      <c r="B32" s="3" t="s">
        <v>58</v>
      </c>
      <c r="C32" s="3" t="s">
        <v>59</v>
      </c>
      <c r="D32" s="3" t="s">
        <v>179</v>
      </c>
      <c r="E32" s="3">
        <v>3</v>
      </c>
      <c r="F32" s="3" t="s">
        <v>190</v>
      </c>
      <c r="G32" s="3">
        <v>2</v>
      </c>
      <c r="H32" s="3" t="s">
        <v>192</v>
      </c>
      <c r="I32" s="3">
        <v>4</v>
      </c>
      <c r="J32" s="3" t="s">
        <v>542</v>
      </c>
      <c r="K32" s="3">
        <v>3</v>
      </c>
      <c r="L32" s="3">
        <v>57500</v>
      </c>
      <c r="M32" s="4" t="str">
        <f>X46</f>
        <v>[45]</v>
      </c>
      <c r="N32" s="3">
        <v>34.1</v>
      </c>
      <c r="O32" s="4" t="str">
        <f>X46</f>
        <v>[45]</v>
      </c>
      <c r="P32" s="3">
        <f>125/1.944</f>
        <v>64.300411522633752</v>
      </c>
      <c r="Q32" s="4" t="str">
        <f>X47</f>
        <v>[46]</v>
      </c>
      <c r="R32" s="3">
        <f>'Calculation Oswald-factor'!Q32</f>
        <v>0.83318134510259723</v>
      </c>
      <c r="S32" s="3" t="e">
        <f>VLOOKUP(C32,'Oswald-factor Method 2'!B:L,11,0)</f>
        <v>#N/A</v>
      </c>
      <c r="T32" s="3">
        <f t="shared" si="0"/>
        <v>2652522.1968384399</v>
      </c>
      <c r="U32" s="3">
        <f t="shared" si="1"/>
        <v>2.65252219683844</v>
      </c>
      <c r="X32" s="3" t="s">
        <v>303</v>
      </c>
      <c r="Y32" s="2" t="s">
        <v>302</v>
      </c>
    </row>
    <row r="33" spans="1:25" x14ac:dyDescent="0.25">
      <c r="A33" s="3">
        <v>32</v>
      </c>
      <c r="B33" s="3" t="s">
        <v>60</v>
      </c>
      <c r="C33" s="3" t="s">
        <v>61</v>
      </c>
      <c r="D33" s="3" t="s">
        <v>179</v>
      </c>
      <c r="E33" s="3">
        <v>3</v>
      </c>
      <c r="F33" s="3" t="s">
        <v>190</v>
      </c>
      <c r="G33" s="3">
        <v>2</v>
      </c>
      <c r="H33" s="3" t="s">
        <v>192</v>
      </c>
      <c r="I33" s="3">
        <v>4</v>
      </c>
      <c r="J33" s="3" t="s">
        <v>542</v>
      </c>
      <c r="K33" s="3">
        <v>3</v>
      </c>
      <c r="L33" s="3">
        <v>62500</v>
      </c>
      <c r="M33" s="4" t="str">
        <f>X48</f>
        <v>[47]</v>
      </c>
      <c r="N33" s="3">
        <v>34.1</v>
      </c>
      <c r="O33" s="4" t="str">
        <f>X48</f>
        <v>[47]</v>
      </c>
      <c r="P33" s="3">
        <f>130/1.944</f>
        <v>66.872427983539097</v>
      </c>
      <c r="Q33" s="4" t="str">
        <f>X49</f>
        <v>[48]</v>
      </c>
      <c r="R33" s="3">
        <f>'Calculation Oswald-factor'!Q33</f>
        <v>0.82959610202090295</v>
      </c>
      <c r="S33" s="3" t="e">
        <f>VLOOKUP(C33,'Oswald-factor Method 2'!B:L,11,0)</f>
        <v>#N/A</v>
      </c>
      <c r="T33" s="3">
        <f t="shared" si="0"/>
        <v>3026375.8843106921</v>
      </c>
      <c r="U33" s="3">
        <f t="shared" si="1"/>
        <v>3.026375884310692</v>
      </c>
      <c r="X33" s="3" t="s">
        <v>305</v>
      </c>
      <c r="Y33" s="2" t="s">
        <v>304</v>
      </c>
    </row>
    <row r="34" spans="1:25" x14ac:dyDescent="0.25">
      <c r="A34" s="3">
        <v>33</v>
      </c>
      <c r="B34" s="3" t="s">
        <v>62</v>
      </c>
      <c r="C34" s="3" t="s">
        <v>63</v>
      </c>
      <c r="D34" s="3" t="s">
        <v>179</v>
      </c>
      <c r="E34" s="3">
        <v>3</v>
      </c>
      <c r="F34" s="3" t="s">
        <v>190</v>
      </c>
      <c r="G34" s="3">
        <v>2</v>
      </c>
      <c r="H34" s="3" t="s">
        <v>192</v>
      </c>
      <c r="I34" s="3">
        <v>4</v>
      </c>
      <c r="J34" s="3" t="s">
        <v>542</v>
      </c>
      <c r="K34" s="3">
        <v>3</v>
      </c>
      <c r="L34" s="3">
        <v>66000</v>
      </c>
      <c r="M34" s="4" t="str">
        <f>X50</f>
        <v>[49]</v>
      </c>
      <c r="N34" s="3">
        <v>35.799999999999997</v>
      </c>
      <c r="O34" s="4" t="str">
        <f>X50</f>
        <v>[49]</v>
      </c>
      <c r="P34" s="3">
        <f>137/1.944</f>
        <v>70.473251028806587</v>
      </c>
      <c r="Q34" s="4" t="str">
        <f>X51</f>
        <v>[50]</v>
      </c>
      <c r="R34" s="3">
        <f>'Calculation Oswald-factor'!Q34</f>
        <v>0.91165557403687425</v>
      </c>
      <c r="S34" s="3">
        <f>VLOOKUP(C34,'Oswald-factor Method 2'!B:L,11,0)</f>
        <v>0.74164572984086063</v>
      </c>
      <c r="T34" s="3">
        <f t="shared" ref="T34:T65" si="4">((2*$B$97^2)/PI())*(1/(N34^2*R34))*(L34^2/($B$96*P34))</f>
        <v>2643943.1028424087</v>
      </c>
      <c r="U34" s="3">
        <f t="shared" ref="U34:U65" si="5">T34/1000000</f>
        <v>2.6439431028424085</v>
      </c>
      <c r="V34" s="3">
        <f t="shared" si="2"/>
        <v>3.250022713216238</v>
      </c>
      <c r="W34" s="3">
        <f t="shared" si="3"/>
        <v>18.648473067871276</v>
      </c>
      <c r="X34" s="3" t="s">
        <v>307</v>
      </c>
      <c r="Y34" s="2" t="s">
        <v>306</v>
      </c>
    </row>
    <row r="35" spans="1:25" x14ac:dyDescent="0.25">
      <c r="A35" s="3">
        <v>34</v>
      </c>
      <c r="B35" s="3" t="s">
        <v>64</v>
      </c>
      <c r="C35" s="3" t="s">
        <v>65</v>
      </c>
      <c r="D35" s="3" t="s">
        <v>179</v>
      </c>
      <c r="E35" s="3">
        <v>3</v>
      </c>
      <c r="F35" s="3" t="s">
        <v>190</v>
      </c>
      <c r="G35" s="3">
        <v>2</v>
      </c>
      <c r="H35" s="3" t="s">
        <v>192</v>
      </c>
      <c r="I35" s="3">
        <v>4</v>
      </c>
      <c r="J35" s="3" t="s">
        <v>542</v>
      </c>
      <c r="K35" s="3">
        <v>3</v>
      </c>
      <c r="L35" s="3">
        <v>77800</v>
      </c>
      <c r="M35" s="4" t="str">
        <f>X52</f>
        <v>[51]</v>
      </c>
      <c r="N35" s="3">
        <v>34.1</v>
      </c>
      <c r="O35" s="4" t="str">
        <f>X52</f>
        <v>[51]</v>
      </c>
      <c r="P35" s="3">
        <f>141/1.944</f>
        <v>72.53086419753086</v>
      </c>
      <c r="Q35" s="4" t="str">
        <f>X53</f>
        <v>[52]</v>
      </c>
      <c r="R35" s="3">
        <f>'Calculation Oswald-factor'!Q35</f>
        <v>0.83016464163494952</v>
      </c>
      <c r="S35" s="3">
        <f>VLOOKUP(C35,'Oswald-factor Method 2'!B:L,11,0)</f>
        <v>0.74607128923421917</v>
      </c>
      <c r="T35" s="3">
        <f t="shared" si="4"/>
        <v>4320646.5204507755</v>
      </c>
      <c r="U35" s="3">
        <f t="shared" si="5"/>
        <v>4.3206465204507758</v>
      </c>
      <c r="V35" s="3">
        <f t="shared" si="2"/>
        <v>4.8076477704468612</v>
      </c>
      <c r="W35" s="3">
        <f t="shared" si="3"/>
        <v>10.129719839080883</v>
      </c>
      <c r="X35" s="3" t="s">
        <v>310</v>
      </c>
      <c r="Y35" s="2" t="s">
        <v>309</v>
      </c>
    </row>
    <row r="36" spans="1:25" x14ac:dyDescent="0.25">
      <c r="A36" s="3">
        <v>35</v>
      </c>
      <c r="B36" s="3" t="s">
        <v>66</v>
      </c>
      <c r="C36" s="3" t="s">
        <v>67</v>
      </c>
      <c r="D36" s="3" t="s">
        <v>179</v>
      </c>
      <c r="E36" s="3">
        <v>3</v>
      </c>
      <c r="F36" s="3" t="s">
        <v>190</v>
      </c>
      <c r="G36" s="3">
        <v>2</v>
      </c>
      <c r="H36" s="3" t="s">
        <v>152</v>
      </c>
      <c r="J36" s="3" t="s">
        <v>542</v>
      </c>
      <c r="K36" s="3">
        <v>3</v>
      </c>
      <c r="L36" s="3">
        <v>58000</v>
      </c>
      <c r="M36" s="4" t="str">
        <f>X54</f>
        <v>[53]</v>
      </c>
      <c r="N36" s="3">
        <v>38</v>
      </c>
      <c r="O36" s="4" t="str">
        <f>X54</f>
        <v>[53]</v>
      </c>
      <c r="P36" s="3">
        <f>122/1.944</f>
        <v>62.757201646090536</v>
      </c>
      <c r="Q36" s="4" t="str">
        <f>X55</f>
        <v>[54]</v>
      </c>
      <c r="R36" s="3">
        <f>'Calculation Oswald-factor'!Q36</f>
        <v>0.77043799735964158</v>
      </c>
      <c r="S36" s="3" t="e">
        <f>VLOOKUP(C36,'Oswald-factor Method 2'!B:L,11,0)</f>
        <v>#N/A</v>
      </c>
      <c r="T36" s="3">
        <f t="shared" si="4"/>
        <v>2408091.1163197323</v>
      </c>
      <c r="U36" s="3">
        <f t="shared" si="5"/>
        <v>2.4080911163197323</v>
      </c>
      <c r="X36" s="3" t="s">
        <v>313</v>
      </c>
      <c r="Y36" s="2" t="s">
        <v>312</v>
      </c>
    </row>
    <row r="37" spans="1:25" x14ac:dyDescent="0.25">
      <c r="A37" s="3">
        <v>36</v>
      </c>
      <c r="B37" s="3" t="s">
        <v>68</v>
      </c>
      <c r="C37" s="3" t="s">
        <v>69</v>
      </c>
      <c r="D37" s="3" t="s">
        <v>179</v>
      </c>
      <c r="E37" s="3">
        <v>3</v>
      </c>
      <c r="F37" s="3" t="s">
        <v>190</v>
      </c>
      <c r="G37" s="3">
        <v>2</v>
      </c>
      <c r="H37" s="3" t="s">
        <v>192</v>
      </c>
      <c r="I37" s="3">
        <v>4</v>
      </c>
      <c r="J37" s="3" t="s">
        <v>542</v>
      </c>
      <c r="K37" s="3">
        <v>3</v>
      </c>
      <c r="L37" s="3">
        <v>55111</v>
      </c>
      <c r="M37" s="4" t="str">
        <f>X56</f>
        <v>[55]</v>
      </c>
      <c r="N37" s="3">
        <v>34.32</v>
      </c>
      <c r="O37" s="4" t="str">
        <f>X56</f>
        <v>[55]</v>
      </c>
      <c r="P37" s="3">
        <f>126/1.944</f>
        <v>64.81481481481481</v>
      </c>
      <c r="Q37" s="4" t="str">
        <f>X57</f>
        <v>[56]</v>
      </c>
      <c r="R37" s="3">
        <f>'Calculation Oswald-factor'!Q37</f>
        <v>0.83420303308513521</v>
      </c>
      <c r="S37" s="3" t="e">
        <f>VLOOKUP(C37,'Oswald-factor Method 2'!B:L,11,0)</f>
        <v>#N/A</v>
      </c>
      <c r="T37" s="3">
        <f t="shared" si="4"/>
        <v>2383534.052540144</v>
      </c>
      <c r="U37" s="3">
        <f t="shared" si="5"/>
        <v>2.3835340525401438</v>
      </c>
      <c r="X37" s="3" t="s">
        <v>315</v>
      </c>
      <c r="Y37" s="2" t="s">
        <v>314</v>
      </c>
    </row>
    <row r="38" spans="1:25" x14ac:dyDescent="0.25">
      <c r="A38" s="3">
        <v>37</v>
      </c>
      <c r="B38" s="3" t="s">
        <v>70</v>
      </c>
      <c r="C38" s="3" t="s">
        <v>71</v>
      </c>
      <c r="D38" s="3" t="s">
        <v>179</v>
      </c>
      <c r="E38" s="3">
        <v>3</v>
      </c>
      <c r="F38" s="3" t="s">
        <v>190</v>
      </c>
      <c r="G38" s="3">
        <v>2</v>
      </c>
      <c r="H38" s="3" t="s">
        <v>192</v>
      </c>
      <c r="I38" s="3">
        <v>4</v>
      </c>
      <c r="J38" s="3" t="s">
        <v>542</v>
      </c>
      <c r="K38" s="3">
        <v>3</v>
      </c>
      <c r="L38" s="3">
        <v>58604</v>
      </c>
      <c r="M38" s="4" t="str">
        <f>X56</f>
        <v>[55]</v>
      </c>
      <c r="N38" s="3">
        <v>34.32</v>
      </c>
      <c r="O38" s="4" t="str">
        <f>X56</f>
        <v>[55]</v>
      </c>
      <c r="P38" s="3">
        <f>132/1.944</f>
        <v>67.901234567901241</v>
      </c>
      <c r="Q38" s="4" t="str">
        <f>X58</f>
        <v>[57]</v>
      </c>
      <c r="R38" s="3">
        <f>'Calculation Oswald-factor'!Q38</f>
        <v>0.83420303308513521</v>
      </c>
      <c r="S38" s="3" t="e">
        <f>VLOOKUP(C38,'Oswald-factor Method 2'!B:L,11,0)</f>
        <v>#N/A</v>
      </c>
      <c r="T38" s="3">
        <f t="shared" si="4"/>
        <v>2572740.0736667989</v>
      </c>
      <c r="U38" s="3">
        <f t="shared" si="5"/>
        <v>2.5727400736667989</v>
      </c>
      <c r="X38" s="3" t="s">
        <v>317</v>
      </c>
      <c r="Y38" s="2" t="s">
        <v>316</v>
      </c>
    </row>
    <row r="39" spans="1:25" x14ac:dyDescent="0.25">
      <c r="A39" s="3">
        <v>38</v>
      </c>
      <c r="B39" s="3" t="s">
        <v>72</v>
      </c>
      <c r="C39" s="3" t="s">
        <v>73</v>
      </c>
      <c r="D39" s="3" t="s">
        <v>179</v>
      </c>
      <c r="E39" s="3">
        <v>3</v>
      </c>
      <c r="F39" s="3" t="s">
        <v>190</v>
      </c>
      <c r="G39" s="3">
        <v>2</v>
      </c>
      <c r="H39" s="3" t="s">
        <v>192</v>
      </c>
      <c r="I39" s="3">
        <v>4</v>
      </c>
      <c r="J39" s="3" t="s">
        <v>542</v>
      </c>
      <c r="K39" s="3">
        <v>3</v>
      </c>
      <c r="L39" s="3">
        <v>66361</v>
      </c>
      <c r="M39" s="4" t="str">
        <f>X56</f>
        <v>[55]</v>
      </c>
      <c r="N39" s="3">
        <v>34.32</v>
      </c>
      <c r="O39" s="4" t="str">
        <f>X56</f>
        <v>[55]</v>
      </c>
      <c r="P39" s="3">
        <f>142/1.944</f>
        <v>73.045267489711932</v>
      </c>
      <c r="Q39" s="4" t="str">
        <f>X59</f>
        <v>[58]</v>
      </c>
      <c r="R39" s="3">
        <f>'Calculation Oswald-factor'!Q39</f>
        <v>0.83420303308513521</v>
      </c>
      <c r="S39" s="3" t="e">
        <f>VLOOKUP(C39,'Oswald-factor Method 2'!B:L,11,0)</f>
        <v>#N/A</v>
      </c>
      <c r="T39" s="3">
        <f t="shared" si="4"/>
        <v>3066569.5739916018</v>
      </c>
      <c r="U39" s="3">
        <f t="shared" si="5"/>
        <v>3.0665695739916017</v>
      </c>
      <c r="X39" s="3" t="s">
        <v>320</v>
      </c>
      <c r="Y39" s="2" t="s">
        <v>319</v>
      </c>
    </row>
    <row r="40" spans="1:25" x14ac:dyDescent="0.25">
      <c r="A40" s="3">
        <v>39</v>
      </c>
      <c r="B40" s="3" t="s">
        <v>74</v>
      </c>
      <c r="C40" s="3" t="s">
        <v>75</v>
      </c>
      <c r="D40" s="3" t="s">
        <v>179</v>
      </c>
      <c r="E40" s="3">
        <v>3</v>
      </c>
      <c r="F40" s="3" t="s">
        <v>190</v>
      </c>
      <c r="G40" s="3">
        <v>2</v>
      </c>
      <c r="H40" s="3" t="s">
        <v>192</v>
      </c>
      <c r="I40" s="3">
        <v>4</v>
      </c>
      <c r="J40" s="3" t="s">
        <v>542</v>
      </c>
      <c r="K40" s="3">
        <v>3</v>
      </c>
      <c r="L40" s="3">
        <v>66814</v>
      </c>
      <c r="M40" s="4" t="str">
        <f>X56</f>
        <v>[55]</v>
      </c>
      <c r="N40" s="3">
        <v>34.32</v>
      </c>
      <c r="O40" s="4" t="str">
        <f>X56</f>
        <v>[55]</v>
      </c>
      <c r="P40" s="3">
        <f>141/1.944</f>
        <v>72.53086419753086</v>
      </c>
      <c r="Q40" s="4" t="str">
        <f>X60</f>
        <v>[59]</v>
      </c>
      <c r="R40" s="3">
        <f>'Calculation Oswald-factor'!Q40</f>
        <v>0.83420303308513521</v>
      </c>
      <c r="S40" s="3" t="e">
        <f>VLOOKUP(C40,'Oswald-factor Method 2'!B:L,11,0)</f>
        <v>#N/A</v>
      </c>
      <c r="T40" s="3">
        <f t="shared" si="4"/>
        <v>3130625.7704870668</v>
      </c>
      <c r="U40" s="3">
        <f t="shared" si="5"/>
        <v>3.1306257704870668</v>
      </c>
      <c r="X40" s="3" t="s">
        <v>322</v>
      </c>
      <c r="Y40" s="2" t="s">
        <v>321</v>
      </c>
    </row>
    <row r="41" spans="1:25" x14ac:dyDescent="0.25">
      <c r="A41" s="3">
        <v>40</v>
      </c>
      <c r="B41" s="3" t="s">
        <v>76</v>
      </c>
      <c r="C41" s="3" t="s">
        <v>217</v>
      </c>
      <c r="D41" s="3" t="s">
        <v>179</v>
      </c>
      <c r="E41" s="3">
        <v>3</v>
      </c>
      <c r="F41" s="3" t="s">
        <v>190</v>
      </c>
      <c r="G41" s="3">
        <v>2</v>
      </c>
      <c r="H41" s="3" t="s">
        <v>192</v>
      </c>
      <c r="I41" s="3">
        <v>4</v>
      </c>
      <c r="J41" s="3" t="s">
        <v>542</v>
      </c>
      <c r="K41" s="3">
        <v>3</v>
      </c>
      <c r="L41" s="3">
        <v>75000</v>
      </c>
      <c r="M41" s="4" t="str">
        <f>X61</f>
        <v>[60]</v>
      </c>
      <c r="N41" s="3">
        <v>40.409999999999997</v>
      </c>
      <c r="O41" s="4" t="str">
        <f>X61</f>
        <v>[60]</v>
      </c>
      <c r="P41" s="3">
        <f>130/1.944</f>
        <v>66.872427983539097</v>
      </c>
      <c r="Q41" s="4" t="str">
        <f>X62</f>
        <v>[61]</v>
      </c>
      <c r="R41" s="3">
        <f>'Calculation Oswald-factor'!Q41</f>
        <v>0.83462915921583758</v>
      </c>
      <c r="S41" s="3" t="e">
        <f>VLOOKUP(C41,'Oswald-factor Method 2'!B:L,11,0)</f>
        <v>#N/A</v>
      </c>
      <c r="T41" s="3">
        <f t="shared" si="4"/>
        <v>3084534.0313581373</v>
      </c>
      <c r="U41" s="3">
        <f t="shared" si="5"/>
        <v>3.0845340313581371</v>
      </c>
      <c r="X41" s="3" t="s">
        <v>324</v>
      </c>
      <c r="Y41" s="2" t="s">
        <v>323</v>
      </c>
    </row>
    <row r="42" spans="1:25" x14ac:dyDescent="0.25">
      <c r="A42" s="3">
        <v>41</v>
      </c>
      <c r="B42" s="3" t="s">
        <v>77</v>
      </c>
      <c r="C42" s="3" t="s">
        <v>78</v>
      </c>
      <c r="D42" s="3" t="s">
        <v>179</v>
      </c>
      <c r="E42" s="3">
        <v>3</v>
      </c>
      <c r="F42" s="3" t="s">
        <v>190</v>
      </c>
      <c r="G42" s="3">
        <v>2</v>
      </c>
      <c r="H42" s="3" t="s">
        <v>152</v>
      </c>
      <c r="J42" s="3" t="s">
        <v>542</v>
      </c>
      <c r="K42" s="3">
        <v>3</v>
      </c>
      <c r="L42" s="3">
        <v>52600</v>
      </c>
      <c r="M42" s="4" t="str">
        <f>X63</f>
        <v>[62]</v>
      </c>
      <c r="N42" s="3">
        <v>37.4</v>
      </c>
      <c r="O42" s="4" t="str">
        <f>X63</f>
        <v>[62]</v>
      </c>
      <c r="P42" s="3">
        <f>130/1.944</f>
        <v>66.872427983539097</v>
      </c>
      <c r="Q42" s="4" t="str">
        <f>X64</f>
        <v>[63]</v>
      </c>
      <c r="R42" s="3">
        <f>'Calculation Oswald-factor'!Q42</f>
        <v>0.84337934891839605</v>
      </c>
      <c r="S42" s="3" t="e">
        <f>VLOOKUP(C42,'Oswald-factor Method 2'!B:L,11,0)</f>
        <v>#N/A</v>
      </c>
      <c r="T42" s="3">
        <f t="shared" si="4"/>
        <v>1752845.4070217276</v>
      </c>
      <c r="U42" s="3">
        <f t="shared" si="5"/>
        <v>1.7528454070217276</v>
      </c>
      <c r="X42" s="3" t="s">
        <v>326</v>
      </c>
      <c r="Y42" s="2" t="s">
        <v>325</v>
      </c>
    </row>
    <row r="43" spans="1:25" x14ac:dyDescent="0.25">
      <c r="A43" s="3">
        <v>42</v>
      </c>
      <c r="B43" s="3" t="s">
        <v>79</v>
      </c>
      <c r="C43" s="3" t="s">
        <v>80</v>
      </c>
      <c r="D43" s="3" t="s">
        <v>179</v>
      </c>
      <c r="E43" s="3">
        <v>3</v>
      </c>
      <c r="F43" s="3" t="s">
        <v>190</v>
      </c>
      <c r="G43" s="3">
        <v>2</v>
      </c>
      <c r="H43" s="3" t="s">
        <v>152</v>
      </c>
      <c r="J43" s="3" t="s">
        <v>542</v>
      </c>
      <c r="K43" s="3">
        <v>3</v>
      </c>
      <c r="L43" s="3">
        <v>58061</v>
      </c>
      <c r="M43" s="4" t="str">
        <f>X65</f>
        <v>[64]</v>
      </c>
      <c r="N43" s="3">
        <v>32.85</v>
      </c>
      <c r="O43" s="4" t="str">
        <f>X65</f>
        <v>[64]</v>
      </c>
      <c r="P43" s="3">
        <f>125/2.944</f>
        <v>42.459239130434781</v>
      </c>
      <c r="Q43" s="4" t="str">
        <f>X66</f>
        <v>[65]</v>
      </c>
      <c r="R43" s="3">
        <f>'Calculation Oswald-factor'!Q43</f>
        <v>0.8396807211742976</v>
      </c>
      <c r="S43" s="3" t="e">
        <f>VLOOKUP(C43,'Oswald-factor Method 2'!B:L,11,0)</f>
        <v>#N/A</v>
      </c>
      <c r="T43" s="3">
        <f t="shared" si="4"/>
        <v>4379225.1206115978</v>
      </c>
      <c r="U43" s="3">
        <f t="shared" si="5"/>
        <v>4.379225120611598</v>
      </c>
      <c r="X43" s="3" t="s">
        <v>328</v>
      </c>
      <c r="Y43" s="2" t="s">
        <v>327</v>
      </c>
    </row>
    <row r="44" spans="1:25" x14ac:dyDescent="0.25">
      <c r="A44" s="3">
        <v>43</v>
      </c>
      <c r="B44" s="3" t="s">
        <v>81</v>
      </c>
      <c r="C44" s="3" t="s">
        <v>82</v>
      </c>
      <c r="D44" s="3" t="s">
        <v>179</v>
      </c>
      <c r="E44" s="3">
        <v>3</v>
      </c>
      <c r="F44" s="3" t="s">
        <v>190</v>
      </c>
      <c r="G44" s="3">
        <v>2</v>
      </c>
      <c r="H44" s="3" t="s">
        <v>192</v>
      </c>
      <c r="I44" s="3">
        <v>4</v>
      </c>
      <c r="J44" s="3" t="s">
        <v>542</v>
      </c>
      <c r="K44" s="3">
        <v>3</v>
      </c>
      <c r="L44" s="3">
        <v>58567</v>
      </c>
      <c r="M44" s="4" t="str">
        <f>X65</f>
        <v>[64]</v>
      </c>
      <c r="N44" s="3">
        <v>32.85</v>
      </c>
      <c r="O44" s="4" t="str">
        <f>X65</f>
        <v>[64]</v>
      </c>
      <c r="P44" s="3">
        <f>136/1.944</f>
        <v>69.958847736625515</v>
      </c>
      <c r="Q44" s="4" t="str">
        <f>X67</f>
        <v>[66]</v>
      </c>
      <c r="R44" s="3">
        <f>'Calculation Oswald-factor'!Q44</f>
        <v>0.8396807211742976</v>
      </c>
      <c r="S44" s="3" t="e">
        <f>VLOOKUP(C44,'Oswald-factor Method 2'!B:L,11,0)</f>
        <v>#N/A</v>
      </c>
      <c r="T44" s="3">
        <f t="shared" si="4"/>
        <v>2704355.3998769657</v>
      </c>
      <c r="U44" s="3">
        <f t="shared" si="5"/>
        <v>2.7043553998769658</v>
      </c>
      <c r="X44" s="3" t="s">
        <v>330</v>
      </c>
      <c r="Y44" s="2" t="s">
        <v>329</v>
      </c>
    </row>
    <row r="45" spans="1:25" x14ac:dyDescent="0.25">
      <c r="A45" s="3">
        <v>44</v>
      </c>
      <c r="B45" s="3" t="s">
        <v>83</v>
      </c>
      <c r="C45" s="3" t="s">
        <v>84</v>
      </c>
      <c r="D45" s="3" t="s">
        <v>179</v>
      </c>
      <c r="E45" s="3">
        <v>3</v>
      </c>
      <c r="F45" s="3" t="s">
        <v>190</v>
      </c>
      <c r="G45" s="3">
        <v>2</v>
      </c>
      <c r="H45" s="3" t="s">
        <v>192</v>
      </c>
      <c r="I45" s="3">
        <v>4</v>
      </c>
      <c r="J45" s="3" t="s">
        <v>542</v>
      </c>
      <c r="K45" s="3">
        <v>3</v>
      </c>
      <c r="L45" s="3">
        <v>63276</v>
      </c>
      <c r="M45" s="4" t="str">
        <f>X65</f>
        <v>[64]</v>
      </c>
      <c r="N45" s="3">
        <v>32.85</v>
      </c>
      <c r="O45" s="4" t="str">
        <f>X65</f>
        <v>[64]</v>
      </c>
      <c r="P45" s="3">
        <f>137/1.944</f>
        <v>70.473251028806587</v>
      </c>
      <c r="Q45" s="4" t="str">
        <f>X68</f>
        <v>[67]</v>
      </c>
      <c r="R45" s="3">
        <f>'Calculation Oswald-factor'!Q45</f>
        <v>0.8396807211742976</v>
      </c>
      <c r="S45" s="3" t="e">
        <f>VLOOKUP(C45,'Oswald-factor Method 2'!B:L,11,0)</f>
        <v>#N/A</v>
      </c>
      <c r="T45" s="3">
        <f t="shared" si="4"/>
        <v>3133676.6662291908</v>
      </c>
      <c r="U45" s="3">
        <f t="shared" si="5"/>
        <v>3.1336766662291908</v>
      </c>
      <c r="X45" s="3" t="s">
        <v>332</v>
      </c>
      <c r="Y45" s="2" t="s">
        <v>331</v>
      </c>
    </row>
    <row r="46" spans="1:25" x14ac:dyDescent="0.25">
      <c r="A46" s="3">
        <v>45</v>
      </c>
      <c r="B46" s="3" t="s">
        <v>85</v>
      </c>
      <c r="C46" s="3" t="s">
        <v>86</v>
      </c>
      <c r="D46" s="3" t="s">
        <v>179</v>
      </c>
      <c r="E46" s="3">
        <v>3</v>
      </c>
      <c r="F46" s="3" t="s">
        <v>190</v>
      </c>
      <c r="G46" s="3">
        <v>2</v>
      </c>
      <c r="H46" s="3" t="s">
        <v>192</v>
      </c>
      <c r="I46" s="3">
        <v>4</v>
      </c>
      <c r="J46" s="3" t="s">
        <v>542</v>
      </c>
      <c r="K46" s="3">
        <v>3</v>
      </c>
      <c r="L46" s="3">
        <v>58060</v>
      </c>
      <c r="M46" s="4" t="str">
        <f>X65</f>
        <v>[64]</v>
      </c>
      <c r="N46" s="3">
        <v>32.85</v>
      </c>
      <c r="O46" s="4" t="str">
        <f>X65</f>
        <v>[64]</v>
      </c>
      <c r="P46" s="3">
        <f>140/1.944</f>
        <v>72.016460905349803</v>
      </c>
      <c r="Q46" s="4" t="str">
        <f>X69</f>
        <v>[68]</v>
      </c>
      <c r="R46" s="3">
        <f>'Calculation Oswald-factor'!Q46</f>
        <v>0.8396807211742976</v>
      </c>
      <c r="S46" s="3">
        <f>VLOOKUP(C46,'Oswald-factor Method 2'!B:L,11,0)</f>
        <v>0.78901281391710254</v>
      </c>
      <c r="T46" s="3">
        <f t="shared" si="4"/>
        <v>2581800.8741515055</v>
      </c>
      <c r="U46" s="3">
        <f t="shared" si="5"/>
        <v>2.5818008741515057</v>
      </c>
      <c r="V46" s="3">
        <f t="shared" si="2"/>
        <v>2.7475959600368882</v>
      </c>
      <c r="W46" s="3">
        <f>((V46-U46)/V46)*100</f>
        <v>6.0341872785093402</v>
      </c>
      <c r="X46" s="3" t="s">
        <v>334</v>
      </c>
      <c r="Y46" s="2" t="s">
        <v>333</v>
      </c>
    </row>
    <row r="47" spans="1:25" x14ac:dyDescent="0.25">
      <c r="A47" s="3">
        <v>46</v>
      </c>
      <c r="B47" s="3" t="s">
        <v>87</v>
      </c>
      <c r="C47" s="3" t="s">
        <v>88</v>
      </c>
      <c r="D47" s="3" t="s">
        <v>179</v>
      </c>
      <c r="E47" s="3">
        <v>3</v>
      </c>
      <c r="F47" s="3" t="s">
        <v>190</v>
      </c>
      <c r="G47" s="3">
        <v>2</v>
      </c>
      <c r="H47" s="3" t="s">
        <v>192</v>
      </c>
      <c r="I47" s="3">
        <v>4</v>
      </c>
      <c r="J47" s="3" t="s">
        <v>542</v>
      </c>
      <c r="K47" s="3">
        <v>3</v>
      </c>
      <c r="L47" s="3">
        <v>58567</v>
      </c>
      <c r="M47" s="4" t="str">
        <f>X65</f>
        <v>[64]</v>
      </c>
      <c r="N47" s="3">
        <v>32.85</v>
      </c>
      <c r="O47" s="4" t="str">
        <f>X65</f>
        <v>[64]</v>
      </c>
      <c r="P47" s="3">
        <f>130/1.944</f>
        <v>66.872427983539097</v>
      </c>
      <c r="Q47" s="4" t="str">
        <f>X70</f>
        <v>[69]</v>
      </c>
      <c r="R47" s="3">
        <f>'Calculation Oswald-factor'!Q47</f>
        <v>0.8396807211742976</v>
      </c>
      <c r="S47" s="3" t="e">
        <f>VLOOKUP(C47,'Oswald-factor Method 2'!B:L,11,0)</f>
        <v>#N/A</v>
      </c>
      <c r="T47" s="3">
        <f t="shared" si="4"/>
        <v>2829171.8029482099</v>
      </c>
      <c r="U47" s="3">
        <f t="shared" si="5"/>
        <v>2.8291718029482098</v>
      </c>
      <c r="X47" s="3" t="s">
        <v>336</v>
      </c>
      <c r="Y47" s="2" t="s">
        <v>335</v>
      </c>
    </row>
    <row r="48" spans="1:25" x14ac:dyDescent="0.25">
      <c r="A48" s="3">
        <v>47</v>
      </c>
      <c r="B48" s="3" t="s">
        <v>89</v>
      </c>
      <c r="C48" s="3" t="s">
        <v>90</v>
      </c>
      <c r="D48" s="3" t="s">
        <v>179</v>
      </c>
      <c r="E48" s="3">
        <v>3</v>
      </c>
      <c r="F48" s="3" t="s">
        <v>190</v>
      </c>
      <c r="G48" s="3">
        <v>2</v>
      </c>
      <c r="H48" s="3" t="s">
        <v>192</v>
      </c>
      <c r="I48" s="3">
        <v>4</v>
      </c>
      <c r="J48" s="3" t="s">
        <v>542</v>
      </c>
      <c r="K48" s="3">
        <v>3</v>
      </c>
      <c r="L48" s="3">
        <v>64410</v>
      </c>
      <c r="M48" s="4" t="str">
        <f>X71</f>
        <v>[70]</v>
      </c>
      <c r="N48" s="3">
        <v>32.869999999999997</v>
      </c>
      <c r="O48" s="4" t="str">
        <f>X71</f>
        <v>[70]</v>
      </c>
      <c r="P48" s="3">
        <f>138/1.944</f>
        <v>70.987654320987659</v>
      </c>
      <c r="Q48" s="4" t="str">
        <f>X72</f>
        <v>[71]</v>
      </c>
      <c r="R48" s="3">
        <f>'Calculation Oswald-factor'!Q48</f>
        <v>0.83970241916276378</v>
      </c>
      <c r="S48" s="3">
        <f>VLOOKUP(C48,'Oswald-factor Method 2'!B:L,11,0)</f>
        <v>0.77467991388021662</v>
      </c>
      <c r="T48" s="3">
        <f t="shared" si="4"/>
        <v>3219469.7244006698</v>
      </c>
      <c r="U48" s="3">
        <f t="shared" si="5"/>
        <v>3.2194697244006698</v>
      </c>
      <c r="V48" s="3">
        <f t="shared" si="2"/>
        <v>3.4896948630818976</v>
      </c>
      <c r="W48" s="3">
        <f t="shared" si="3"/>
        <v>7.7435176794391838</v>
      </c>
      <c r="X48" s="3" t="s">
        <v>338</v>
      </c>
      <c r="Y48" s="2" t="s">
        <v>337</v>
      </c>
    </row>
    <row r="49" spans="1:25" x14ac:dyDescent="0.25">
      <c r="A49" s="3">
        <v>48</v>
      </c>
      <c r="B49" s="3" t="s">
        <v>91</v>
      </c>
      <c r="C49" s="3" t="s">
        <v>92</v>
      </c>
      <c r="D49" s="3" t="s">
        <v>179</v>
      </c>
      <c r="E49" s="3">
        <v>3</v>
      </c>
      <c r="F49" s="3" t="s">
        <v>190</v>
      </c>
      <c r="G49" s="3">
        <v>2</v>
      </c>
      <c r="H49" s="3" t="s">
        <v>152</v>
      </c>
      <c r="J49" s="3" t="s">
        <v>542</v>
      </c>
      <c r="K49" s="3">
        <v>3</v>
      </c>
      <c r="L49" s="3">
        <v>89500</v>
      </c>
      <c r="M49" s="4" t="str">
        <f>X29</f>
        <v>[28]</v>
      </c>
      <c r="N49" s="3">
        <v>40.299999999999997</v>
      </c>
      <c r="O49" s="4" t="str">
        <f>X29</f>
        <v>[28]</v>
      </c>
      <c r="P49" s="3">
        <f>140/1.944</f>
        <v>72.016460905349803</v>
      </c>
      <c r="Q49" s="4" t="str">
        <f>X73</f>
        <v>[72]</v>
      </c>
      <c r="R49" s="3">
        <f>'Calculation Oswald-factor'!Q49</f>
        <v>0.89679955782280685</v>
      </c>
      <c r="S49" s="3" t="e">
        <f>VLOOKUP(C49,'Oswald-factor Method 2'!B:L,11,0)</f>
        <v>#N/A</v>
      </c>
      <c r="T49" s="3">
        <f t="shared" si="4"/>
        <v>3816754.2972386638</v>
      </c>
      <c r="U49" s="3">
        <f t="shared" si="5"/>
        <v>3.8167542972386639</v>
      </c>
      <c r="X49" s="3" t="s">
        <v>340</v>
      </c>
      <c r="Y49" s="2" t="s">
        <v>339</v>
      </c>
    </row>
    <row r="50" spans="1:25" x14ac:dyDescent="0.25">
      <c r="A50" s="3">
        <v>49</v>
      </c>
      <c r="B50" s="3" t="s">
        <v>93</v>
      </c>
      <c r="C50" s="3" t="s">
        <v>94</v>
      </c>
      <c r="D50" s="3" t="s">
        <v>180</v>
      </c>
      <c r="E50" s="3">
        <v>2</v>
      </c>
      <c r="F50" s="3" t="s">
        <v>190</v>
      </c>
      <c r="G50" s="3">
        <v>2</v>
      </c>
      <c r="H50" s="3" t="s">
        <v>193</v>
      </c>
      <c r="I50" s="3">
        <v>3</v>
      </c>
      <c r="J50" s="3" t="s">
        <v>194</v>
      </c>
      <c r="K50" s="3">
        <v>1</v>
      </c>
      <c r="L50" s="3">
        <v>16000</v>
      </c>
      <c r="M50" s="4" t="str">
        <f>X74</f>
        <v>[73]</v>
      </c>
      <c r="N50" s="3">
        <v>24.57</v>
      </c>
      <c r="O50" s="4" t="str">
        <f>X74</f>
        <v>[73]</v>
      </c>
      <c r="P50" s="3">
        <f>120/1.944</f>
        <v>61.728395061728399</v>
      </c>
      <c r="Q50" s="4" t="str">
        <f>X75</f>
        <v>[74]</v>
      </c>
      <c r="R50" s="3">
        <f>'Calculation Oswald-factor'!Q50</f>
        <v>0.76212104600305419</v>
      </c>
      <c r="S50" s="3" t="e">
        <f>VLOOKUP(C50,'Oswald-factor Method 2'!B:L,11,0)</f>
        <v>#N/A</v>
      </c>
      <c r="T50" s="3">
        <f t="shared" si="4"/>
        <v>450511.7240390263</v>
      </c>
      <c r="U50" s="3">
        <f t="shared" si="5"/>
        <v>0.45051172403902628</v>
      </c>
      <c r="X50" s="3" t="s">
        <v>342</v>
      </c>
      <c r="Y50" s="2" t="s">
        <v>341</v>
      </c>
    </row>
    <row r="51" spans="1:25" x14ac:dyDescent="0.25">
      <c r="A51" s="3">
        <v>50</v>
      </c>
      <c r="B51" s="3" t="s">
        <v>95</v>
      </c>
      <c r="C51" s="3" t="s">
        <v>96</v>
      </c>
      <c r="D51" s="3" t="s">
        <v>180</v>
      </c>
      <c r="E51" s="3">
        <v>2</v>
      </c>
      <c r="F51" s="3" t="s">
        <v>190</v>
      </c>
      <c r="G51" s="3">
        <v>2</v>
      </c>
      <c r="H51" s="3" t="s">
        <v>152</v>
      </c>
      <c r="J51" s="3" t="s">
        <v>543</v>
      </c>
      <c r="K51" s="3">
        <v>2</v>
      </c>
      <c r="L51" s="3">
        <v>18300</v>
      </c>
      <c r="M51" s="4" t="str">
        <f>X74</f>
        <v>[73]</v>
      </c>
      <c r="N51" s="3">
        <v>24.57</v>
      </c>
      <c r="O51" s="4" t="str">
        <f>X74</f>
        <v>[73]</v>
      </c>
      <c r="P51" s="3">
        <f>110/1.944</f>
        <v>56.584362139917694</v>
      </c>
      <c r="Q51" s="4" t="str">
        <f>X76</f>
        <v>[75]</v>
      </c>
      <c r="R51" s="3">
        <f>'Calculation Oswald-factor'!Q51</f>
        <v>0.76212104600305419</v>
      </c>
      <c r="S51" s="3" t="e">
        <f>VLOOKUP(C51,'Oswald-factor Method 2'!B:L,11,0)</f>
        <v>#N/A</v>
      </c>
      <c r="T51" s="3">
        <f t="shared" si="4"/>
        <v>642919.9059521145</v>
      </c>
      <c r="U51" s="3">
        <f t="shared" si="5"/>
        <v>0.64291990595211446</v>
      </c>
      <c r="X51" s="3" t="s">
        <v>344</v>
      </c>
      <c r="Y51" s="2" t="s">
        <v>343</v>
      </c>
    </row>
    <row r="52" spans="1:25" x14ac:dyDescent="0.25">
      <c r="A52" s="3">
        <v>51</v>
      </c>
      <c r="B52" s="3" t="s">
        <v>97</v>
      </c>
      <c r="C52" s="3" t="s">
        <v>98</v>
      </c>
      <c r="D52" s="3" t="s">
        <v>180</v>
      </c>
      <c r="E52" s="3">
        <v>2</v>
      </c>
      <c r="F52" s="3" t="s">
        <v>190</v>
      </c>
      <c r="G52" s="3">
        <v>2</v>
      </c>
      <c r="H52" s="3" t="s">
        <v>193</v>
      </c>
      <c r="I52" s="3">
        <v>3</v>
      </c>
      <c r="J52" s="3" t="s">
        <v>543</v>
      </c>
      <c r="K52" s="3">
        <v>2</v>
      </c>
      <c r="L52" s="3">
        <v>22350</v>
      </c>
      <c r="M52" s="4" t="str">
        <f>X77</f>
        <v>[76]</v>
      </c>
      <c r="N52" s="3">
        <v>27.05</v>
      </c>
      <c r="O52" s="4" t="str">
        <f>X77</f>
        <v>[76]</v>
      </c>
      <c r="P52" s="3">
        <f>120/1.944</f>
        <v>61.728395061728399</v>
      </c>
      <c r="Q52" s="4" t="str">
        <f>X78</f>
        <v>[77]</v>
      </c>
      <c r="R52" s="3">
        <f>'Calculation Oswald-factor'!Q52</f>
        <v>0.76669024335723845</v>
      </c>
      <c r="S52" s="3" t="e">
        <f>VLOOKUP(C52,'Oswald-factor Method 2'!B:L,11,0)</f>
        <v>#N/A</v>
      </c>
      <c r="T52" s="3">
        <f t="shared" si="4"/>
        <v>720943.0830180347</v>
      </c>
      <c r="U52" s="3">
        <f t="shared" si="5"/>
        <v>0.72094308301803467</v>
      </c>
      <c r="X52" s="3" t="s">
        <v>346</v>
      </c>
      <c r="Y52" s="2" t="s">
        <v>345</v>
      </c>
    </row>
    <row r="53" spans="1:25" x14ac:dyDescent="0.25">
      <c r="A53" s="3">
        <v>52</v>
      </c>
      <c r="B53" s="3" t="s">
        <v>99</v>
      </c>
      <c r="C53" s="3" t="s">
        <v>100</v>
      </c>
      <c r="D53" s="3" t="s">
        <v>180</v>
      </c>
      <c r="E53" s="3">
        <v>2</v>
      </c>
      <c r="F53" s="3" t="s">
        <v>190</v>
      </c>
      <c r="G53" s="3">
        <v>2</v>
      </c>
      <c r="H53" s="3" t="s">
        <v>192</v>
      </c>
      <c r="I53" s="3">
        <v>4</v>
      </c>
      <c r="J53" s="3" t="s">
        <v>542</v>
      </c>
      <c r="K53" s="3">
        <v>3</v>
      </c>
      <c r="L53" s="3">
        <v>46269</v>
      </c>
      <c r="M53" s="4" t="str">
        <f>X79</f>
        <v>[78]</v>
      </c>
      <c r="N53" s="3">
        <v>28.4</v>
      </c>
      <c r="O53" s="4" t="str">
        <f>X79</f>
        <v>[78]</v>
      </c>
      <c r="P53" s="3">
        <f>139/1.944</f>
        <v>71.502057613168731</v>
      </c>
      <c r="Q53" s="4" t="str">
        <f>X80</f>
        <v>[79]</v>
      </c>
      <c r="R53" s="3">
        <f>'Calculation Oswald-factor'!Q53</f>
        <v>0.83437166177075306</v>
      </c>
      <c r="S53" s="3" t="e">
        <f>VLOOKUP(C53,'Oswald-factor Method 2'!B:L,11,0)</f>
        <v>#N/A</v>
      </c>
      <c r="T53" s="3">
        <f t="shared" si="4"/>
        <v>2223570.2089489358</v>
      </c>
      <c r="U53" s="3">
        <f t="shared" si="5"/>
        <v>2.223570208948936</v>
      </c>
      <c r="X53" s="3" t="s">
        <v>348</v>
      </c>
      <c r="Y53" s="2" t="s">
        <v>347</v>
      </c>
    </row>
    <row r="54" spans="1:25" x14ac:dyDescent="0.25">
      <c r="A54" s="3">
        <v>53</v>
      </c>
      <c r="B54" s="3" t="s">
        <v>101</v>
      </c>
      <c r="C54" s="3" t="s">
        <v>102</v>
      </c>
      <c r="D54" s="3" t="s">
        <v>180</v>
      </c>
      <c r="E54" s="3">
        <v>2</v>
      </c>
      <c r="F54" s="3" t="s">
        <v>190</v>
      </c>
      <c r="G54" s="3">
        <v>2</v>
      </c>
      <c r="H54" s="3" t="s">
        <v>192</v>
      </c>
      <c r="I54" s="3">
        <v>4</v>
      </c>
      <c r="J54" s="3" t="s">
        <v>542</v>
      </c>
      <c r="K54" s="3">
        <v>3</v>
      </c>
      <c r="L54" s="3">
        <v>48534</v>
      </c>
      <c r="M54" s="4" t="str">
        <f>X56</f>
        <v>[55]</v>
      </c>
      <c r="N54" s="3">
        <v>28.35</v>
      </c>
      <c r="O54" s="4" t="str">
        <f>X56</f>
        <v>[55]</v>
      </c>
      <c r="P54" s="3">
        <f>130/1.944</f>
        <v>66.872427983539097</v>
      </c>
      <c r="Q54" s="4" t="str">
        <f>X27</f>
        <v>[26]</v>
      </c>
      <c r="R54" s="3">
        <f>'Calculation Oswald-factor'!Q54</f>
        <v>0.82635544183573106</v>
      </c>
      <c r="S54" s="3" t="e">
        <f>VLOOKUP(C54,'Oswald-factor Method 2'!B:L,11,0)</f>
        <v>#N/A</v>
      </c>
      <c r="T54" s="3">
        <f t="shared" si="4"/>
        <v>2650680.8922452847</v>
      </c>
      <c r="U54" s="3">
        <f t="shared" si="5"/>
        <v>2.6506808922452847</v>
      </c>
      <c r="X54" s="3" t="s">
        <v>350</v>
      </c>
      <c r="Y54" s="2" t="s">
        <v>349</v>
      </c>
    </row>
    <row r="55" spans="1:25" x14ac:dyDescent="0.25">
      <c r="A55" s="3">
        <v>54</v>
      </c>
      <c r="B55" s="3" t="s">
        <v>103</v>
      </c>
      <c r="C55" s="3" t="s">
        <v>104</v>
      </c>
      <c r="D55" s="3" t="s">
        <v>180</v>
      </c>
      <c r="E55" s="3">
        <v>2</v>
      </c>
      <c r="F55" s="3" t="s">
        <v>190</v>
      </c>
      <c r="G55" s="3">
        <v>2</v>
      </c>
      <c r="H55" s="3" t="s">
        <v>192</v>
      </c>
      <c r="I55" s="3">
        <v>4</v>
      </c>
      <c r="J55" s="3" t="s">
        <v>542</v>
      </c>
      <c r="K55" s="3">
        <v>3</v>
      </c>
      <c r="L55" s="3">
        <v>52889</v>
      </c>
      <c r="M55" s="4" t="str">
        <f>X56</f>
        <v>[55]</v>
      </c>
      <c r="N55" s="3">
        <v>28.88</v>
      </c>
      <c r="O55" s="4" t="str">
        <f>X56</f>
        <v>[55]</v>
      </c>
      <c r="P55" s="3">
        <f>135/1.944</f>
        <v>69.444444444444443</v>
      </c>
      <c r="Q55" s="4" t="str">
        <f>X27</f>
        <v>[26]</v>
      </c>
      <c r="R55" s="3">
        <f>'Calculation Oswald-factor'!Q55</f>
        <v>0.82796213653033823</v>
      </c>
      <c r="S55" s="3">
        <f>VLOOKUP(C55,'Oswald-factor Method 2'!B:L,11,0)</f>
        <v>0.79640888721885128</v>
      </c>
      <c r="T55" s="3">
        <f t="shared" si="4"/>
        <v>2915236.1081163222</v>
      </c>
      <c r="U55" s="3">
        <f t="shared" si="5"/>
        <v>2.9152361081163223</v>
      </c>
      <c r="V55" s="3">
        <f t="shared" si="2"/>
        <v>3.0307360393670466</v>
      </c>
      <c r="W55" s="3">
        <f t="shared" si="3"/>
        <v>3.8109531727760064</v>
      </c>
      <c r="X55" s="3" t="s">
        <v>352</v>
      </c>
      <c r="Y55" s="2" t="s">
        <v>351</v>
      </c>
    </row>
    <row r="56" spans="1:25" x14ac:dyDescent="0.25">
      <c r="A56" s="3">
        <v>55</v>
      </c>
      <c r="B56" s="3" t="s">
        <v>105</v>
      </c>
      <c r="C56" s="3" t="s">
        <v>106</v>
      </c>
      <c r="D56" s="3" t="s">
        <v>180</v>
      </c>
      <c r="E56" s="3">
        <v>2</v>
      </c>
      <c r="F56" s="3" t="s">
        <v>190</v>
      </c>
      <c r="G56" s="3">
        <v>2</v>
      </c>
      <c r="H56" s="3" t="s">
        <v>192</v>
      </c>
      <c r="I56" s="3">
        <v>4</v>
      </c>
      <c r="J56" s="3" t="s">
        <v>542</v>
      </c>
      <c r="K56" s="3">
        <v>3</v>
      </c>
      <c r="L56" s="3">
        <v>56245</v>
      </c>
      <c r="M56" s="4" t="str">
        <f>X56</f>
        <v>[55]</v>
      </c>
      <c r="N56" s="3">
        <v>28.88</v>
      </c>
      <c r="O56" s="4" t="str">
        <f>X56</f>
        <v>[55]</v>
      </c>
      <c r="P56" s="3">
        <f>139/1.944</f>
        <v>71.502057613168731</v>
      </c>
      <c r="Q56" s="4" t="str">
        <f>X27</f>
        <v>[26]</v>
      </c>
      <c r="R56" s="3">
        <f>'Calculation Oswald-factor'!Q56</f>
        <v>0.82796213653033823</v>
      </c>
      <c r="S56" s="3" t="e">
        <f>VLOOKUP(C56,'Oswald-factor Method 2'!B:L,11,0)</f>
        <v>#N/A</v>
      </c>
      <c r="T56" s="3">
        <f t="shared" si="4"/>
        <v>3202062.7147203614</v>
      </c>
      <c r="U56" s="3">
        <f t="shared" si="5"/>
        <v>3.2020627147203613</v>
      </c>
      <c r="X56" s="3" t="s">
        <v>354</v>
      </c>
      <c r="Y56" s="2" t="s">
        <v>353</v>
      </c>
    </row>
    <row r="57" spans="1:25" x14ac:dyDescent="0.25">
      <c r="A57" s="3">
        <v>56</v>
      </c>
      <c r="B57" s="3" t="s">
        <v>107</v>
      </c>
      <c r="C57" s="3" t="s">
        <v>108</v>
      </c>
      <c r="D57" s="3" t="s">
        <v>180</v>
      </c>
      <c r="E57" s="3">
        <v>2</v>
      </c>
      <c r="F57" s="3" t="s">
        <v>190</v>
      </c>
      <c r="G57" s="3">
        <v>2</v>
      </c>
      <c r="H57" s="3" t="s">
        <v>192</v>
      </c>
      <c r="I57" s="3">
        <v>4</v>
      </c>
      <c r="J57" s="3" t="s">
        <v>542</v>
      </c>
      <c r="K57" s="3">
        <v>3</v>
      </c>
      <c r="L57" s="3">
        <v>49895</v>
      </c>
      <c r="M57" s="4" t="str">
        <f>X56</f>
        <v>[55]</v>
      </c>
      <c r="N57" s="3">
        <v>28.88</v>
      </c>
      <c r="O57" s="4" t="str">
        <f>X56</f>
        <v>[55]</v>
      </c>
      <c r="P57" s="3">
        <f>127/1.944</f>
        <v>65.329218106995881</v>
      </c>
      <c r="Q57" s="4" t="str">
        <f>X27</f>
        <v>[26]</v>
      </c>
      <c r="R57" s="3">
        <f>'Calculation Oswald-factor'!Q57</f>
        <v>0.82796213653033823</v>
      </c>
      <c r="S57" s="3" t="e">
        <f>VLOOKUP(C57,'Oswald-factor Method 2'!B:L,11,0)</f>
        <v>#N/A</v>
      </c>
      <c r="T57" s="3">
        <f t="shared" si="4"/>
        <v>2757954.6753327982</v>
      </c>
      <c r="U57" s="3">
        <f t="shared" si="5"/>
        <v>2.7579546753327984</v>
      </c>
      <c r="X57" s="3" t="s">
        <v>359</v>
      </c>
      <c r="Y57" s="2" t="s">
        <v>355</v>
      </c>
    </row>
    <row r="58" spans="1:25" x14ac:dyDescent="0.25">
      <c r="A58" s="3">
        <v>57</v>
      </c>
      <c r="B58" s="3" t="s">
        <v>109</v>
      </c>
      <c r="C58" s="3" t="s">
        <v>110</v>
      </c>
      <c r="D58" s="3" t="s">
        <v>180</v>
      </c>
      <c r="E58" s="3">
        <v>2</v>
      </c>
      <c r="F58" s="3" t="s">
        <v>190</v>
      </c>
      <c r="G58" s="3">
        <v>2</v>
      </c>
      <c r="H58" s="3" t="s">
        <v>193</v>
      </c>
      <c r="I58" s="3">
        <v>3</v>
      </c>
      <c r="J58" s="3" t="s">
        <v>543</v>
      </c>
      <c r="K58" s="3">
        <v>2</v>
      </c>
      <c r="L58" s="3">
        <v>17237</v>
      </c>
      <c r="M58" s="4" t="str">
        <f>X81</f>
        <v>[80]</v>
      </c>
      <c r="N58" s="3">
        <v>19.600000000000001</v>
      </c>
      <c r="O58" s="4" t="str">
        <f>X81</f>
        <v>[80]</v>
      </c>
      <c r="P58" s="3">
        <f>130/1.944</f>
        <v>66.872427983539097</v>
      </c>
      <c r="Q58" s="4" t="str">
        <f>X82</f>
        <v>[81]</v>
      </c>
      <c r="R58" s="3">
        <f>'Calculation Oswald-factor'!Q58</f>
        <v>0.895554794953764</v>
      </c>
      <c r="S58" s="3" t="e">
        <f>VLOOKUP(C58,'Oswald-factor Method 2'!B:L,11,0)</f>
        <v>#N/A</v>
      </c>
      <c r="T58" s="3">
        <f t="shared" si="4"/>
        <v>645442.19092968549</v>
      </c>
      <c r="U58" s="3">
        <f t="shared" si="5"/>
        <v>0.64544219092968547</v>
      </c>
      <c r="X58" s="3" t="s">
        <v>360</v>
      </c>
      <c r="Y58" s="2" t="s">
        <v>356</v>
      </c>
    </row>
    <row r="59" spans="1:25" x14ac:dyDescent="0.25">
      <c r="A59" s="3">
        <v>58</v>
      </c>
      <c r="B59" s="3" t="s">
        <v>111</v>
      </c>
      <c r="C59" s="3" t="s">
        <v>112</v>
      </c>
      <c r="D59" s="3" t="s">
        <v>180</v>
      </c>
      <c r="E59" s="3">
        <v>2</v>
      </c>
      <c r="F59" s="3" t="s">
        <v>190</v>
      </c>
      <c r="G59" s="3">
        <v>2</v>
      </c>
      <c r="H59" s="3" t="s">
        <v>193</v>
      </c>
      <c r="I59" s="3">
        <v>3</v>
      </c>
      <c r="J59" s="3" t="s">
        <v>543</v>
      </c>
      <c r="K59" s="3">
        <v>2</v>
      </c>
      <c r="L59" s="3">
        <v>20276</v>
      </c>
      <c r="M59" s="4" t="str">
        <f>X83</f>
        <v>[82]</v>
      </c>
      <c r="N59" s="3">
        <v>21.23</v>
      </c>
      <c r="O59" s="4" t="str">
        <f>X83</f>
        <v>[82]</v>
      </c>
      <c r="P59" s="3">
        <f>135/1.944</f>
        <v>69.444444444444443</v>
      </c>
      <c r="Q59" s="4" t="str">
        <f>X84</f>
        <v>[83]</v>
      </c>
      <c r="R59" s="3">
        <f>'Calculation Oswald-factor'!Q59</f>
        <v>0.9028775381227111</v>
      </c>
      <c r="S59" s="3" t="e">
        <f>VLOOKUP(C59,'Oswald-factor Method 2'!B:L,11,0)</f>
        <v>#N/A</v>
      </c>
      <c r="T59" s="3">
        <f t="shared" si="4"/>
        <v>727082.35556765227</v>
      </c>
      <c r="U59" s="3">
        <f t="shared" si="5"/>
        <v>0.72708235556765222</v>
      </c>
      <c r="X59" s="3" t="s">
        <v>361</v>
      </c>
      <c r="Y59" s="2" t="s">
        <v>357</v>
      </c>
    </row>
    <row r="60" spans="1:25" x14ac:dyDescent="0.25">
      <c r="A60" s="3">
        <v>59</v>
      </c>
      <c r="B60" s="3" t="s">
        <v>113</v>
      </c>
      <c r="C60" s="3" t="s">
        <v>114</v>
      </c>
      <c r="D60" s="3" t="s">
        <v>180</v>
      </c>
      <c r="E60" s="3">
        <v>2</v>
      </c>
      <c r="F60" s="3" t="s">
        <v>190</v>
      </c>
      <c r="G60" s="3">
        <v>2</v>
      </c>
      <c r="H60" s="3" t="s">
        <v>193</v>
      </c>
      <c r="I60" s="3">
        <v>3</v>
      </c>
      <c r="J60" s="3" t="s">
        <v>543</v>
      </c>
      <c r="K60" s="3">
        <v>2</v>
      </c>
      <c r="L60" s="3">
        <v>21319</v>
      </c>
      <c r="M60" s="4" t="str">
        <f>X83</f>
        <v>[82]</v>
      </c>
      <c r="N60" s="3">
        <v>21.23</v>
      </c>
      <c r="O60" s="4" t="str">
        <f>X83</f>
        <v>[82]</v>
      </c>
      <c r="P60" s="3">
        <f>140/1.944</f>
        <v>72.016460905349803</v>
      </c>
      <c r="Q60" s="4" t="str">
        <f>X85</f>
        <v>[84]</v>
      </c>
      <c r="R60" s="3">
        <f>'Calculation Oswald-factor'!Q60</f>
        <v>0.9028775381227111</v>
      </c>
      <c r="S60" s="3" t="e">
        <f>VLOOKUP(C60,'Oswald-factor Method 2'!B:L,11,0)</f>
        <v>#N/A</v>
      </c>
      <c r="T60" s="3">
        <f t="shared" si="4"/>
        <v>775101.24139338185</v>
      </c>
      <c r="U60" s="3">
        <f t="shared" si="5"/>
        <v>0.77510124139338188</v>
      </c>
      <c r="X60" s="3" t="s">
        <v>362</v>
      </c>
      <c r="Y60" s="2" t="s">
        <v>358</v>
      </c>
    </row>
    <row r="61" spans="1:25" x14ac:dyDescent="0.25">
      <c r="A61" s="3">
        <v>60</v>
      </c>
      <c r="B61" s="3" t="s">
        <v>115</v>
      </c>
      <c r="C61" s="3" t="s">
        <v>116</v>
      </c>
      <c r="D61" s="3" t="s">
        <v>180</v>
      </c>
      <c r="E61" s="3">
        <v>2</v>
      </c>
      <c r="F61" s="3" t="s">
        <v>190</v>
      </c>
      <c r="G61" s="3">
        <v>2</v>
      </c>
      <c r="H61" s="3" t="s">
        <v>193</v>
      </c>
      <c r="I61" s="3">
        <v>3</v>
      </c>
      <c r="J61" s="3" t="s">
        <v>543</v>
      </c>
      <c r="K61" s="3">
        <v>2</v>
      </c>
      <c r="L61" s="3">
        <v>30391</v>
      </c>
      <c r="M61" s="4" t="str">
        <f>X86</f>
        <v>[85]</v>
      </c>
      <c r="N61" s="3">
        <v>23.25</v>
      </c>
      <c r="O61" s="4" t="str">
        <f>X86</f>
        <v>[85]</v>
      </c>
      <c r="P61" s="3">
        <f>135/1.944</f>
        <v>69.444444444444443</v>
      </c>
      <c r="Q61" s="4" t="str">
        <f>X88</f>
        <v>[87]</v>
      </c>
      <c r="R61" s="3">
        <f>'Calculation Oswald-factor'!Q61</f>
        <v>0.90231480105277595</v>
      </c>
      <c r="S61" s="3" t="e">
        <f>VLOOKUP(C61,'Oswald-factor Method 2'!B:L,11,0)</f>
        <v>#N/A</v>
      </c>
      <c r="T61" s="3">
        <f t="shared" si="4"/>
        <v>1362805.4535559954</v>
      </c>
      <c r="U61" s="3">
        <f t="shared" si="5"/>
        <v>1.3628054535559955</v>
      </c>
      <c r="X61" s="3" t="s">
        <v>364</v>
      </c>
      <c r="Y61" s="2" t="s">
        <v>363</v>
      </c>
    </row>
    <row r="62" spans="1:25" x14ac:dyDescent="0.25">
      <c r="A62" s="3">
        <v>61</v>
      </c>
      <c r="B62" s="3" t="s">
        <v>117</v>
      </c>
      <c r="C62" s="3" t="s">
        <v>118</v>
      </c>
      <c r="D62" s="3" t="s">
        <v>180</v>
      </c>
      <c r="E62" s="3">
        <v>2</v>
      </c>
      <c r="F62" s="3" t="s">
        <v>190</v>
      </c>
      <c r="G62" s="3">
        <v>2</v>
      </c>
      <c r="H62" s="3" t="s">
        <v>193</v>
      </c>
      <c r="I62" s="3">
        <v>3</v>
      </c>
      <c r="J62" s="3" t="s">
        <v>543</v>
      </c>
      <c r="K62" s="3">
        <v>2</v>
      </c>
      <c r="L62" s="3">
        <v>33340</v>
      </c>
      <c r="M62" s="4" t="str">
        <f>X87</f>
        <v>[86]</v>
      </c>
      <c r="N62" s="3">
        <v>23.24</v>
      </c>
      <c r="O62" s="4" t="str">
        <f>X87</f>
        <v>[86]</v>
      </c>
      <c r="P62" s="3">
        <f>135/1.944</f>
        <v>69.444444444444443</v>
      </c>
      <c r="Q62" s="4" t="str">
        <f>X89</f>
        <v>[88]</v>
      </c>
      <c r="R62" s="3">
        <f>'Calculation Oswald-factor'!Q62</f>
        <v>0.90299564572298319</v>
      </c>
      <c r="S62" s="3" t="e">
        <f>VLOOKUP(C62,'Oswald-factor Method 2'!B:L,11,0)</f>
        <v>#N/A</v>
      </c>
      <c r="T62" s="3">
        <f t="shared" si="4"/>
        <v>1640291.9930647507</v>
      </c>
      <c r="U62" s="3">
        <f t="shared" si="5"/>
        <v>1.6402919930647506</v>
      </c>
      <c r="X62" s="3" t="s">
        <v>366</v>
      </c>
      <c r="Y62" s="2" t="s">
        <v>365</v>
      </c>
    </row>
    <row r="63" spans="1:25" x14ac:dyDescent="0.25">
      <c r="A63" s="3">
        <v>62</v>
      </c>
      <c r="B63" s="3" t="s">
        <v>119</v>
      </c>
      <c r="C63" s="3" t="s">
        <v>215</v>
      </c>
      <c r="D63" s="3" t="s">
        <v>180</v>
      </c>
      <c r="E63" s="3">
        <v>2</v>
      </c>
      <c r="F63" s="3" t="s">
        <v>190</v>
      </c>
      <c r="G63" s="3">
        <v>2</v>
      </c>
      <c r="H63" s="3" t="s">
        <v>192</v>
      </c>
      <c r="I63" s="3">
        <v>4</v>
      </c>
      <c r="J63" s="3" t="s">
        <v>543</v>
      </c>
      <c r="K63" s="3">
        <v>2</v>
      </c>
      <c r="L63" s="3">
        <v>28123</v>
      </c>
      <c r="M63" s="4" t="str">
        <f>X90</f>
        <v>[89]</v>
      </c>
      <c r="N63" s="3">
        <v>28.4</v>
      </c>
      <c r="O63" s="4" t="str">
        <f>X90</f>
        <v>[89]</v>
      </c>
      <c r="P63" s="3">
        <f>121/1.944</f>
        <v>62.242798353909464</v>
      </c>
      <c r="Q63" s="4" t="str">
        <f>X91</f>
        <v>[90]</v>
      </c>
      <c r="R63" s="3">
        <f>'Calculation Oswald-factor'!Q63</f>
        <v>0.76802715640969943</v>
      </c>
      <c r="S63" s="3" t="e">
        <f>VLOOKUP(C63,'Oswald-factor Method 2'!B:L,11,0)</f>
        <v>#N/A</v>
      </c>
      <c r="T63" s="3">
        <f t="shared" si="4"/>
        <v>1025194.607045477</v>
      </c>
      <c r="U63" s="3">
        <f t="shared" si="5"/>
        <v>1.0251946070454769</v>
      </c>
      <c r="X63" s="3" t="s">
        <v>368</v>
      </c>
      <c r="Y63" s="2" t="s">
        <v>367</v>
      </c>
    </row>
    <row r="64" spans="1:25" x14ac:dyDescent="0.25">
      <c r="A64" s="3">
        <v>63</v>
      </c>
      <c r="B64" s="3" t="s">
        <v>121</v>
      </c>
      <c r="C64" s="3" t="s">
        <v>122</v>
      </c>
      <c r="D64" s="3" t="s">
        <v>180</v>
      </c>
      <c r="E64" s="3">
        <v>2</v>
      </c>
      <c r="F64" s="3" t="s">
        <v>190</v>
      </c>
      <c r="G64" s="3">
        <v>2</v>
      </c>
      <c r="H64" s="3" t="s">
        <v>193</v>
      </c>
      <c r="I64" s="3">
        <v>3</v>
      </c>
      <c r="J64" s="3" t="s">
        <v>543</v>
      </c>
      <c r="K64" s="3">
        <v>2</v>
      </c>
      <c r="L64" s="3">
        <v>18500</v>
      </c>
      <c r="M64" s="4" t="str">
        <f>X92</f>
        <v>[91]</v>
      </c>
      <c r="N64" s="3">
        <v>20.04</v>
      </c>
      <c r="O64" s="4" t="str">
        <f>X92</f>
        <v>[91]</v>
      </c>
      <c r="P64" s="3">
        <f>130/1.944</f>
        <v>66.872427983539097</v>
      </c>
      <c r="Q64" s="4" t="str">
        <f>X93</f>
        <v>[92]</v>
      </c>
      <c r="R64" s="3">
        <f>'Calculation Oswald-factor'!Q64</f>
        <v>0.83754169825563729</v>
      </c>
      <c r="S64" s="3" t="e">
        <f>VLOOKUP(C64,'Oswald-factor Method 2'!B:L,11,0)</f>
        <v>#N/A</v>
      </c>
      <c r="T64" s="3">
        <f t="shared" si="4"/>
        <v>760466.13328146341</v>
      </c>
      <c r="U64" s="3">
        <f t="shared" si="5"/>
        <v>0.7604661332814634</v>
      </c>
      <c r="X64" s="3" t="s">
        <v>369</v>
      </c>
      <c r="Y64" s="2" t="s">
        <v>376</v>
      </c>
    </row>
    <row r="65" spans="1:25" x14ac:dyDescent="0.25">
      <c r="A65" s="3">
        <v>64</v>
      </c>
      <c r="B65" s="3" t="s">
        <v>123</v>
      </c>
      <c r="C65" s="3" t="s">
        <v>124</v>
      </c>
      <c r="D65" s="3" t="s">
        <v>180</v>
      </c>
      <c r="E65" s="3">
        <v>2</v>
      </c>
      <c r="F65" s="3" t="s">
        <v>190</v>
      </c>
      <c r="G65" s="3">
        <v>2</v>
      </c>
      <c r="H65" s="3" t="s">
        <v>193</v>
      </c>
      <c r="I65" s="3">
        <v>3</v>
      </c>
      <c r="J65" s="3" t="s">
        <v>543</v>
      </c>
      <c r="K65" s="3">
        <v>2</v>
      </c>
      <c r="L65" s="3">
        <v>18700</v>
      </c>
      <c r="M65" s="4" t="str">
        <f>X92</f>
        <v>[91]</v>
      </c>
      <c r="N65" s="3">
        <v>20.04</v>
      </c>
      <c r="O65" s="4" t="str">
        <f>X92</f>
        <v>[91]</v>
      </c>
      <c r="P65" s="3">
        <f>135/1.944</f>
        <v>69.444444444444443</v>
      </c>
      <c r="Q65" s="4" t="str">
        <f>X94</f>
        <v>[93]</v>
      </c>
      <c r="R65" s="3">
        <f>'Calculation Oswald-factor'!Q65</f>
        <v>0.83777278567390823</v>
      </c>
      <c r="S65" s="3" t="e">
        <f>VLOOKUP(C65,'Oswald-factor Method 2'!B:L,11,0)</f>
        <v>#N/A</v>
      </c>
      <c r="T65" s="3">
        <f t="shared" si="4"/>
        <v>748013.45114095521</v>
      </c>
      <c r="U65" s="3">
        <f t="shared" si="5"/>
        <v>0.74801345114095519</v>
      </c>
      <c r="X65" s="3" t="s">
        <v>370</v>
      </c>
      <c r="Y65" s="2" t="s">
        <v>377</v>
      </c>
    </row>
    <row r="66" spans="1:25" x14ac:dyDescent="0.25">
      <c r="A66" s="3">
        <v>65</v>
      </c>
      <c r="B66" s="3" t="s">
        <v>125</v>
      </c>
      <c r="C66" s="3" t="s">
        <v>126</v>
      </c>
      <c r="D66" s="3" t="s">
        <v>180</v>
      </c>
      <c r="E66" s="3">
        <v>2</v>
      </c>
      <c r="F66" s="3" t="s">
        <v>190</v>
      </c>
      <c r="G66" s="3">
        <v>2</v>
      </c>
      <c r="H66" s="3" t="s">
        <v>193</v>
      </c>
      <c r="I66" s="3">
        <v>3</v>
      </c>
      <c r="J66" s="3" t="s">
        <v>543</v>
      </c>
      <c r="K66" s="3">
        <v>2</v>
      </c>
      <c r="L66" s="3">
        <v>33300</v>
      </c>
      <c r="M66" s="4" t="str">
        <f>X95</f>
        <v>[94]</v>
      </c>
      <c r="N66" s="3">
        <v>26</v>
      </c>
      <c r="O66" s="4" t="str">
        <f>X96</f>
        <v>[95]</v>
      </c>
      <c r="P66" s="3">
        <f>130/1.944</f>
        <v>66.872427983539097</v>
      </c>
      <c r="Q66" s="4" t="str">
        <f>X97</f>
        <v>[96]</v>
      </c>
      <c r="R66" s="3">
        <f>'Calculation Oswald-factor'!Q66</f>
        <v>0.92672479407324004</v>
      </c>
      <c r="S66" s="3" t="e">
        <f>VLOOKUP(C66,'Oswald-factor Method 2'!B:L,11,0)</f>
        <v>#N/A</v>
      </c>
      <c r="T66" s="3">
        <f t="shared" ref="T66:T90" si="6">((2*$B$97^2)/PI())*(1/(N66^2*R66))*(L66^2/($B$96*P66))</f>
        <v>1322906.9018717858</v>
      </c>
      <c r="U66" s="3">
        <f t="shared" ref="U66:U90" si="7">T66/1000000</f>
        <v>1.3229069018717858</v>
      </c>
      <c r="X66" s="3" t="s">
        <v>371</v>
      </c>
      <c r="Y66" s="2" t="s">
        <v>378</v>
      </c>
    </row>
    <row r="67" spans="1:25" x14ac:dyDescent="0.25">
      <c r="A67" s="3">
        <v>66</v>
      </c>
      <c r="B67" s="3" t="s">
        <v>127</v>
      </c>
      <c r="C67" s="3" t="s">
        <v>128</v>
      </c>
      <c r="D67" s="3" t="s">
        <v>180</v>
      </c>
      <c r="E67" s="3">
        <v>2</v>
      </c>
      <c r="F67" s="3" t="s">
        <v>190</v>
      </c>
      <c r="G67" s="3">
        <v>2</v>
      </c>
      <c r="H67" s="3" t="s">
        <v>152</v>
      </c>
      <c r="J67" s="3" t="s">
        <v>543</v>
      </c>
      <c r="K67" s="3">
        <v>2</v>
      </c>
      <c r="L67" s="3">
        <v>34000</v>
      </c>
      <c r="M67" s="4" t="str">
        <f>X98</f>
        <v>[97]</v>
      </c>
      <c r="N67" s="3">
        <v>26</v>
      </c>
      <c r="O67" s="4" t="str">
        <f>X98</f>
        <v>[97]</v>
      </c>
      <c r="P67" s="3">
        <f>130/1.944</f>
        <v>66.872427983539097</v>
      </c>
      <c r="Q67" s="4" t="str">
        <f>X97</f>
        <v>[96]</v>
      </c>
      <c r="R67" s="3">
        <f>'Calculation Oswald-factor'!Q67</f>
        <v>0.92672479407324004</v>
      </c>
      <c r="S67" s="3" t="e">
        <f>VLOOKUP(C67,'Oswald-factor Method 2'!B:L,11,0)</f>
        <v>#N/A</v>
      </c>
      <c r="T67" s="3">
        <f t="shared" si="6"/>
        <v>1379109.1799581423</v>
      </c>
      <c r="U67" s="3">
        <f t="shared" si="7"/>
        <v>1.3791091799581423</v>
      </c>
      <c r="X67" s="3" t="s">
        <v>372</v>
      </c>
      <c r="Y67" s="2" t="s">
        <v>379</v>
      </c>
    </row>
    <row r="68" spans="1:25" x14ac:dyDescent="0.25">
      <c r="A68" s="3">
        <v>67</v>
      </c>
      <c r="B68" s="3" t="s">
        <v>129</v>
      </c>
      <c r="C68" s="3" t="s">
        <v>130</v>
      </c>
      <c r="D68" s="3" t="s">
        <v>180</v>
      </c>
      <c r="E68" s="3">
        <v>2</v>
      </c>
      <c r="F68" s="3" t="s">
        <v>190</v>
      </c>
      <c r="G68" s="3">
        <v>2</v>
      </c>
      <c r="H68" s="3" t="s">
        <v>192</v>
      </c>
      <c r="I68" s="3">
        <v>4</v>
      </c>
      <c r="J68" s="3" t="s">
        <v>542</v>
      </c>
      <c r="K68" s="3">
        <v>3</v>
      </c>
      <c r="L68" s="3">
        <v>44000</v>
      </c>
      <c r="M68" s="4" t="str">
        <f>X99</f>
        <v>[98]</v>
      </c>
      <c r="N68" s="3">
        <v>28.72</v>
      </c>
      <c r="O68" s="4" t="str">
        <f>X99</f>
        <v>[98]</v>
      </c>
      <c r="P68" s="3">
        <f>131/1.944</f>
        <v>67.386831275720169</v>
      </c>
      <c r="Q68" s="4" t="str">
        <f>X100</f>
        <v>[99]</v>
      </c>
      <c r="R68" s="3">
        <f>'Calculation Oswald-factor'!Q68</f>
        <v>0.92340046034380541</v>
      </c>
      <c r="S68" s="3" t="e">
        <f>VLOOKUP(C68,'Oswald-factor Method 2'!B:L,11,0)</f>
        <v>#N/A</v>
      </c>
      <c r="T68" s="3">
        <f t="shared" si="6"/>
        <v>1885197.0238319542</v>
      </c>
      <c r="U68" s="3">
        <f t="shared" si="7"/>
        <v>1.8851970238319542</v>
      </c>
      <c r="X68" s="3" t="s">
        <v>373</v>
      </c>
      <c r="Y68" s="2" t="s">
        <v>380</v>
      </c>
    </row>
    <row r="69" spans="1:25" x14ac:dyDescent="0.25">
      <c r="A69" s="3">
        <v>68</v>
      </c>
      <c r="B69" s="3" t="s">
        <v>131</v>
      </c>
      <c r="C69" s="3" t="s">
        <v>132</v>
      </c>
      <c r="D69" s="3" t="s">
        <v>180</v>
      </c>
      <c r="E69" s="3">
        <v>2</v>
      </c>
      <c r="F69" s="3" t="s">
        <v>190</v>
      </c>
      <c r="G69" s="3">
        <v>2</v>
      </c>
      <c r="H69" s="3" t="s">
        <v>152</v>
      </c>
      <c r="J69" s="3" t="s">
        <v>542</v>
      </c>
      <c r="K69" s="3">
        <v>3</v>
      </c>
      <c r="L69" s="3">
        <v>45800</v>
      </c>
      <c r="M69" s="4" t="str">
        <f>X101</f>
        <v>[100]</v>
      </c>
      <c r="N69" s="3">
        <v>28.72</v>
      </c>
      <c r="O69" s="4" t="str">
        <f>X101</f>
        <v>[100]</v>
      </c>
      <c r="P69" s="3">
        <f>135/1.944</f>
        <v>69.444444444444443</v>
      </c>
      <c r="Q69" s="4" t="str">
        <f>X102</f>
        <v>[101]</v>
      </c>
      <c r="R69" s="3">
        <f>'Calculation Oswald-factor'!Q69</f>
        <v>0.92375164640941254</v>
      </c>
      <c r="S69" s="3" t="e">
        <f>VLOOKUP(C69,'Oswald-factor Method 2'!B:L,11,0)</f>
        <v>#N/A</v>
      </c>
      <c r="T69" s="3">
        <f t="shared" si="6"/>
        <v>1981320.5177471717</v>
      </c>
      <c r="U69" s="3">
        <f t="shared" si="7"/>
        <v>1.9813205177471718</v>
      </c>
      <c r="X69" s="3" t="s">
        <v>374</v>
      </c>
      <c r="Y69" s="2" t="s">
        <v>381</v>
      </c>
    </row>
    <row r="70" spans="1:25" x14ac:dyDescent="0.25">
      <c r="A70" s="3">
        <v>69</v>
      </c>
      <c r="B70" s="3" t="s">
        <v>133</v>
      </c>
      <c r="C70" s="3" t="s">
        <v>134</v>
      </c>
      <c r="D70" s="3" t="s">
        <v>180</v>
      </c>
      <c r="E70" s="3">
        <v>2</v>
      </c>
      <c r="F70" s="3" t="s">
        <v>190</v>
      </c>
      <c r="G70" s="3">
        <v>2</v>
      </c>
      <c r="H70" s="3" t="s">
        <v>152</v>
      </c>
      <c r="J70" s="3" t="s">
        <v>542</v>
      </c>
      <c r="K70" s="3">
        <v>3</v>
      </c>
      <c r="L70" s="3">
        <v>34020</v>
      </c>
      <c r="M70" s="4" t="str">
        <f>X103</f>
        <v>[102]</v>
      </c>
      <c r="N70" s="3">
        <v>28.076000000000001</v>
      </c>
      <c r="O70" s="4" t="str">
        <f>X103</f>
        <v>[102]</v>
      </c>
      <c r="P70" s="3">
        <f>129/1.944</f>
        <v>66.358024691358025</v>
      </c>
      <c r="Q70" s="4" t="str">
        <f>X104</f>
        <v>[103]</v>
      </c>
      <c r="R70" s="3">
        <f>'Calculation Oswald-factor'!Q70</f>
        <v>0.8357317617937029</v>
      </c>
      <c r="S70" s="3" t="e">
        <f>VLOOKUP(C70,'Oswald-factor Method 2'!B:L,11,0)</f>
        <v>#N/A</v>
      </c>
      <c r="T70" s="3">
        <f t="shared" si="6"/>
        <v>1323192.9523163019</v>
      </c>
      <c r="U70" s="3">
        <f t="shared" si="7"/>
        <v>1.323192952316302</v>
      </c>
      <c r="X70" s="3" t="s">
        <v>375</v>
      </c>
      <c r="Y70" s="2" t="s">
        <v>382</v>
      </c>
    </row>
    <row r="71" spans="1:25" x14ac:dyDescent="0.25">
      <c r="A71" s="3">
        <v>70</v>
      </c>
      <c r="B71" s="3" t="s">
        <v>135</v>
      </c>
      <c r="C71" s="3" t="s">
        <v>136</v>
      </c>
      <c r="D71" s="3" t="s">
        <v>180</v>
      </c>
      <c r="E71" s="3">
        <v>2</v>
      </c>
      <c r="F71" s="3" t="s">
        <v>190</v>
      </c>
      <c r="G71" s="3">
        <v>2</v>
      </c>
      <c r="H71" s="3" t="s">
        <v>152</v>
      </c>
      <c r="J71" s="3" t="s">
        <v>542</v>
      </c>
      <c r="K71" s="3">
        <v>3</v>
      </c>
      <c r="L71" s="3">
        <v>38780</v>
      </c>
      <c r="M71" s="4" t="str">
        <f>X103</f>
        <v>[102]</v>
      </c>
      <c r="N71" s="3">
        <v>28.076000000000001</v>
      </c>
      <c r="O71" s="4" t="str">
        <f>X103</f>
        <v>[102]</v>
      </c>
      <c r="P71" s="3">
        <f>129/1.944</f>
        <v>66.358024691358025</v>
      </c>
      <c r="Q71" s="4" t="str">
        <f>X104</f>
        <v>[103]</v>
      </c>
      <c r="R71" s="3">
        <f>'Calculation Oswald-factor'!Q71</f>
        <v>0.8357317617937029</v>
      </c>
      <c r="S71" s="3">
        <f>VLOOKUP(C71,'Oswald-factor Method 2'!B:L,11,0)</f>
        <v>0.81144799223610797</v>
      </c>
      <c r="T71" s="3">
        <f t="shared" si="6"/>
        <v>1719373.2669186189</v>
      </c>
      <c r="U71" s="3">
        <f t="shared" si="7"/>
        <v>1.719373266918619</v>
      </c>
      <c r="V71" s="3">
        <f t="shared" ref="V71" si="8">(((2*$B$97^2)/PI())*(1/(N71^2*S71))*(L71^2/($B$96*P71)))/1000000</f>
        <v>1.7708280300048918</v>
      </c>
      <c r="W71" s="3">
        <f t="shared" ref="W71" si="9">((V71-U71)/V71)*100</f>
        <v>2.9056894410085987</v>
      </c>
      <c r="X71" s="3" t="s">
        <v>385</v>
      </c>
      <c r="Y71" s="2" t="s">
        <v>384</v>
      </c>
    </row>
    <row r="72" spans="1:25" x14ac:dyDescent="0.25">
      <c r="A72" s="3">
        <v>71</v>
      </c>
      <c r="B72" s="3" t="s">
        <v>137</v>
      </c>
      <c r="C72" s="3" t="s">
        <v>138</v>
      </c>
      <c r="D72" s="3" t="s">
        <v>180</v>
      </c>
      <c r="E72" s="3">
        <v>2</v>
      </c>
      <c r="F72" s="3" t="s">
        <v>190</v>
      </c>
      <c r="G72" s="3">
        <v>2</v>
      </c>
      <c r="H72" s="3" t="s">
        <v>193</v>
      </c>
      <c r="I72" s="3">
        <v>3</v>
      </c>
      <c r="J72" s="3" t="s">
        <v>543</v>
      </c>
      <c r="K72" s="3">
        <v>2</v>
      </c>
      <c r="L72" s="3">
        <v>26535</v>
      </c>
      <c r="M72" s="4" t="str">
        <f>X105</f>
        <v>[104]</v>
      </c>
      <c r="N72" s="3">
        <v>23.7</v>
      </c>
      <c r="O72" s="4" t="str">
        <f>X105</f>
        <v>[104]</v>
      </c>
      <c r="P72" s="3">
        <f>140/1.944</f>
        <v>72.016460905349803</v>
      </c>
      <c r="Q72" s="4" t="str">
        <f>X106</f>
        <v>[105]</v>
      </c>
      <c r="R72" s="3">
        <f>'Calculation Oswald-factor'!Q72</f>
        <v>0.93444367331680933</v>
      </c>
      <c r="S72" s="3" t="e">
        <f>VLOOKUP(C72,'Oswald-factor Method 2'!B:L,11,0)</f>
        <v>#N/A</v>
      </c>
      <c r="T72" s="3">
        <f t="shared" si="6"/>
        <v>930983.47923699324</v>
      </c>
      <c r="U72" s="3">
        <f t="shared" si="7"/>
        <v>0.93098347923699321</v>
      </c>
      <c r="X72" s="3" t="s">
        <v>387</v>
      </c>
      <c r="Y72" s="2" t="s">
        <v>386</v>
      </c>
    </row>
    <row r="73" spans="1:25" x14ac:dyDescent="0.25">
      <c r="A73" s="3">
        <v>72</v>
      </c>
      <c r="B73" s="3" t="s">
        <v>139</v>
      </c>
      <c r="C73" s="3" t="s">
        <v>140</v>
      </c>
      <c r="D73" s="3" t="s">
        <v>180</v>
      </c>
      <c r="E73" s="3">
        <v>2</v>
      </c>
      <c r="F73" s="3" t="s">
        <v>190</v>
      </c>
      <c r="G73" s="3">
        <v>2</v>
      </c>
      <c r="H73" s="3" t="s">
        <v>152</v>
      </c>
      <c r="J73" s="3" t="s">
        <v>542</v>
      </c>
      <c r="K73" s="3">
        <v>3</v>
      </c>
      <c r="L73" s="3">
        <v>38555</v>
      </c>
      <c r="M73" s="4" t="str">
        <f>X103</f>
        <v>[102]</v>
      </c>
      <c r="N73" s="3">
        <v>26.21</v>
      </c>
      <c r="O73" s="4" t="str">
        <f>X103</f>
        <v>[102]</v>
      </c>
      <c r="P73" s="3">
        <f>125/1.944</f>
        <v>64.300411522633752</v>
      </c>
      <c r="Q73" s="4" t="str">
        <f>X107</f>
        <v>[106]</v>
      </c>
      <c r="R73" s="3">
        <f>'Calculation Oswald-factor'!Q73</f>
        <v>0.8158025830424972</v>
      </c>
      <c r="S73" s="3" t="e">
        <f>VLOOKUP(C73,'Oswald-factor Method 2'!B:L,11,0)</f>
        <v>#N/A</v>
      </c>
      <c r="T73" s="3">
        <f t="shared" si="6"/>
        <v>2061645.213005427</v>
      </c>
      <c r="U73" s="3">
        <f t="shared" si="7"/>
        <v>2.061645213005427</v>
      </c>
      <c r="X73" s="3" t="s">
        <v>388</v>
      </c>
      <c r="Y73" s="2" t="s">
        <v>389</v>
      </c>
    </row>
    <row r="74" spans="1:25" x14ac:dyDescent="0.25">
      <c r="A74" s="3">
        <v>73</v>
      </c>
      <c r="B74" s="3" t="s">
        <v>141</v>
      </c>
      <c r="C74" s="3" t="s">
        <v>142</v>
      </c>
      <c r="D74" s="3" t="s">
        <v>180</v>
      </c>
      <c r="E74" s="3">
        <v>2</v>
      </c>
      <c r="F74" s="3" t="s">
        <v>190</v>
      </c>
      <c r="G74" s="3">
        <v>2</v>
      </c>
      <c r="H74" s="3" t="s">
        <v>152</v>
      </c>
      <c r="J74" s="3" t="s">
        <v>542</v>
      </c>
      <c r="K74" s="3">
        <v>3</v>
      </c>
      <c r="L74" s="3">
        <v>40143</v>
      </c>
      <c r="M74" s="4" t="str">
        <f>X103</f>
        <v>[102]</v>
      </c>
      <c r="N74" s="3">
        <v>26.21</v>
      </c>
      <c r="O74" s="4" t="str">
        <f>X103</f>
        <v>[102]</v>
      </c>
      <c r="P74" s="3">
        <f>125/1.944</f>
        <v>64.300411522633752</v>
      </c>
      <c r="Q74" s="4" t="str">
        <f>X108</f>
        <v>[107]</v>
      </c>
      <c r="R74" s="3">
        <f>'Calculation Oswald-factor'!Q74</f>
        <v>0.8158025830424972</v>
      </c>
      <c r="S74" s="3" t="e">
        <f>VLOOKUP(C74,'Oswald-factor Method 2'!B:L,11,0)</f>
        <v>#N/A</v>
      </c>
      <c r="T74" s="3">
        <f t="shared" si="6"/>
        <v>2234972.4079535902</v>
      </c>
      <c r="U74" s="3">
        <f t="shared" si="7"/>
        <v>2.23497240795359</v>
      </c>
      <c r="X74" s="3" t="s">
        <v>391</v>
      </c>
      <c r="Y74" s="2" t="s">
        <v>390</v>
      </c>
    </row>
    <row r="75" spans="1:25" x14ac:dyDescent="0.25">
      <c r="A75" s="3">
        <v>74</v>
      </c>
      <c r="B75" s="3" t="s">
        <v>143</v>
      </c>
      <c r="C75" s="3" t="s">
        <v>144</v>
      </c>
      <c r="D75" s="3" t="s">
        <v>181</v>
      </c>
      <c r="E75" s="3">
        <v>1</v>
      </c>
      <c r="F75" s="3" t="s">
        <v>190</v>
      </c>
      <c r="G75" s="3">
        <v>2</v>
      </c>
      <c r="H75" s="3" t="s">
        <v>152</v>
      </c>
      <c r="J75" s="3" t="s">
        <v>194</v>
      </c>
      <c r="K75" s="3">
        <v>1</v>
      </c>
      <c r="L75" s="3">
        <v>8000</v>
      </c>
      <c r="M75" s="4" t="str">
        <f>X109</f>
        <v>[108]</v>
      </c>
      <c r="N75" s="3">
        <v>13.08</v>
      </c>
      <c r="O75" s="4" t="str">
        <f>X109</f>
        <v>[108]</v>
      </c>
      <c r="P75" s="3">
        <f>110/1.944</f>
        <v>56.584362139917694</v>
      </c>
      <c r="Q75" s="4" t="str">
        <f>X110</f>
        <v>[109]</v>
      </c>
      <c r="R75" s="3">
        <f>'Calculation Oswald-factor'!Q75</f>
        <v>0.8252750922306924</v>
      </c>
      <c r="S75" s="3" t="e">
        <f>VLOOKUP(C75,'Oswald-factor Method 2'!B:L,11,0)</f>
        <v>#N/A</v>
      </c>
      <c r="T75" s="3">
        <f t="shared" si="6"/>
        <v>400363.71373720519</v>
      </c>
      <c r="U75" s="3">
        <f t="shared" si="7"/>
        <v>0.4003637137372052</v>
      </c>
      <c r="X75" s="3" t="s">
        <v>393</v>
      </c>
      <c r="Y75" s="2" t="s">
        <v>392</v>
      </c>
    </row>
    <row r="76" spans="1:25" x14ac:dyDescent="0.25">
      <c r="A76" s="3">
        <v>75</v>
      </c>
      <c r="B76" s="3" t="s">
        <v>145</v>
      </c>
      <c r="C76" s="3" t="s">
        <v>146</v>
      </c>
      <c r="D76" s="3" t="s">
        <v>181</v>
      </c>
      <c r="E76" s="3">
        <v>1</v>
      </c>
      <c r="F76" s="3" t="s">
        <v>190</v>
      </c>
      <c r="G76" s="3">
        <v>2</v>
      </c>
      <c r="H76" s="3" t="s">
        <v>152</v>
      </c>
      <c r="J76" s="3" t="s">
        <v>194</v>
      </c>
      <c r="K76" s="3">
        <v>1</v>
      </c>
      <c r="L76" s="3">
        <v>12580</v>
      </c>
      <c r="M76" s="4" t="str">
        <f>X111</f>
        <v>[110]</v>
      </c>
      <c r="N76" s="3">
        <v>15.4</v>
      </c>
      <c r="O76" s="4" t="str">
        <f>X111</f>
        <v>[110]</v>
      </c>
      <c r="P76" s="3">
        <f>110/1.944</f>
        <v>56.584362139917694</v>
      </c>
      <c r="Q76" s="4" t="str">
        <f>X112</f>
        <v>[111]</v>
      </c>
      <c r="R76" s="3">
        <f>'Calculation Oswald-factor'!Q76</f>
        <v>0.81623562169402264</v>
      </c>
      <c r="S76" s="3" t="e">
        <f>VLOOKUP(C76,'Oswald-factor Method 2'!B:L,11,0)</f>
        <v>#N/A</v>
      </c>
      <c r="T76" s="3">
        <f t="shared" si="6"/>
        <v>722093.20346228848</v>
      </c>
      <c r="U76" s="3">
        <f t="shared" si="7"/>
        <v>0.72209320346228845</v>
      </c>
      <c r="X76" s="3" t="s">
        <v>395</v>
      </c>
      <c r="Y76" s="2" t="s">
        <v>394</v>
      </c>
    </row>
    <row r="77" spans="1:25" x14ac:dyDescent="0.25">
      <c r="A77" s="3">
        <v>76</v>
      </c>
      <c r="B77" s="3" t="s">
        <v>147</v>
      </c>
      <c r="C77" s="3" t="s">
        <v>148</v>
      </c>
      <c r="D77" s="3" t="s">
        <v>181</v>
      </c>
      <c r="E77" s="3">
        <v>1</v>
      </c>
      <c r="F77" s="3" t="s">
        <v>190</v>
      </c>
      <c r="G77" s="3">
        <v>2</v>
      </c>
      <c r="H77" s="3" t="s">
        <v>152</v>
      </c>
      <c r="J77" s="3" t="s">
        <v>194</v>
      </c>
      <c r="K77" s="3">
        <v>1</v>
      </c>
      <c r="L77" s="3">
        <v>14390</v>
      </c>
      <c r="M77" s="4" t="str">
        <f>X113</f>
        <v>[112]</v>
      </c>
      <c r="N77" s="3">
        <v>20.98</v>
      </c>
      <c r="O77" s="4" t="str">
        <f>X113</f>
        <v>[112]</v>
      </c>
      <c r="P77" s="3">
        <f>110/1.944</f>
        <v>56.584362139917694</v>
      </c>
      <c r="Q77" s="4" t="str">
        <f>X114</f>
        <v>[113]</v>
      </c>
      <c r="R77" s="3">
        <f>'Calculation Oswald-factor'!Q77</f>
        <v>0.75181400824150224</v>
      </c>
      <c r="S77" s="3" t="e">
        <f>VLOOKUP(C77,'Oswald-factor Method 2'!B:L,11,0)</f>
        <v>#N/A</v>
      </c>
      <c r="T77" s="3">
        <f t="shared" si="6"/>
        <v>552699.62196074997</v>
      </c>
      <c r="U77" s="3">
        <f t="shared" si="7"/>
        <v>0.55269962196074995</v>
      </c>
      <c r="X77" s="3" t="s">
        <v>397</v>
      </c>
      <c r="Y77" s="2" t="s">
        <v>396</v>
      </c>
    </row>
    <row r="78" spans="1:25" x14ac:dyDescent="0.25">
      <c r="A78" s="3">
        <v>77</v>
      </c>
      <c r="B78" s="3" t="s">
        <v>149</v>
      </c>
      <c r="C78" s="3" t="s">
        <v>150</v>
      </c>
      <c r="D78" s="3" t="s">
        <v>181</v>
      </c>
      <c r="E78" s="3">
        <v>1</v>
      </c>
      <c r="F78" s="3" t="s">
        <v>190</v>
      </c>
      <c r="G78" s="3">
        <v>2</v>
      </c>
      <c r="H78" s="3" t="s">
        <v>186</v>
      </c>
      <c r="I78" s="3">
        <v>2</v>
      </c>
      <c r="J78" s="3" t="s">
        <v>194</v>
      </c>
      <c r="K78" s="3">
        <v>1</v>
      </c>
      <c r="L78" s="3">
        <v>11700</v>
      </c>
      <c r="M78" s="4" t="str">
        <f>X115</f>
        <v>[114]</v>
      </c>
      <c r="N78" s="3">
        <v>19.78</v>
      </c>
      <c r="O78" s="4" t="str">
        <f>X115</f>
        <v>[114]</v>
      </c>
      <c r="P78" s="3">
        <f>126/1.944</f>
        <v>64.81481481481481</v>
      </c>
      <c r="Q78" s="4" t="str">
        <f>X116</f>
        <v>[115]</v>
      </c>
      <c r="R78" s="3">
        <f>'Calculation Oswald-factor'!Q78</f>
        <v>0.76211101796024927</v>
      </c>
      <c r="S78" s="3" t="e">
        <f>VLOOKUP(C78,'Oswald-factor Method 2'!B:L,11,0)</f>
        <v>#N/A</v>
      </c>
      <c r="T78" s="3">
        <f t="shared" si="6"/>
        <v>354007.13029482553</v>
      </c>
      <c r="U78" s="3">
        <f t="shared" si="7"/>
        <v>0.35400713029482556</v>
      </c>
      <c r="X78" s="3" t="s">
        <v>399</v>
      </c>
      <c r="Y78" s="2" t="s">
        <v>398</v>
      </c>
    </row>
    <row r="79" spans="1:25" ht="14.1" customHeight="1" x14ac:dyDescent="0.25">
      <c r="A79" s="3">
        <v>78</v>
      </c>
      <c r="B79" s="3" t="s">
        <v>151</v>
      </c>
      <c r="C79" s="3" t="s">
        <v>216</v>
      </c>
      <c r="D79" s="3" t="s">
        <v>181</v>
      </c>
      <c r="E79" s="3">
        <v>1</v>
      </c>
      <c r="F79" s="3" t="s">
        <v>190</v>
      </c>
      <c r="G79" s="3">
        <v>2</v>
      </c>
      <c r="H79" s="3" t="s">
        <v>186</v>
      </c>
      <c r="I79" s="3">
        <v>2</v>
      </c>
      <c r="J79" s="3" t="s">
        <v>194</v>
      </c>
      <c r="K79" s="3">
        <v>1</v>
      </c>
      <c r="L79" s="3">
        <v>7120</v>
      </c>
      <c r="M79" s="4" t="str">
        <f>X117</f>
        <v>[116]</v>
      </c>
      <c r="N79" s="3">
        <v>13.3</v>
      </c>
      <c r="O79" s="4" t="str">
        <f>X117</f>
        <v>[116]</v>
      </c>
      <c r="P79" s="3">
        <f>120/1.944</f>
        <v>61.728395061728399</v>
      </c>
      <c r="Q79" s="4" t="str">
        <f>X118</f>
        <v>[117]</v>
      </c>
      <c r="R79" s="3">
        <f>'Calculation Oswald-factor'!Q79</f>
        <v>0.81639261594304868</v>
      </c>
      <c r="S79" s="3" t="e">
        <f>VLOOKUP(C79,'Oswald-factor Method 2'!B:L,11,0)</f>
        <v>#N/A</v>
      </c>
      <c r="T79" s="3">
        <f t="shared" si="6"/>
        <v>284222.22655498609</v>
      </c>
      <c r="U79" s="3">
        <f t="shared" si="7"/>
        <v>0.28422222655498608</v>
      </c>
      <c r="X79" s="3" t="s">
        <v>402</v>
      </c>
      <c r="Y79" s="2" t="s">
        <v>401</v>
      </c>
    </row>
    <row r="80" spans="1:25" x14ac:dyDescent="0.25">
      <c r="A80" s="3">
        <v>79</v>
      </c>
      <c r="B80" s="3" t="s">
        <v>153</v>
      </c>
      <c r="C80" s="3" t="s">
        <v>154</v>
      </c>
      <c r="D80" s="3" t="s">
        <v>181</v>
      </c>
      <c r="E80" s="3">
        <v>1</v>
      </c>
      <c r="F80" s="3" t="s">
        <v>190</v>
      </c>
      <c r="G80" s="3">
        <v>2</v>
      </c>
      <c r="H80" s="3" t="s">
        <v>186</v>
      </c>
      <c r="I80" s="3">
        <v>2</v>
      </c>
      <c r="J80" s="3" t="s">
        <v>194</v>
      </c>
      <c r="K80" s="3">
        <v>1</v>
      </c>
      <c r="L80" s="3">
        <v>10590</v>
      </c>
      <c r="M80" s="4" t="str">
        <f>X119</f>
        <v>[118]</v>
      </c>
      <c r="N80" s="3">
        <v>16.600000000000001</v>
      </c>
      <c r="O80" s="4" t="str">
        <f>X119</f>
        <v>[118]</v>
      </c>
      <c r="P80" s="3">
        <f>125/1.944</f>
        <v>64.300411522633752</v>
      </c>
      <c r="Q80" s="4" t="str">
        <f>X120</f>
        <v>[119]</v>
      </c>
      <c r="R80" s="3">
        <f>'Calculation Oswald-factor'!Q80</f>
        <v>0.82941047134512136</v>
      </c>
      <c r="S80" s="3" t="e">
        <f>VLOOKUP(C80,'Oswald-factor Method 2'!B:L,11,0)</f>
        <v>#N/A</v>
      </c>
      <c r="T80" s="3">
        <f t="shared" si="6"/>
        <v>381397.51853229466</v>
      </c>
      <c r="U80" s="3">
        <f t="shared" si="7"/>
        <v>0.38139751853229464</v>
      </c>
      <c r="X80" s="3" t="s">
        <v>404</v>
      </c>
      <c r="Y80" s="2" t="s">
        <v>403</v>
      </c>
    </row>
    <row r="81" spans="1:25" x14ac:dyDescent="0.25">
      <c r="A81" s="3">
        <v>80</v>
      </c>
      <c r="B81" s="3" t="s">
        <v>155</v>
      </c>
      <c r="C81" s="3" t="s">
        <v>156</v>
      </c>
      <c r="D81" s="3" t="s">
        <v>181</v>
      </c>
      <c r="E81" s="3">
        <v>1</v>
      </c>
      <c r="F81" s="3" t="s">
        <v>190</v>
      </c>
      <c r="G81" s="3">
        <v>2</v>
      </c>
      <c r="H81" s="3" t="s">
        <v>152</v>
      </c>
      <c r="J81" s="3" t="s">
        <v>194</v>
      </c>
      <c r="K81" s="3">
        <v>1</v>
      </c>
      <c r="L81" s="3">
        <v>7080</v>
      </c>
      <c r="M81" s="4" t="str">
        <f>X121</f>
        <v>[120]</v>
      </c>
      <c r="N81" s="3">
        <v>15.85</v>
      </c>
      <c r="O81" s="4" t="str">
        <f>X121</f>
        <v>[120]</v>
      </c>
      <c r="P81" s="3">
        <f>115/1.944</f>
        <v>59.156378600823047</v>
      </c>
      <c r="Q81" s="4" t="str">
        <f>X123</f>
        <v>[122]</v>
      </c>
      <c r="R81" s="3">
        <f>'Calculation Oswald-factor'!Q81</f>
        <v>0.75990311392366916</v>
      </c>
      <c r="S81" s="3" t="e">
        <f>VLOOKUP(C81,'Oswald-factor Method 2'!B:L,11,0)</f>
        <v>#N/A</v>
      </c>
      <c r="T81" s="3">
        <f t="shared" si="6"/>
        <v>221836.78562712515</v>
      </c>
      <c r="U81" s="3">
        <f t="shared" si="7"/>
        <v>0.22183678562712514</v>
      </c>
      <c r="X81" s="3" t="s">
        <v>405</v>
      </c>
      <c r="Y81" s="2" t="s">
        <v>408</v>
      </c>
    </row>
    <row r="82" spans="1:25" x14ac:dyDescent="0.25">
      <c r="A82" s="3">
        <v>81</v>
      </c>
      <c r="B82" s="3" t="s">
        <v>157</v>
      </c>
      <c r="C82" s="3" t="s">
        <v>158</v>
      </c>
      <c r="D82" s="3" t="s">
        <v>181</v>
      </c>
      <c r="E82" s="3">
        <v>1</v>
      </c>
      <c r="F82" s="3" t="s">
        <v>190</v>
      </c>
      <c r="G82" s="3">
        <v>2</v>
      </c>
      <c r="H82" s="3" t="s">
        <v>152</v>
      </c>
      <c r="J82" s="3" t="s">
        <v>194</v>
      </c>
      <c r="K82" s="3">
        <v>1</v>
      </c>
      <c r="L82" s="3">
        <v>10569</v>
      </c>
      <c r="M82" s="4" t="str">
        <f>X122</f>
        <v>[121]</v>
      </c>
      <c r="N82" s="3">
        <v>18.420000000000002</v>
      </c>
      <c r="O82" s="4" t="str">
        <f>X122</f>
        <v>[121]</v>
      </c>
      <c r="P82" s="3">
        <f>120/1.944</f>
        <v>61.728395061728399</v>
      </c>
      <c r="Q82" s="4" t="str">
        <f>X124</f>
        <v>[123]</v>
      </c>
      <c r="R82" s="3">
        <f>'Calculation Oswald-factor'!Q82</f>
        <v>0.76748366600408513</v>
      </c>
      <c r="S82" s="3" t="e">
        <f>VLOOKUP(C82,'Oswald-factor Method 2'!B:L,11,0)</f>
        <v>#N/A</v>
      </c>
      <c r="T82" s="3">
        <f t="shared" si="6"/>
        <v>347312.01101837383</v>
      </c>
      <c r="U82" s="3">
        <f t="shared" si="7"/>
        <v>0.34731201101837383</v>
      </c>
      <c r="X82" s="3" t="s">
        <v>407</v>
      </c>
      <c r="Y82" s="2" t="s">
        <v>406</v>
      </c>
    </row>
    <row r="83" spans="1:25" x14ac:dyDescent="0.25">
      <c r="A83" s="3">
        <v>82</v>
      </c>
      <c r="B83" s="3" t="s">
        <v>159</v>
      </c>
      <c r="C83" s="3" t="s">
        <v>160</v>
      </c>
      <c r="D83" s="3" t="s">
        <v>181</v>
      </c>
      <c r="E83" s="3">
        <v>1</v>
      </c>
      <c r="F83" s="3" t="s">
        <v>190</v>
      </c>
      <c r="G83" s="3">
        <v>2</v>
      </c>
      <c r="H83" s="3" t="s">
        <v>186</v>
      </c>
      <c r="I83" s="3">
        <v>2</v>
      </c>
      <c r="J83" s="3" t="s">
        <v>194</v>
      </c>
      <c r="K83" s="3">
        <v>1</v>
      </c>
      <c r="L83" s="3">
        <v>6940</v>
      </c>
      <c r="M83" s="4" t="str">
        <f>X125</f>
        <v>[124]</v>
      </c>
      <c r="N83" s="3">
        <v>12.04</v>
      </c>
      <c r="O83" s="4" t="str">
        <f>X125</f>
        <v>[124]</v>
      </c>
      <c r="P83" s="3">
        <f>125/1.944</f>
        <v>64.300411522633752</v>
      </c>
      <c r="Q83" s="4" t="str">
        <f>X126</f>
        <v>[125]</v>
      </c>
      <c r="R83" s="3">
        <f>'Calculation Oswald-factor'!Q83</f>
        <v>0.809680597644304</v>
      </c>
      <c r="S83" s="3" t="e">
        <f>VLOOKUP(C83,'Oswald-factor Method 2'!B:L,11,0)</f>
        <v>#N/A</v>
      </c>
      <c r="T83" s="3">
        <f t="shared" si="6"/>
        <v>318950.92621841212</v>
      </c>
      <c r="U83" s="3">
        <f t="shared" si="7"/>
        <v>0.31895092621841215</v>
      </c>
      <c r="X83" s="3" t="s">
        <v>410</v>
      </c>
      <c r="Y83" s="2" t="s">
        <v>409</v>
      </c>
    </row>
    <row r="84" spans="1:25" x14ac:dyDescent="0.25">
      <c r="A84" s="3">
        <v>83</v>
      </c>
      <c r="B84" s="3" t="s">
        <v>161</v>
      </c>
      <c r="C84" s="3" t="s">
        <v>162</v>
      </c>
      <c r="D84" s="3" t="s">
        <v>181</v>
      </c>
      <c r="E84" s="3">
        <v>1</v>
      </c>
      <c r="F84" s="3" t="s">
        <v>190</v>
      </c>
      <c r="G84" s="3">
        <v>2</v>
      </c>
      <c r="H84" s="3" t="s">
        <v>186</v>
      </c>
      <c r="I84" s="3">
        <v>2</v>
      </c>
      <c r="J84" s="3" t="s">
        <v>194</v>
      </c>
      <c r="K84" s="3">
        <v>1</v>
      </c>
      <c r="L84" s="3">
        <v>8845</v>
      </c>
      <c r="M84" s="4" t="str">
        <f>X127</f>
        <v>[126]</v>
      </c>
      <c r="N84" s="3">
        <v>13.4</v>
      </c>
      <c r="O84" s="4" t="str">
        <f>X127</f>
        <v>[126]</v>
      </c>
      <c r="P84" s="3">
        <f>140/1.944</f>
        <v>72.016460905349803</v>
      </c>
      <c r="Q84" s="4" t="str">
        <f>X128</f>
        <v>[127]</v>
      </c>
      <c r="R84" s="3">
        <f>'Calculation Oswald-factor'!Q84</f>
        <v>0.91605639730473032</v>
      </c>
      <c r="S84" s="3" t="e">
        <f>VLOOKUP(C84,'Oswald-factor Method 2'!B:L,11,0)</f>
        <v>#N/A</v>
      </c>
      <c r="T84" s="3">
        <f t="shared" si="6"/>
        <v>330078.68171734683</v>
      </c>
      <c r="U84" s="3">
        <f t="shared" si="7"/>
        <v>0.33007868171734683</v>
      </c>
      <c r="X84" s="3" t="s">
        <v>412</v>
      </c>
      <c r="Y84" s="2" t="s">
        <v>411</v>
      </c>
    </row>
    <row r="85" spans="1:25" x14ac:dyDescent="0.25">
      <c r="A85" s="3">
        <v>84</v>
      </c>
      <c r="B85" s="3" t="s">
        <v>163</v>
      </c>
      <c r="C85" s="3" t="s">
        <v>164</v>
      </c>
      <c r="D85" s="3" t="s">
        <v>181</v>
      </c>
      <c r="E85" s="3">
        <v>1</v>
      </c>
      <c r="F85" s="3" t="s">
        <v>190</v>
      </c>
      <c r="G85" s="3">
        <v>2</v>
      </c>
      <c r="H85" s="3" t="s">
        <v>193</v>
      </c>
      <c r="I85" s="3">
        <v>3</v>
      </c>
      <c r="J85" s="3" t="s">
        <v>194</v>
      </c>
      <c r="K85" s="3">
        <v>1</v>
      </c>
      <c r="L85" s="3">
        <v>12930</v>
      </c>
      <c r="M85" s="4" t="str">
        <f>X129</f>
        <v>[128]</v>
      </c>
      <c r="N85" s="3">
        <v>21.44</v>
      </c>
      <c r="O85" s="4" t="str">
        <f>X130</f>
        <v>[129]</v>
      </c>
      <c r="P85" s="3">
        <f>115/1.944</f>
        <v>59.156378600823047</v>
      </c>
      <c r="Q85" s="4" t="str">
        <f>X131</f>
        <v>[130]</v>
      </c>
      <c r="R85" s="3">
        <f>'Calculation Oswald-factor'!Q85</f>
        <v>0.7684564035881255</v>
      </c>
      <c r="S85" s="3" t="e">
        <f>VLOOKUP(C85,'Oswald-factor Method 2'!B:L,11,0)</f>
        <v>#N/A</v>
      </c>
      <c r="T85" s="3">
        <f t="shared" si="6"/>
        <v>399863.77289270872</v>
      </c>
      <c r="U85" s="3">
        <f t="shared" si="7"/>
        <v>0.39986377289270869</v>
      </c>
      <c r="X85" s="3" t="s">
        <v>413</v>
      </c>
      <c r="Y85" s="2" t="s">
        <v>418</v>
      </c>
    </row>
    <row r="86" spans="1:25" x14ac:dyDescent="0.25">
      <c r="A86" s="3">
        <v>85</v>
      </c>
      <c r="B86" s="3" t="s">
        <v>165</v>
      </c>
      <c r="C86" s="3" t="s">
        <v>166</v>
      </c>
      <c r="D86" s="3" t="s">
        <v>181</v>
      </c>
      <c r="E86" s="3">
        <v>1</v>
      </c>
      <c r="F86" s="3" t="s">
        <v>194</v>
      </c>
      <c r="G86" s="3">
        <v>1</v>
      </c>
      <c r="H86" s="3" t="s">
        <v>195</v>
      </c>
      <c r="I86" s="3">
        <v>1</v>
      </c>
      <c r="J86" s="3" t="s">
        <v>194</v>
      </c>
      <c r="K86" s="3">
        <v>1</v>
      </c>
      <c r="L86" s="3">
        <v>4965</v>
      </c>
      <c r="M86" s="4" t="str">
        <f>X132</f>
        <v>[131]</v>
      </c>
      <c r="N86" s="3">
        <v>14.03</v>
      </c>
      <c r="O86" s="4" t="str">
        <f>X132</f>
        <v>[131]</v>
      </c>
      <c r="P86" s="3">
        <f>120/1.944</f>
        <v>61.728395061728399</v>
      </c>
      <c r="Q86" s="4" t="str">
        <f>X133</f>
        <v>[132]</v>
      </c>
      <c r="R86" s="3">
        <f>'Calculation Oswald-factor'!Q86</f>
        <v>0.81140819627736593</v>
      </c>
      <c r="S86" s="3" t="e">
        <f>VLOOKUP(C86,'Oswald-factor Method 2'!B:L,11,0)</f>
        <v>#N/A</v>
      </c>
      <c r="T86" s="3">
        <f t="shared" si="6"/>
        <v>124963.78565114339</v>
      </c>
      <c r="U86" s="3">
        <f t="shared" si="7"/>
        <v>0.1249637856511434</v>
      </c>
      <c r="X86" s="3" t="s">
        <v>421</v>
      </c>
      <c r="Y86" s="2" t="s">
        <v>420</v>
      </c>
    </row>
    <row r="87" spans="1:25" x14ac:dyDescent="0.25">
      <c r="A87" s="3">
        <v>86</v>
      </c>
      <c r="B87" s="3" t="s">
        <v>167</v>
      </c>
      <c r="C87" s="3" t="s">
        <v>168</v>
      </c>
      <c r="D87" s="3" t="s">
        <v>181</v>
      </c>
      <c r="E87" s="3">
        <v>1</v>
      </c>
      <c r="F87" s="3" t="s">
        <v>190</v>
      </c>
      <c r="G87" s="3">
        <v>2</v>
      </c>
      <c r="H87" s="3" t="s">
        <v>152</v>
      </c>
      <c r="J87" s="3" t="s">
        <v>194</v>
      </c>
      <c r="K87" s="3">
        <v>1</v>
      </c>
      <c r="L87" s="3">
        <v>8618</v>
      </c>
      <c r="M87" s="4" t="str">
        <f>X134</f>
        <v>[133]</v>
      </c>
      <c r="N87" s="3">
        <v>16.309999999999999</v>
      </c>
      <c r="O87" s="4" t="str">
        <f>X134</f>
        <v>[133]</v>
      </c>
      <c r="P87" s="3">
        <f>130/1.944</f>
        <v>66.872427983539097</v>
      </c>
      <c r="Q87" s="4" t="str">
        <f>X135</f>
        <v>[134]</v>
      </c>
      <c r="R87" s="3">
        <f>'Calculation Oswald-factor'!Q87</f>
        <v>0.8278658599717218</v>
      </c>
      <c r="S87" s="3" t="e">
        <f>VLOOKUP(C87,'Oswald-factor Method 2'!B:L,11,0)</f>
        <v>#N/A</v>
      </c>
      <c r="T87" s="3">
        <f t="shared" si="6"/>
        <v>252048.07092174329</v>
      </c>
      <c r="U87" s="3">
        <f t="shared" si="7"/>
        <v>0.25204807092174331</v>
      </c>
      <c r="X87" s="3" t="s">
        <v>414</v>
      </c>
      <c r="Y87" s="2" t="s">
        <v>422</v>
      </c>
    </row>
    <row r="88" spans="1:25" x14ac:dyDescent="0.25">
      <c r="A88" s="3">
        <v>87</v>
      </c>
      <c r="B88" s="3" t="s">
        <v>169</v>
      </c>
      <c r="C88" s="3" t="s">
        <v>170</v>
      </c>
      <c r="D88" s="3" t="s">
        <v>181</v>
      </c>
      <c r="E88" s="3">
        <v>1</v>
      </c>
      <c r="F88" s="3" t="s">
        <v>194</v>
      </c>
      <c r="G88" s="3">
        <v>1</v>
      </c>
      <c r="H88" s="3" t="s">
        <v>195</v>
      </c>
      <c r="I88" s="3">
        <v>1</v>
      </c>
      <c r="J88" s="3" t="s">
        <v>194</v>
      </c>
      <c r="K88" s="3">
        <v>1</v>
      </c>
      <c r="L88" s="3">
        <v>4445</v>
      </c>
      <c r="M88" s="4" t="str">
        <f>X136</f>
        <v>[135]</v>
      </c>
      <c r="N88" s="3">
        <v>14.3</v>
      </c>
      <c r="O88" s="4" t="str">
        <f>X136</f>
        <v>[135]</v>
      </c>
      <c r="P88" s="3">
        <f>110/1.944</f>
        <v>56.584362139917694</v>
      </c>
      <c r="Q88" s="4" t="str">
        <f>X137</f>
        <v>[136]</v>
      </c>
      <c r="R88" s="3">
        <f>'Calculation Oswald-factor'!Q88</f>
        <v>0.82971465129522737</v>
      </c>
      <c r="S88" s="3" t="e">
        <f>VLOOKUP(C88,'Oswald-factor Method 2'!B:L,11,0)</f>
        <v>#N/A</v>
      </c>
      <c r="T88" s="3">
        <f t="shared" si="6"/>
        <v>102856.47997261373</v>
      </c>
      <c r="U88" s="3">
        <f t="shared" si="7"/>
        <v>0.10285647997261373</v>
      </c>
      <c r="X88" s="3" t="s">
        <v>415</v>
      </c>
      <c r="Y88" s="2" t="s">
        <v>423</v>
      </c>
    </row>
    <row r="89" spans="1:25" x14ac:dyDescent="0.25">
      <c r="A89" s="3">
        <v>88</v>
      </c>
      <c r="B89" s="3" t="s">
        <v>171</v>
      </c>
      <c r="C89" s="3" t="s">
        <v>172</v>
      </c>
      <c r="D89" s="3" t="s">
        <v>181</v>
      </c>
      <c r="E89" s="3">
        <v>1</v>
      </c>
      <c r="F89" s="3" t="s">
        <v>194</v>
      </c>
      <c r="G89" s="3">
        <v>1</v>
      </c>
      <c r="H89" s="3" t="s">
        <v>152</v>
      </c>
      <c r="J89" s="3" t="s">
        <v>194</v>
      </c>
      <c r="K89" s="3">
        <v>1</v>
      </c>
      <c r="L89" s="3">
        <v>1275</v>
      </c>
      <c r="M89" s="4" t="str">
        <f>X138</f>
        <v>[137]</v>
      </c>
      <c r="N89" s="3">
        <v>11</v>
      </c>
      <c r="O89" s="4" t="str">
        <f>X138</f>
        <v>[137]</v>
      </c>
      <c r="P89" s="3">
        <f>65/1.944</f>
        <v>33.436213991769549</v>
      </c>
      <c r="Q89" s="4" t="str">
        <f>X139</f>
        <v>[138]</v>
      </c>
      <c r="R89" s="3">
        <f>'Calculation Oswald-factor'!Q89</f>
        <v>0.77110794634670277</v>
      </c>
      <c r="S89" s="3" t="e">
        <f>VLOOKUP(C89,'Oswald-factor Method 2'!B:L,11,0)</f>
        <v>#N/A</v>
      </c>
      <c r="T89" s="3">
        <f t="shared" si="6"/>
        <v>26042.826041969893</v>
      </c>
      <c r="U89" s="3">
        <f t="shared" si="7"/>
        <v>2.6042826041969894E-2</v>
      </c>
      <c r="X89" s="3" t="s">
        <v>416</v>
      </c>
      <c r="Y89" s="2" t="s">
        <v>424</v>
      </c>
    </row>
    <row r="90" spans="1:25" x14ac:dyDescent="0.25">
      <c r="A90" s="3">
        <v>89</v>
      </c>
      <c r="B90" s="3" t="s">
        <v>173</v>
      </c>
      <c r="C90" s="3" t="s">
        <v>174</v>
      </c>
      <c r="D90" s="3" t="s">
        <v>181</v>
      </c>
      <c r="E90" s="3">
        <v>1</v>
      </c>
      <c r="F90" s="3" t="s">
        <v>194</v>
      </c>
      <c r="G90" s="3">
        <v>1</v>
      </c>
      <c r="H90" s="3" t="s">
        <v>152</v>
      </c>
      <c r="J90" s="3" t="s">
        <v>194</v>
      </c>
      <c r="K90" s="3">
        <v>1</v>
      </c>
      <c r="L90" s="3">
        <v>760</v>
      </c>
      <c r="M90" s="4" t="str">
        <f>X140</f>
        <v>[139]</v>
      </c>
      <c r="N90" s="3">
        <v>10.199999999999999</v>
      </c>
      <c r="O90" s="4" t="str">
        <f>X140</f>
        <v>[139]</v>
      </c>
      <c r="P90" s="3">
        <f>55/1.944</f>
        <v>28.292181069958847</v>
      </c>
      <c r="Q90" s="4" t="str">
        <f>X141</f>
        <v>[140]</v>
      </c>
      <c r="R90" s="3">
        <f>'Calculation Oswald-factor'!Q90</f>
        <v>0.76796819486715628</v>
      </c>
      <c r="S90" s="3" t="e">
        <f>VLOOKUP(C90,'Oswald-factor Method 2'!B:L,11,0)</f>
        <v>#N/A</v>
      </c>
      <c r="T90" s="3">
        <f t="shared" si="6"/>
        <v>12770.343033087314</v>
      </c>
      <c r="U90" s="3">
        <f t="shared" si="7"/>
        <v>1.2770343033087314E-2</v>
      </c>
      <c r="X90" s="3" t="s">
        <v>417</v>
      </c>
      <c r="Y90" s="2" t="s">
        <v>425</v>
      </c>
    </row>
    <row r="91" spans="1:25" x14ac:dyDescent="0.25">
      <c r="X91" s="3" t="s">
        <v>426</v>
      </c>
      <c r="Y91" s="2" t="s">
        <v>430</v>
      </c>
    </row>
    <row r="92" spans="1:25" x14ac:dyDescent="0.25">
      <c r="X92" s="3" t="s">
        <v>427</v>
      </c>
      <c r="Y92" s="2" t="s">
        <v>432</v>
      </c>
    </row>
    <row r="93" spans="1:25" x14ac:dyDescent="0.25">
      <c r="X93" s="3" t="s">
        <v>428</v>
      </c>
      <c r="Y93" s="2" t="s">
        <v>433</v>
      </c>
    </row>
    <row r="94" spans="1:25" x14ac:dyDescent="0.25">
      <c r="A94" s="3" t="s">
        <v>202</v>
      </c>
      <c r="X94" s="3" t="s">
        <v>429</v>
      </c>
      <c r="Y94" s="2" t="s">
        <v>434</v>
      </c>
    </row>
    <row r="95" spans="1:25" x14ac:dyDescent="0.25">
      <c r="X95" s="3" t="s">
        <v>436</v>
      </c>
      <c r="Y95" s="2" t="s">
        <v>435</v>
      </c>
    </row>
    <row r="96" spans="1:25" x14ac:dyDescent="0.25">
      <c r="A96" s="3" t="s">
        <v>208</v>
      </c>
      <c r="B96" s="3">
        <v>1.2250000000000001</v>
      </c>
      <c r="X96" s="3" t="s">
        <v>437</v>
      </c>
      <c r="Y96" s="2" t="s">
        <v>446</v>
      </c>
    </row>
    <row r="97" spans="1:25" x14ac:dyDescent="0.25">
      <c r="A97" s="3" t="s">
        <v>209</v>
      </c>
      <c r="B97" s="3">
        <v>9.8066499999999994</v>
      </c>
      <c r="X97" s="3" t="s">
        <v>438</v>
      </c>
      <c r="Y97" s="2" t="s">
        <v>447</v>
      </c>
    </row>
    <row r="98" spans="1:25" x14ac:dyDescent="0.25">
      <c r="X98" s="3" t="s">
        <v>439</v>
      </c>
      <c r="Y98" s="2" t="s">
        <v>448</v>
      </c>
    </row>
    <row r="99" spans="1:25" x14ac:dyDescent="0.25">
      <c r="X99" s="3" t="s">
        <v>440</v>
      </c>
      <c r="Y99" s="2" t="s">
        <v>449</v>
      </c>
    </row>
    <row r="100" spans="1:25" x14ac:dyDescent="0.25">
      <c r="X100" s="3" t="s">
        <v>441</v>
      </c>
      <c r="Y100" s="2" t="s">
        <v>450</v>
      </c>
    </row>
    <row r="101" spans="1:25" x14ac:dyDescent="0.25">
      <c r="X101" s="3" t="s">
        <v>442</v>
      </c>
      <c r="Y101" s="2" t="s">
        <v>451</v>
      </c>
    </row>
    <row r="102" spans="1:25" x14ac:dyDescent="0.25">
      <c r="X102" s="3" t="s">
        <v>443</v>
      </c>
      <c r="Y102" s="2" t="s">
        <v>452</v>
      </c>
    </row>
    <row r="103" spans="1:25" x14ac:dyDescent="0.25">
      <c r="X103" s="3" t="s">
        <v>444</v>
      </c>
      <c r="Y103" s="2" t="s">
        <v>419</v>
      </c>
    </row>
    <row r="104" spans="1:25" x14ac:dyDescent="0.25">
      <c r="X104" s="3" t="s">
        <v>445</v>
      </c>
      <c r="Y104" s="2" t="s">
        <v>453</v>
      </c>
    </row>
    <row r="105" spans="1:25" x14ac:dyDescent="0.25">
      <c r="X105" s="3" t="s">
        <v>454</v>
      </c>
      <c r="Y105" s="2" t="s">
        <v>472</v>
      </c>
    </row>
    <row r="106" spans="1:25" x14ac:dyDescent="0.25">
      <c r="X106" s="3" t="s">
        <v>455</v>
      </c>
      <c r="Y106" s="2" t="s">
        <v>473</v>
      </c>
    </row>
    <row r="107" spans="1:25" x14ac:dyDescent="0.25">
      <c r="X107" s="3" t="s">
        <v>456</v>
      </c>
      <c r="Y107" s="2" t="s">
        <v>474</v>
      </c>
    </row>
    <row r="108" spans="1:25" x14ac:dyDescent="0.25">
      <c r="X108" s="3" t="s">
        <v>457</v>
      </c>
      <c r="Y108" s="2" t="s">
        <v>475</v>
      </c>
    </row>
    <row r="109" spans="1:25" x14ac:dyDescent="0.25">
      <c r="X109" s="3" t="s">
        <v>458</v>
      </c>
      <c r="Y109" s="2" t="s">
        <v>476</v>
      </c>
    </row>
    <row r="110" spans="1:25" x14ac:dyDescent="0.25">
      <c r="X110" s="3" t="s">
        <v>459</v>
      </c>
      <c r="Y110" s="2" t="s">
        <v>477</v>
      </c>
    </row>
    <row r="111" spans="1:25" x14ac:dyDescent="0.25">
      <c r="X111" s="3" t="s">
        <v>460</v>
      </c>
      <c r="Y111" s="2" t="s">
        <v>478</v>
      </c>
    </row>
    <row r="112" spans="1:25" x14ac:dyDescent="0.25">
      <c r="X112" s="3" t="s">
        <v>461</v>
      </c>
      <c r="Y112" s="2" t="s">
        <v>479</v>
      </c>
    </row>
    <row r="113" spans="24:25" x14ac:dyDescent="0.25">
      <c r="X113" s="3" t="s">
        <v>462</v>
      </c>
      <c r="Y113" s="2" t="s">
        <v>480</v>
      </c>
    </row>
    <row r="114" spans="24:25" x14ac:dyDescent="0.25">
      <c r="X114" s="3" t="s">
        <v>463</v>
      </c>
      <c r="Y114" s="2" t="s">
        <v>481</v>
      </c>
    </row>
    <row r="115" spans="24:25" x14ac:dyDescent="0.25">
      <c r="X115" s="3" t="s">
        <v>464</v>
      </c>
      <c r="Y115" s="2" t="s">
        <v>482</v>
      </c>
    </row>
    <row r="116" spans="24:25" x14ac:dyDescent="0.25">
      <c r="X116" s="3" t="s">
        <v>465</v>
      </c>
      <c r="Y116" s="2" t="s">
        <v>483</v>
      </c>
    </row>
    <row r="117" spans="24:25" x14ac:dyDescent="0.25">
      <c r="X117" s="3" t="s">
        <v>466</v>
      </c>
      <c r="Y117" s="2" t="s">
        <v>484</v>
      </c>
    </row>
    <row r="118" spans="24:25" x14ac:dyDescent="0.25">
      <c r="X118" s="3" t="s">
        <v>467</v>
      </c>
      <c r="Y118" s="2" t="s">
        <v>485</v>
      </c>
    </row>
    <row r="119" spans="24:25" x14ac:dyDescent="0.25">
      <c r="X119" s="3" t="s">
        <v>468</v>
      </c>
      <c r="Y119" s="2" t="s">
        <v>486</v>
      </c>
    </row>
    <row r="120" spans="24:25" x14ac:dyDescent="0.25">
      <c r="X120" s="3" t="s">
        <v>469</v>
      </c>
      <c r="Y120" s="2" t="s">
        <v>487</v>
      </c>
    </row>
    <row r="121" spans="24:25" x14ac:dyDescent="0.25">
      <c r="X121" s="3" t="s">
        <v>470</v>
      </c>
      <c r="Y121" s="2" t="s">
        <v>490</v>
      </c>
    </row>
    <row r="122" spans="24:25" x14ac:dyDescent="0.25">
      <c r="X122" s="3" t="s">
        <v>471</v>
      </c>
      <c r="Y122" s="2" t="s">
        <v>491</v>
      </c>
    </row>
    <row r="123" spans="24:25" x14ac:dyDescent="0.25">
      <c r="X123" s="3" t="s">
        <v>494</v>
      </c>
      <c r="Y123" s="2" t="s">
        <v>492</v>
      </c>
    </row>
    <row r="124" spans="24:25" x14ac:dyDescent="0.25">
      <c r="X124" s="3" t="s">
        <v>495</v>
      </c>
      <c r="Y124" s="2" t="s">
        <v>493</v>
      </c>
    </row>
    <row r="125" spans="24:25" x14ac:dyDescent="0.25">
      <c r="X125" s="3" t="s">
        <v>496</v>
      </c>
      <c r="Y125" s="2" t="s">
        <v>501</v>
      </c>
    </row>
    <row r="126" spans="24:25" x14ac:dyDescent="0.25">
      <c r="X126" s="3" t="s">
        <v>497</v>
      </c>
      <c r="Y126" s="2" t="s">
        <v>502</v>
      </c>
    </row>
    <row r="127" spans="24:25" x14ac:dyDescent="0.25">
      <c r="X127" s="3" t="s">
        <v>498</v>
      </c>
      <c r="Y127" s="2" t="s">
        <v>503</v>
      </c>
    </row>
    <row r="128" spans="24:25" x14ac:dyDescent="0.25">
      <c r="X128" s="3" t="s">
        <v>499</v>
      </c>
      <c r="Y128" s="2" t="s">
        <v>504</v>
      </c>
    </row>
    <row r="129" spans="24:25" x14ac:dyDescent="0.25">
      <c r="X129" s="3" t="s">
        <v>500</v>
      </c>
      <c r="Y129" s="2" t="s">
        <v>505</v>
      </c>
    </row>
    <row r="130" spans="24:25" x14ac:dyDescent="0.25">
      <c r="X130" s="3" t="s">
        <v>506</v>
      </c>
      <c r="Y130" s="2" t="s">
        <v>515</v>
      </c>
    </row>
    <row r="131" spans="24:25" x14ac:dyDescent="0.25">
      <c r="X131" s="3" t="s">
        <v>507</v>
      </c>
      <c r="Y131" s="2" t="s">
        <v>516</v>
      </c>
    </row>
    <row r="132" spans="24:25" x14ac:dyDescent="0.25">
      <c r="X132" s="3" t="s">
        <v>508</v>
      </c>
      <c r="Y132" s="2" t="s">
        <v>517</v>
      </c>
    </row>
    <row r="133" spans="24:25" x14ac:dyDescent="0.25">
      <c r="X133" s="3" t="s">
        <v>509</v>
      </c>
      <c r="Y133" s="2" t="s">
        <v>518</v>
      </c>
    </row>
    <row r="134" spans="24:25" x14ac:dyDescent="0.25">
      <c r="X134" s="3" t="s">
        <v>510</v>
      </c>
      <c r="Y134" s="2" t="s">
        <v>519</v>
      </c>
    </row>
    <row r="135" spans="24:25" x14ac:dyDescent="0.25">
      <c r="X135" s="3" t="s">
        <v>511</v>
      </c>
      <c r="Y135" s="2" t="s">
        <v>520</v>
      </c>
    </row>
    <row r="136" spans="24:25" x14ac:dyDescent="0.25">
      <c r="X136" s="3" t="s">
        <v>512</v>
      </c>
      <c r="Y136" s="2" t="s">
        <v>522</v>
      </c>
    </row>
    <row r="137" spans="24:25" x14ac:dyDescent="0.25">
      <c r="X137" s="3" t="s">
        <v>513</v>
      </c>
      <c r="Y137" s="2" t="s">
        <v>523</v>
      </c>
    </row>
    <row r="138" spans="24:25" x14ac:dyDescent="0.25">
      <c r="X138" s="3" t="s">
        <v>514</v>
      </c>
      <c r="Y138" s="2" t="s">
        <v>525</v>
      </c>
    </row>
    <row r="139" spans="24:25" x14ac:dyDescent="0.25">
      <c r="X139" s="3" t="s">
        <v>527</v>
      </c>
      <c r="Y139" s="2" t="s">
        <v>526</v>
      </c>
    </row>
    <row r="140" spans="24:25" x14ac:dyDescent="0.25">
      <c r="X140" s="3" t="s">
        <v>528</v>
      </c>
      <c r="Y140" s="2" t="s">
        <v>530</v>
      </c>
    </row>
    <row r="141" spans="24:25" x14ac:dyDescent="0.25">
      <c r="X141" s="3" t="s">
        <v>529</v>
      </c>
      <c r="Y141" s="2" t="s">
        <v>531</v>
      </c>
    </row>
  </sheetData>
  <autoFilter ref="A1:U90" xr:uid="{00000000-0009-0000-0000-000000000000}">
    <sortState xmlns:xlrd2="http://schemas.microsoft.com/office/spreadsheetml/2017/richdata2" ref="A2:U141">
      <sortCondition ref="A1:A141"/>
    </sortState>
  </autoFilter>
  <conditionalFormatting sqref="U1:U1048576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{160E0BC8-C32B-CB43-9F92-D1E41955616B}</x14:id>
        </ext>
      </extLst>
    </cfRule>
  </conditionalFormatting>
  <conditionalFormatting sqref="U1:V5 U89:V1048576 U6:U88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{B2871CC0-CC56-4548-A94F-D03EC9EDD386}</x14:id>
        </ext>
      </extLst>
    </cfRule>
  </conditionalFormatting>
  <hyperlinks>
    <hyperlink ref="Y2" r:id="rId1" xr:uid="{00000000-0004-0000-0000-000000000000}"/>
    <hyperlink ref="Y3" r:id="rId2" xr:uid="{00000000-0004-0000-0000-000001000000}"/>
    <hyperlink ref="Y4" r:id="rId3" xr:uid="{00000000-0004-0000-0000-000002000000}"/>
    <hyperlink ref="Y5" r:id="rId4" xr:uid="{00000000-0004-0000-0000-000003000000}"/>
    <hyperlink ref="Y6" r:id="rId5" xr:uid="{00000000-0004-0000-0000-000004000000}"/>
    <hyperlink ref="Y7" r:id="rId6" xr:uid="{00000000-0004-0000-0000-000005000000}"/>
    <hyperlink ref="Y8" r:id="rId7" xr:uid="{00000000-0004-0000-0000-000006000000}"/>
    <hyperlink ref="Y9" r:id="rId8" xr:uid="{00000000-0004-0000-0000-000007000000}"/>
    <hyperlink ref="Y10" r:id="rId9" xr:uid="{00000000-0004-0000-0000-000008000000}"/>
    <hyperlink ref="Y11" r:id="rId10" xr:uid="{00000000-0004-0000-0000-000009000000}"/>
    <hyperlink ref="Y12" r:id="rId11" xr:uid="{00000000-0004-0000-0000-00000A000000}"/>
    <hyperlink ref="Y13" r:id="rId12" xr:uid="{00000000-0004-0000-0000-00000B000000}"/>
    <hyperlink ref="Y14" r:id="rId13" xr:uid="{00000000-0004-0000-0000-00000C000000}"/>
    <hyperlink ref="Y15" r:id="rId14" xr:uid="{00000000-0004-0000-0000-00000D000000}"/>
    <hyperlink ref="Y16" r:id="rId15" xr:uid="{00000000-0004-0000-0000-00000E000000}"/>
    <hyperlink ref="Y17" r:id="rId16" xr:uid="{00000000-0004-0000-0000-00000F000000}"/>
    <hyperlink ref="Y18" r:id="rId17" xr:uid="{00000000-0004-0000-0000-000010000000}"/>
    <hyperlink ref="Y19" r:id="rId18" xr:uid="{00000000-0004-0000-0000-000011000000}"/>
    <hyperlink ref="Y20" r:id="rId19" xr:uid="{00000000-0004-0000-0000-000012000000}"/>
    <hyperlink ref="Y21" r:id="rId20" xr:uid="{00000000-0004-0000-0000-000013000000}"/>
    <hyperlink ref="Y22" r:id="rId21" xr:uid="{00000000-0004-0000-0000-000014000000}"/>
    <hyperlink ref="Y23" r:id="rId22" xr:uid="{00000000-0004-0000-0000-000015000000}"/>
    <hyperlink ref="Y24" r:id="rId23" xr:uid="{00000000-0004-0000-0000-000016000000}"/>
    <hyperlink ref="Y25" r:id="rId24" xr:uid="{00000000-0004-0000-0000-000017000000}"/>
    <hyperlink ref="Y26" r:id="rId25" xr:uid="{00000000-0004-0000-0000-000018000000}"/>
    <hyperlink ref="Y27" r:id="rId26" xr:uid="{00000000-0004-0000-0000-000019000000}"/>
    <hyperlink ref="Y28" r:id="rId27" xr:uid="{00000000-0004-0000-0000-00001A000000}"/>
    <hyperlink ref="Y30" r:id="rId28" xr:uid="{00000000-0004-0000-0000-00001B000000}"/>
    <hyperlink ref="Y31" r:id="rId29" xr:uid="{00000000-0004-0000-0000-00001C000000}"/>
    <hyperlink ref="Y32" r:id="rId30" xr:uid="{00000000-0004-0000-0000-00001D000000}"/>
    <hyperlink ref="Y33" r:id="rId31" xr:uid="{00000000-0004-0000-0000-00001E000000}"/>
    <hyperlink ref="Y34" r:id="rId32" xr:uid="{00000000-0004-0000-0000-00001F000000}"/>
    <hyperlink ref="Y35" r:id="rId33" xr:uid="{00000000-0004-0000-0000-000020000000}"/>
    <hyperlink ref="Y36" r:id="rId34" xr:uid="{00000000-0004-0000-0000-000021000000}"/>
    <hyperlink ref="Y37" r:id="rId35" location=":~:text=The%20maximum%20landing%20weight%20for,Air%20Operations%20Command%20(CAOC)." xr:uid="{00000000-0004-0000-0000-000022000000}"/>
    <hyperlink ref="Y38" r:id="rId36" xr:uid="{00000000-0004-0000-0000-000023000000}"/>
    <hyperlink ref="Y39" r:id="rId37" xr:uid="{00000000-0004-0000-0000-000024000000}"/>
    <hyperlink ref="Y40" r:id="rId38" xr:uid="{00000000-0004-0000-0000-000025000000}"/>
    <hyperlink ref="Y41" r:id="rId39" xr:uid="{00000000-0004-0000-0000-000026000000}"/>
    <hyperlink ref="Y42" r:id="rId40" xr:uid="{00000000-0004-0000-0000-000027000000}"/>
    <hyperlink ref="Y43" r:id="rId41" xr:uid="{00000000-0004-0000-0000-000028000000}"/>
    <hyperlink ref="Y44" r:id="rId42" xr:uid="{00000000-0004-0000-0000-000029000000}"/>
    <hyperlink ref="Y45" r:id="rId43" xr:uid="{00000000-0004-0000-0000-00002A000000}"/>
    <hyperlink ref="Y46" r:id="rId44" xr:uid="{00000000-0004-0000-0000-00002B000000}"/>
    <hyperlink ref="Y47" r:id="rId45" xr:uid="{00000000-0004-0000-0000-00002C000000}"/>
    <hyperlink ref="Y48" r:id="rId46" xr:uid="{00000000-0004-0000-0000-00002D000000}"/>
    <hyperlink ref="Y49" r:id="rId47" xr:uid="{00000000-0004-0000-0000-00002E000000}"/>
    <hyperlink ref="Y50" r:id="rId48" xr:uid="{00000000-0004-0000-0000-00002F000000}"/>
    <hyperlink ref="Y51" r:id="rId49" xr:uid="{00000000-0004-0000-0000-000030000000}"/>
    <hyperlink ref="Y52" r:id="rId50" xr:uid="{00000000-0004-0000-0000-000031000000}"/>
    <hyperlink ref="Y53" r:id="rId51" xr:uid="{00000000-0004-0000-0000-000032000000}"/>
    <hyperlink ref="Y54" r:id="rId52" xr:uid="{00000000-0004-0000-0000-000033000000}"/>
    <hyperlink ref="Y55" r:id="rId53" xr:uid="{00000000-0004-0000-0000-000034000000}"/>
    <hyperlink ref="Y56" r:id="rId54" xr:uid="{00000000-0004-0000-0000-000035000000}"/>
    <hyperlink ref="Y57" r:id="rId55" xr:uid="{00000000-0004-0000-0000-000036000000}"/>
    <hyperlink ref="Y58" r:id="rId56" xr:uid="{00000000-0004-0000-0000-000037000000}"/>
    <hyperlink ref="Y59" r:id="rId57" xr:uid="{00000000-0004-0000-0000-000038000000}"/>
    <hyperlink ref="Y60" r:id="rId58" xr:uid="{00000000-0004-0000-0000-000039000000}"/>
    <hyperlink ref="Y61" r:id="rId59" xr:uid="{00000000-0004-0000-0000-00003A000000}"/>
    <hyperlink ref="Y62" r:id="rId60" xr:uid="{00000000-0004-0000-0000-00003B000000}"/>
    <hyperlink ref="Y63" r:id="rId61" xr:uid="{00000000-0004-0000-0000-00003C000000}"/>
    <hyperlink ref="Y64" r:id="rId62" xr:uid="{00000000-0004-0000-0000-00003D000000}"/>
    <hyperlink ref="Y65" r:id="rId63" xr:uid="{00000000-0004-0000-0000-00003E000000}"/>
    <hyperlink ref="Y66" r:id="rId64" xr:uid="{00000000-0004-0000-0000-00003F000000}"/>
    <hyperlink ref="Y67" r:id="rId65" xr:uid="{00000000-0004-0000-0000-000040000000}"/>
    <hyperlink ref="Y68" r:id="rId66" xr:uid="{00000000-0004-0000-0000-000041000000}"/>
    <hyperlink ref="Y69" r:id="rId67" xr:uid="{00000000-0004-0000-0000-000042000000}"/>
    <hyperlink ref="Y70" r:id="rId68" xr:uid="{00000000-0004-0000-0000-000043000000}"/>
    <hyperlink ref="Y71" r:id="rId69" xr:uid="{00000000-0004-0000-0000-000044000000}"/>
    <hyperlink ref="Y72" r:id="rId70" xr:uid="{00000000-0004-0000-0000-000045000000}"/>
    <hyperlink ref="Y73" r:id="rId71" xr:uid="{00000000-0004-0000-0000-000046000000}"/>
    <hyperlink ref="Y74" r:id="rId72" xr:uid="{00000000-0004-0000-0000-000047000000}"/>
    <hyperlink ref="Y75" r:id="rId73" xr:uid="{00000000-0004-0000-0000-000048000000}"/>
    <hyperlink ref="Y76" r:id="rId74" xr:uid="{00000000-0004-0000-0000-000049000000}"/>
    <hyperlink ref="Y77" r:id="rId75" xr:uid="{00000000-0004-0000-0000-00004A000000}"/>
    <hyperlink ref="Y78" r:id="rId76" xr:uid="{00000000-0004-0000-0000-00004B000000}"/>
    <hyperlink ref="Y79" r:id="rId77" xr:uid="{00000000-0004-0000-0000-00004C000000}"/>
    <hyperlink ref="Y80" r:id="rId78" xr:uid="{00000000-0004-0000-0000-00004D000000}"/>
    <hyperlink ref="Y82" r:id="rId79" xr:uid="{00000000-0004-0000-0000-00004E000000}"/>
    <hyperlink ref="Y83" r:id="rId80" xr:uid="{00000000-0004-0000-0000-00004F000000}"/>
    <hyperlink ref="Y84" r:id="rId81" xr:uid="{00000000-0004-0000-0000-000050000000}"/>
    <hyperlink ref="Y85" r:id="rId82" xr:uid="{00000000-0004-0000-0000-000051000000}"/>
    <hyperlink ref="Y86" r:id="rId83" xr:uid="{00000000-0004-0000-0000-000052000000}"/>
    <hyperlink ref="Y87" r:id="rId84" xr:uid="{00000000-0004-0000-0000-000053000000}"/>
    <hyperlink ref="Y88" r:id="rId85" xr:uid="{00000000-0004-0000-0000-000054000000}"/>
    <hyperlink ref="Y89" r:id="rId86" xr:uid="{00000000-0004-0000-0000-000055000000}"/>
    <hyperlink ref="Y90" r:id="rId87" xr:uid="{00000000-0004-0000-0000-000056000000}"/>
    <hyperlink ref="Y91" r:id="rId88" xr:uid="{00000000-0004-0000-0000-000057000000}"/>
    <hyperlink ref="Y92" r:id="rId89" xr:uid="{00000000-0004-0000-0000-000058000000}"/>
    <hyperlink ref="Y93" r:id="rId90" xr:uid="{00000000-0004-0000-0000-000059000000}"/>
    <hyperlink ref="Y94" r:id="rId91" xr:uid="{00000000-0004-0000-0000-00005A000000}"/>
    <hyperlink ref="Y95" r:id="rId92" xr:uid="{00000000-0004-0000-0000-00005B000000}"/>
    <hyperlink ref="Y96" r:id="rId93" xr:uid="{00000000-0004-0000-0000-00005C000000}"/>
    <hyperlink ref="Y97" r:id="rId94" xr:uid="{00000000-0004-0000-0000-00005D000000}"/>
    <hyperlink ref="Y98" r:id="rId95" xr:uid="{00000000-0004-0000-0000-00005E000000}"/>
    <hyperlink ref="Y99" r:id="rId96" xr:uid="{00000000-0004-0000-0000-00005F000000}"/>
    <hyperlink ref="Y100" r:id="rId97" xr:uid="{00000000-0004-0000-0000-000060000000}"/>
    <hyperlink ref="Y101" r:id="rId98" xr:uid="{00000000-0004-0000-0000-000061000000}"/>
    <hyperlink ref="Y102" r:id="rId99" xr:uid="{00000000-0004-0000-0000-000062000000}"/>
    <hyperlink ref="Y103" r:id="rId100" xr:uid="{00000000-0004-0000-0000-000063000000}"/>
    <hyperlink ref="Y104" r:id="rId101" xr:uid="{00000000-0004-0000-0000-000064000000}"/>
    <hyperlink ref="Y105" r:id="rId102" xr:uid="{00000000-0004-0000-0000-000065000000}"/>
    <hyperlink ref="Y106" r:id="rId103" xr:uid="{00000000-0004-0000-0000-000066000000}"/>
    <hyperlink ref="Y107" r:id="rId104" xr:uid="{00000000-0004-0000-0000-000067000000}"/>
    <hyperlink ref="Y108" r:id="rId105" xr:uid="{00000000-0004-0000-0000-000068000000}"/>
    <hyperlink ref="Y109" r:id="rId106" xr:uid="{00000000-0004-0000-0000-000069000000}"/>
    <hyperlink ref="Y110" r:id="rId107" xr:uid="{00000000-0004-0000-0000-00006A000000}"/>
    <hyperlink ref="Y111" r:id="rId108" xr:uid="{00000000-0004-0000-0000-00006B000000}"/>
    <hyperlink ref="Y112" r:id="rId109" xr:uid="{00000000-0004-0000-0000-00006C000000}"/>
    <hyperlink ref="Y113" r:id="rId110" xr:uid="{00000000-0004-0000-0000-00006D000000}"/>
    <hyperlink ref="Y114" r:id="rId111" xr:uid="{00000000-0004-0000-0000-00006E000000}"/>
    <hyperlink ref="Y115" r:id="rId112" xr:uid="{00000000-0004-0000-0000-00006F000000}"/>
    <hyperlink ref="Y116" r:id="rId113" xr:uid="{00000000-0004-0000-0000-000070000000}"/>
    <hyperlink ref="Y117" r:id="rId114" xr:uid="{00000000-0004-0000-0000-000071000000}"/>
    <hyperlink ref="Y118" r:id="rId115" xr:uid="{00000000-0004-0000-0000-000072000000}"/>
    <hyperlink ref="Y119" r:id="rId116" xr:uid="{00000000-0004-0000-0000-000073000000}"/>
    <hyperlink ref="Y120" r:id="rId117" xr:uid="{00000000-0004-0000-0000-000074000000}"/>
    <hyperlink ref="Y121" r:id="rId118" xr:uid="{00000000-0004-0000-0000-000075000000}"/>
    <hyperlink ref="Y122" r:id="rId119" xr:uid="{00000000-0004-0000-0000-000076000000}"/>
    <hyperlink ref="Y123" r:id="rId120" xr:uid="{00000000-0004-0000-0000-000077000000}"/>
    <hyperlink ref="Y124" r:id="rId121" xr:uid="{00000000-0004-0000-0000-000078000000}"/>
    <hyperlink ref="Y125" r:id="rId122" xr:uid="{00000000-0004-0000-0000-000079000000}"/>
    <hyperlink ref="Y126" r:id="rId123" xr:uid="{00000000-0004-0000-0000-00007A000000}"/>
    <hyperlink ref="Y127" r:id="rId124" xr:uid="{00000000-0004-0000-0000-00007B000000}"/>
    <hyperlink ref="Y128" r:id="rId125" xr:uid="{00000000-0004-0000-0000-00007C000000}"/>
    <hyperlink ref="Y129" r:id="rId126" xr:uid="{00000000-0004-0000-0000-00007D000000}"/>
    <hyperlink ref="Y130" r:id="rId127" xr:uid="{00000000-0004-0000-0000-00007E000000}"/>
    <hyperlink ref="Y131" r:id="rId128" xr:uid="{00000000-0004-0000-0000-00007F000000}"/>
    <hyperlink ref="Y132" r:id="rId129" xr:uid="{00000000-0004-0000-0000-000080000000}"/>
    <hyperlink ref="Y133" r:id="rId130" xr:uid="{00000000-0004-0000-0000-000081000000}"/>
    <hyperlink ref="Y134" r:id="rId131" xr:uid="{00000000-0004-0000-0000-000082000000}"/>
    <hyperlink ref="Y135" r:id="rId132" xr:uid="{00000000-0004-0000-0000-000083000000}"/>
    <hyperlink ref="Y136" r:id="rId133" xr:uid="{00000000-0004-0000-0000-000084000000}"/>
    <hyperlink ref="Y137" r:id="rId134" xr:uid="{00000000-0004-0000-0000-000085000000}"/>
    <hyperlink ref="Y138" r:id="rId135" xr:uid="{00000000-0004-0000-0000-000086000000}"/>
    <hyperlink ref="Y139" r:id="rId136" xr:uid="{00000000-0004-0000-0000-000087000000}"/>
    <hyperlink ref="Y140" r:id="rId137" xr:uid="{00000000-0004-0000-0000-000088000000}"/>
    <hyperlink ref="Y141" r:id="rId138" xr:uid="{00000000-0004-0000-0000-000089000000}"/>
  </hyperlinks>
  <pageMargins left="0.7" right="0.7" top="0.78740157499999996" bottom="0.78740157499999996" header="0.3" footer="0.3"/>
  <pageSetup paperSize="9" orientation="portrait" horizontalDpi="0" verticalDpi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60E0BC8-C32B-CB43-9F92-D1E41955616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U1:U1048576</xm:sqref>
        </x14:conditionalFormatting>
        <x14:conditionalFormatting xmlns:xm="http://schemas.microsoft.com/office/excel/2006/main">
          <x14:cfRule type="dataBar" id="{B2871CC0-CC56-4548-A94F-D03EC9EDD386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U1:V5 U89:V1048576 U6:U88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03"/>
  <sheetViews>
    <sheetView zoomScale="83" zoomScaleNormal="98" workbookViewId="0">
      <pane xSplit="2" topLeftCell="C1" activePane="topRight" state="frozen"/>
      <selection activeCell="A25" sqref="A25"/>
      <selection pane="topRight" activeCell="A2" sqref="A2"/>
    </sheetView>
  </sheetViews>
  <sheetFormatPr baseColWidth="10" defaultColWidth="6.125" defaultRowHeight="15.75" x14ac:dyDescent="0.25"/>
  <cols>
    <col min="1" max="1" width="6.625" style="3" customWidth="1"/>
    <col min="2" max="2" width="27.125" style="3" bestFit="1" customWidth="1"/>
    <col min="3" max="3" width="12.875" style="3" customWidth="1"/>
    <col min="4" max="4" width="19" style="3" customWidth="1"/>
    <col min="5" max="5" width="3.125" style="3" customWidth="1"/>
    <col min="6" max="6" width="16.125" style="3" customWidth="1"/>
    <col min="7" max="7" width="2.375" style="3" customWidth="1"/>
    <col min="8" max="8" width="12" style="3" customWidth="1"/>
    <col min="9" max="9" width="5.625" style="5" customWidth="1"/>
    <col min="10" max="10" width="16.125" style="3" customWidth="1"/>
    <col min="11" max="11" width="5.625" style="5" customWidth="1"/>
    <col min="12" max="12" width="13.125" style="3" customWidth="1"/>
    <col min="13" max="13" width="5.625" style="5" customWidth="1"/>
    <col min="14" max="14" width="8.875" style="3" customWidth="1"/>
    <col min="15" max="15" width="10.125" style="3" customWidth="1"/>
    <col min="16" max="16" width="9.625" style="3" customWidth="1"/>
    <col min="17" max="17" width="15.375" style="3" customWidth="1"/>
    <col min="18" max="18" width="13" style="3" bestFit="1" customWidth="1"/>
    <col min="19" max="19" width="12.375" style="3" bestFit="1" customWidth="1"/>
    <col min="20" max="20" width="6.125" style="3"/>
    <col min="21" max="21" width="8.625" style="3" customWidth="1"/>
    <col min="22" max="22" width="175.125" style="3" bestFit="1" customWidth="1"/>
    <col min="23" max="16384" width="6.125" style="3"/>
  </cols>
  <sheetData>
    <row r="1" spans="1:22" s="10" customFormat="1" ht="20.100000000000001" customHeight="1" x14ac:dyDescent="0.25">
      <c r="A1" s="10" t="s">
        <v>196</v>
      </c>
      <c r="B1" s="10" t="s">
        <v>1</v>
      </c>
      <c r="C1" s="10" t="s">
        <v>548</v>
      </c>
      <c r="D1" s="10" t="s">
        <v>549</v>
      </c>
      <c r="E1" s="11" t="s">
        <v>234</v>
      </c>
      <c r="F1" s="10" t="s">
        <v>550</v>
      </c>
      <c r="G1" s="11" t="s">
        <v>234</v>
      </c>
      <c r="H1" s="10" t="s">
        <v>551</v>
      </c>
      <c r="I1" s="11" t="s">
        <v>234</v>
      </c>
      <c r="J1" s="10" t="s">
        <v>552</v>
      </c>
      <c r="K1" s="11" t="s">
        <v>234</v>
      </c>
      <c r="L1" s="10" t="s">
        <v>553</v>
      </c>
      <c r="M1" s="11" t="s">
        <v>234</v>
      </c>
      <c r="N1" s="10" t="s">
        <v>560</v>
      </c>
      <c r="O1" s="10" t="s">
        <v>561</v>
      </c>
      <c r="P1" s="10" t="s">
        <v>532</v>
      </c>
      <c r="Q1" s="10" t="s">
        <v>556</v>
      </c>
      <c r="R1" s="10" t="s">
        <v>562</v>
      </c>
      <c r="S1" s="10" t="s">
        <v>201</v>
      </c>
      <c r="U1" s="10" t="s">
        <v>236</v>
      </c>
    </row>
    <row r="2" spans="1:22" x14ac:dyDescent="0.25">
      <c r="A2" s="3">
        <v>1</v>
      </c>
      <c r="B2" s="3" t="s">
        <v>3</v>
      </c>
      <c r="C2" s="3">
        <f>'Calculation P'!N2</f>
        <v>79.75</v>
      </c>
      <c r="D2" s="3">
        <v>7.14</v>
      </c>
      <c r="E2" s="4" t="str">
        <f>U2</f>
        <v>[1]</v>
      </c>
      <c r="F2" s="3">
        <v>0</v>
      </c>
      <c r="G2" s="4" t="s">
        <v>152</v>
      </c>
      <c r="H2" s="3">
        <f>3.98/17.67</f>
        <v>0.2252405206564799</v>
      </c>
      <c r="I2" s="4" t="str">
        <f>U2</f>
        <v>[1]</v>
      </c>
      <c r="J2" s="3">
        <v>30</v>
      </c>
      <c r="K2" s="4" t="str">
        <f>U3</f>
        <v>[2]</v>
      </c>
      <c r="L2" s="3">
        <v>7.79</v>
      </c>
      <c r="M2" s="4" t="str">
        <f>U3</f>
        <v>[2]</v>
      </c>
      <c r="N2" s="3">
        <f t="shared" ref="N2:N33" si="0">1-2*(D2/C2)^2</f>
        <v>0.98396883678422975</v>
      </c>
      <c r="O2" s="3">
        <f t="shared" ref="O2:O33" si="1">(1+(2/$B$100)*(F2/C2))^2</f>
        <v>1</v>
      </c>
      <c r="P2" s="3">
        <f t="shared" ref="P2:P33" si="2">1/(1+S2*L2)</f>
        <v>0.98377260778551556</v>
      </c>
      <c r="Q2" s="3">
        <f t="shared" ref="Q2:Q35" si="3">P2*N2*O2*$B$101</f>
        <v>0.84506538679795351</v>
      </c>
      <c r="R2" s="3">
        <f t="shared" ref="R2:R33" si="4">-0.357+0.45*EXP(-0.0375*J2)</f>
        <v>-0.21090638968874259</v>
      </c>
      <c r="S2" s="3">
        <f t="shared" ref="S2:S33" si="5">0.0524*(H2-R2)^4-0.15*(H2-R2)^3+0.1659*(H2-R2)^2-0.0706*(H2-R2)+0.0119</f>
        <v>2.1174665069397386E-3</v>
      </c>
      <c r="U2" s="3" t="s">
        <v>237</v>
      </c>
      <c r="V2" s="2" t="s">
        <v>238</v>
      </c>
    </row>
    <row r="3" spans="1:22" x14ac:dyDescent="0.25">
      <c r="A3" s="3">
        <v>2</v>
      </c>
      <c r="B3" s="3" t="s">
        <v>5</v>
      </c>
      <c r="C3" s="3">
        <f>'Calculation P'!N3</f>
        <v>73.3</v>
      </c>
      <c r="D3" s="3">
        <v>6.4</v>
      </c>
      <c r="E3" s="4" t="str">
        <f>U4</f>
        <v>[3]</v>
      </c>
      <c r="F3" s="3">
        <v>0</v>
      </c>
      <c r="G3" s="4" t="s">
        <v>152</v>
      </c>
      <c r="H3" s="3">
        <v>0.28599999999999998</v>
      </c>
      <c r="I3" s="4" t="str">
        <f>U5</f>
        <v>[4]</v>
      </c>
      <c r="J3" s="3">
        <v>27</v>
      </c>
      <c r="K3" s="4" t="str">
        <f>U5</f>
        <v>[4]</v>
      </c>
      <c r="L3" s="3">
        <v>8.7899999999999991</v>
      </c>
      <c r="M3" s="4" t="str">
        <f>U5</f>
        <v>[4]</v>
      </c>
      <c r="N3" s="3">
        <f t="shared" si="0"/>
        <v>0.98475308446664644</v>
      </c>
      <c r="O3" s="3">
        <f t="shared" si="1"/>
        <v>1</v>
      </c>
      <c r="P3" s="3">
        <f t="shared" si="2"/>
        <v>0.97913603333901422</v>
      </c>
      <c r="Q3" s="3">
        <f t="shared" si="3"/>
        <v>0.84175291086726645</v>
      </c>
      <c r="R3" s="3">
        <f t="shared" si="4"/>
        <v>-0.1935106937884449</v>
      </c>
      <c r="S3" s="3">
        <f t="shared" si="5"/>
        <v>2.4241806012870737E-3</v>
      </c>
      <c r="U3" s="3" t="s">
        <v>239</v>
      </c>
      <c r="V3" s="2" t="s">
        <v>241</v>
      </c>
    </row>
    <row r="4" spans="1:22" x14ac:dyDescent="0.25">
      <c r="A4" s="3">
        <v>3</v>
      </c>
      <c r="B4" s="3" t="s">
        <v>7</v>
      </c>
      <c r="C4" s="3">
        <f>'Calculation P'!N4</f>
        <v>60.3</v>
      </c>
      <c r="D4" s="3">
        <v>5.64</v>
      </c>
      <c r="E4" s="4" t="str">
        <f>U6</f>
        <v>[5]</v>
      </c>
      <c r="F4" s="3">
        <v>0</v>
      </c>
      <c r="G4" s="4" t="s">
        <v>152</v>
      </c>
      <c r="H4" s="3">
        <f>2.46/10.56</f>
        <v>0.23295454545454544</v>
      </c>
      <c r="I4" s="4" t="s">
        <v>251</v>
      </c>
      <c r="J4" s="3">
        <v>29.7</v>
      </c>
      <c r="K4" s="4" t="str">
        <f>U7</f>
        <v>[6]</v>
      </c>
      <c r="L4" s="3">
        <v>9.26</v>
      </c>
      <c r="M4" s="4" t="str">
        <f>U7</f>
        <v>[6]</v>
      </c>
      <c r="N4" s="3">
        <f t="shared" si="0"/>
        <v>0.98250340338110442</v>
      </c>
      <c r="O4" s="3">
        <f t="shared" si="1"/>
        <v>1</v>
      </c>
      <c r="P4" s="3">
        <f t="shared" si="2"/>
        <v>0.98044126457184022</v>
      </c>
      <c r="Q4" s="3">
        <f t="shared" si="3"/>
        <v>0.84094944559145435</v>
      </c>
      <c r="R4" s="3">
        <f t="shared" si="4"/>
        <v>-0.20925355682003938</v>
      </c>
      <c r="S4" s="3">
        <f t="shared" si="5"/>
        <v>2.1543100322358004E-3</v>
      </c>
      <c r="U4" s="3" t="s">
        <v>243</v>
      </c>
      <c r="V4" s="2" t="s">
        <v>242</v>
      </c>
    </row>
    <row r="5" spans="1:22" x14ac:dyDescent="0.25">
      <c r="A5" s="3">
        <v>4</v>
      </c>
      <c r="B5" s="3" t="s">
        <v>9</v>
      </c>
      <c r="C5" s="3">
        <f>'Calculation P'!N5</f>
        <v>60.3</v>
      </c>
      <c r="D5" s="3">
        <v>5.64</v>
      </c>
      <c r="E5" s="4" t="str">
        <f>U6</f>
        <v>[5]</v>
      </c>
      <c r="F5" s="3">
        <v>0</v>
      </c>
      <c r="G5" s="4" t="s">
        <v>152</v>
      </c>
      <c r="H5" s="3">
        <f>2.51/10.56</f>
        <v>0.23768939393939389</v>
      </c>
      <c r="I5" s="4" t="s">
        <v>251</v>
      </c>
      <c r="J5" s="3">
        <v>29.7</v>
      </c>
      <c r="K5" s="4" t="str">
        <f>U7</f>
        <v>[6]</v>
      </c>
      <c r="L5" s="3">
        <v>9.26</v>
      </c>
      <c r="M5" s="4" t="str">
        <f>U7</f>
        <v>[6]</v>
      </c>
      <c r="N5" s="3">
        <f t="shared" si="0"/>
        <v>0.98250340338110442</v>
      </c>
      <c r="O5" s="3">
        <f t="shared" si="1"/>
        <v>1</v>
      </c>
      <c r="P5" s="3">
        <f t="shared" si="2"/>
        <v>0.98017219608797745</v>
      </c>
      <c r="Q5" s="3">
        <f t="shared" si="3"/>
        <v>0.84071865869936102</v>
      </c>
      <c r="R5" s="3">
        <f t="shared" si="4"/>
        <v>-0.20925355682003938</v>
      </c>
      <c r="S5" s="3">
        <f t="shared" si="5"/>
        <v>2.1845462792379824E-3</v>
      </c>
      <c r="U5" s="3" t="s">
        <v>245</v>
      </c>
      <c r="V5" s="2" t="s">
        <v>246</v>
      </c>
    </row>
    <row r="6" spans="1:22" x14ac:dyDescent="0.25">
      <c r="A6" s="3">
        <v>5</v>
      </c>
      <c r="B6" s="3" t="s">
        <v>11</v>
      </c>
      <c r="C6" s="3">
        <f>'Calculation P'!N6</f>
        <v>60.3</v>
      </c>
      <c r="D6" s="3">
        <v>5.64</v>
      </c>
      <c r="E6" s="4" t="str">
        <f>U8</f>
        <v>[7]</v>
      </c>
      <c r="F6" s="3">
        <v>0</v>
      </c>
      <c r="G6" s="4" t="s">
        <v>152</v>
      </c>
      <c r="H6" s="3">
        <f>2.5/10.5</f>
        <v>0.23809523809523808</v>
      </c>
      <c r="I6" s="4" t="s">
        <v>251</v>
      </c>
      <c r="J6" s="3">
        <v>29.7</v>
      </c>
      <c r="K6" s="4" t="str">
        <f>U7</f>
        <v>[6]</v>
      </c>
      <c r="L6" s="3">
        <v>9.26</v>
      </c>
      <c r="M6" s="4" t="str">
        <f>U7</f>
        <v>[6]</v>
      </c>
      <c r="N6" s="3">
        <f t="shared" si="0"/>
        <v>0.98250340338110442</v>
      </c>
      <c r="O6" s="3">
        <f t="shared" si="1"/>
        <v>1</v>
      </c>
      <c r="P6" s="3">
        <f t="shared" si="2"/>
        <v>0.98014862352666365</v>
      </c>
      <c r="Q6" s="3">
        <f t="shared" si="3"/>
        <v>0.84069843991310189</v>
      </c>
      <c r="R6" s="3">
        <f t="shared" si="4"/>
        <v>-0.20925355682003938</v>
      </c>
      <c r="S6" s="3">
        <f t="shared" si="5"/>
        <v>2.1871960083301237E-3</v>
      </c>
      <c r="U6" s="3" t="s">
        <v>248</v>
      </c>
      <c r="V6" s="2" t="s">
        <v>247</v>
      </c>
    </row>
    <row r="7" spans="1:22" x14ac:dyDescent="0.25">
      <c r="A7" s="3">
        <v>6</v>
      </c>
      <c r="B7" s="3" t="s">
        <v>13</v>
      </c>
      <c r="C7" s="3">
        <f>'Calculation P'!N7</f>
        <v>63.45</v>
      </c>
      <c r="D7" s="3">
        <v>5.64</v>
      </c>
      <c r="E7" s="4" t="str">
        <f>U9</f>
        <v>[8]</v>
      </c>
      <c r="F7" s="3">
        <v>0</v>
      </c>
      <c r="G7" s="4" t="s">
        <v>152</v>
      </c>
      <c r="H7" s="3">
        <f>2.67/12.18</f>
        <v>0.21921182266009853</v>
      </c>
      <c r="I7" s="4" t="s">
        <v>251</v>
      </c>
      <c r="J7" s="3">
        <v>31.1</v>
      </c>
      <c r="K7" s="4" t="str">
        <f>U7</f>
        <v>[6]</v>
      </c>
      <c r="L7" s="3">
        <v>8.56</v>
      </c>
      <c r="M7" s="4" t="str">
        <f>U7</f>
        <v>[6]</v>
      </c>
      <c r="N7" s="3">
        <f t="shared" si="0"/>
        <v>0.98419753086419748</v>
      </c>
      <c r="O7" s="3">
        <f t="shared" si="1"/>
        <v>1</v>
      </c>
      <c r="P7" s="3">
        <f t="shared" si="2"/>
        <v>0.9822032579365878</v>
      </c>
      <c r="Q7" s="3">
        <f t="shared" si="3"/>
        <v>0.84391340456692931</v>
      </c>
      <c r="R7" s="3">
        <f t="shared" si="4"/>
        <v>-0.21681014896806897</v>
      </c>
      <c r="S7" s="3">
        <f t="shared" si="5"/>
        <v>2.1167295419437515E-3</v>
      </c>
      <c r="U7" s="3" t="s">
        <v>250</v>
      </c>
      <c r="V7" s="2" t="s">
        <v>241</v>
      </c>
    </row>
    <row r="8" spans="1:22" x14ac:dyDescent="0.25">
      <c r="A8" s="3">
        <v>7</v>
      </c>
      <c r="B8" s="3" t="s">
        <v>15</v>
      </c>
      <c r="C8" s="3">
        <f>'Calculation P'!N8</f>
        <v>63.45</v>
      </c>
      <c r="D8" s="3">
        <v>5.64</v>
      </c>
      <c r="E8" s="4" t="str">
        <f>U9</f>
        <v>[8]</v>
      </c>
      <c r="F8" s="3">
        <v>0</v>
      </c>
      <c r="G8" s="4" t="s">
        <v>152</v>
      </c>
      <c r="H8" s="3">
        <f>2.67/12.18</f>
        <v>0.21921182266009853</v>
      </c>
      <c r="I8" s="4" t="s">
        <v>251</v>
      </c>
      <c r="J8" s="3">
        <v>31.1</v>
      </c>
      <c r="K8" s="4" t="str">
        <f>U7</f>
        <v>[6]</v>
      </c>
      <c r="L8" s="3">
        <v>8.56</v>
      </c>
      <c r="M8" s="4" t="str">
        <f>U7</f>
        <v>[6]</v>
      </c>
      <c r="N8" s="3">
        <f t="shared" si="0"/>
        <v>0.98419753086419748</v>
      </c>
      <c r="O8" s="3">
        <f t="shared" si="1"/>
        <v>1</v>
      </c>
      <c r="P8" s="3">
        <f t="shared" si="2"/>
        <v>0.9822032579365878</v>
      </c>
      <c r="Q8" s="3">
        <f t="shared" si="3"/>
        <v>0.84391340456692931</v>
      </c>
      <c r="R8" s="3">
        <f t="shared" si="4"/>
        <v>-0.21681014896806897</v>
      </c>
      <c r="S8" s="3">
        <f t="shared" si="5"/>
        <v>2.1167295419437515E-3</v>
      </c>
      <c r="U8" s="3" t="s">
        <v>253</v>
      </c>
      <c r="V8" s="2" t="s">
        <v>254</v>
      </c>
    </row>
    <row r="9" spans="1:22" x14ac:dyDescent="0.25">
      <c r="A9" s="3">
        <v>8</v>
      </c>
      <c r="B9" s="3" t="s">
        <v>17</v>
      </c>
      <c r="C9" s="3">
        <f>'Calculation P'!N9</f>
        <v>64.75</v>
      </c>
      <c r="D9" s="3">
        <v>5.96</v>
      </c>
      <c r="E9" s="4" t="str">
        <f>U10</f>
        <v>[9]</v>
      </c>
      <c r="F9" s="3">
        <v>2.88</v>
      </c>
      <c r="G9" s="4" t="str">
        <f>U10</f>
        <v>[9]</v>
      </c>
      <c r="H9" s="3">
        <f>5.18/13.47</f>
        <v>0.38455827765404599</v>
      </c>
      <c r="I9" s="4" t="s">
        <v>251</v>
      </c>
      <c r="J9" s="3">
        <v>31.9</v>
      </c>
      <c r="K9" s="4" t="str">
        <f>U10</f>
        <v>[9]</v>
      </c>
      <c r="L9" s="3">
        <f>64.75^2/354</f>
        <v>11.843396892655367</v>
      </c>
      <c r="M9" s="4" t="str">
        <f>U10</f>
        <v>[9]</v>
      </c>
      <c r="N9" s="3">
        <f t="shared" si="0"/>
        <v>0.98305494551363282</v>
      </c>
      <c r="O9" s="3">
        <f t="shared" si="1"/>
        <v>1.0638555926354234</v>
      </c>
      <c r="P9" s="3">
        <f t="shared" si="2"/>
        <v>0.95780069251712197</v>
      </c>
      <c r="Q9" s="3">
        <f t="shared" si="3"/>
        <v>0.87447996471859613</v>
      </c>
      <c r="R9" s="3">
        <f t="shared" si="4"/>
        <v>-0.22095338521723176</v>
      </c>
      <c r="S9" s="3">
        <f t="shared" si="5"/>
        <v>3.7200938280773227E-3</v>
      </c>
      <c r="U9" s="3" t="s">
        <v>255</v>
      </c>
      <c r="V9" s="2" t="s">
        <v>258</v>
      </c>
    </row>
    <row r="10" spans="1:22" x14ac:dyDescent="0.25">
      <c r="A10" s="3">
        <v>9</v>
      </c>
      <c r="B10" s="3" t="s">
        <v>19</v>
      </c>
      <c r="C10" s="3">
        <f>'Calculation P'!N10</f>
        <v>64.44</v>
      </c>
      <c r="D10" s="3">
        <v>6.5</v>
      </c>
      <c r="E10" s="4" t="str">
        <f>U11</f>
        <v>[10]</v>
      </c>
      <c r="F10" s="3">
        <v>0</v>
      </c>
      <c r="G10" s="4" t="s">
        <v>152</v>
      </c>
      <c r="H10" s="3">
        <v>0.27500000000000002</v>
      </c>
      <c r="I10" s="4" t="str">
        <f>U12</f>
        <v>[11]</v>
      </c>
      <c r="J10" s="3">
        <v>38</v>
      </c>
      <c r="K10" s="4" t="str">
        <f>U12</f>
        <v>[11]</v>
      </c>
      <c r="L10" s="3">
        <v>7.39</v>
      </c>
      <c r="M10" s="4" t="str">
        <f>U12</f>
        <v>[11]</v>
      </c>
      <c r="N10" s="3">
        <f t="shared" si="0"/>
        <v>0.979650879409522</v>
      </c>
      <c r="O10" s="3">
        <f t="shared" si="1"/>
        <v>1</v>
      </c>
      <c r="P10" s="3">
        <f t="shared" si="2"/>
        <v>0.97955464901448086</v>
      </c>
      <c r="Q10" s="3">
        <f t="shared" si="3"/>
        <v>0.83774963352295817</v>
      </c>
      <c r="R10" s="3">
        <f t="shared" si="4"/>
        <v>-0.24877119155624602</v>
      </c>
      <c r="S10" s="3">
        <f t="shared" si="5"/>
        <v>2.8243691682842582E-3</v>
      </c>
      <c r="U10" s="3" t="s">
        <v>257</v>
      </c>
      <c r="V10" s="2" t="s">
        <v>264</v>
      </c>
    </row>
    <row r="11" spans="1:22" x14ac:dyDescent="0.25">
      <c r="A11" s="3">
        <v>10</v>
      </c>
      <c r="B11" s="3" t="s">
        <v>21</v>
      </c>
      <c r="C11" s="3">
        <f>'Calculation P'!N11</f>
        <v>68.400000000000006</v>
      </c>
      <c r="D11" s="3">
        <v>6.5</v>
      </c>
      <c r="E11" s="4" t="str">
        <f>U13</f>
        <v>[12]</v>
      </c>
      <c r="F11" s="3">
        <v>0</v>
      </c>
      <c r="G11" s="4" t="s">
        <v>152</v>
      </c>
      <c r="H11" s="3">
        <f>3.25/14.7</f>
        <v>0.22108843537414968</v>
      </c>
      <c r="I11" s="4" t="str">
        <f>U13</f>
        <v>[12]</v>
      </c>
      <c r="J11" s="3">
        <v>38</v>
      </c>
      <c r="K11" s="4" t="str">
        <f>U12</f>
        <v>[11]</v>
      </c>
      <c r="L11" s="3">
        <f>C11^2/541.2</f>
        <v>8.6447893569844787</v>
      </c>
      <c r="M11" s="4" t="s">
        <v>251</v>
      </c>
      <c r="N11" s="3">
        <f t="shared" si="0"/>
        <v>0.98193888717896105</v>
      </c>
      <c r="O11" s="3">
        <f t="shared" si="1"/>
        <v>1</v>
      </c>
      <c r="P11" s="3">
        <f t="shared" si="2"/>
        <v>0.98010807001041245</v>
      </c>
      <c r="Q11" s="3">
        <f t="shared" si="3"/>
        <v>0.84018063667833842</v>
      </c>
      <c r="R11" s="3">
        <f t="shared" si="4"/>
        <v>-0.24877119155624602</v>
      </c>
      <c r="S11" s="3">
        <f t="shared" si="5"/>
        <v>2.3477321185097211E-3</v>
      </c>
      <c r="U11" s="3" t="s">
        <v>259</v>
      </c>
      <c r="V11" s="2" t="s">
        <v>268</v>
      </c>
    </row>
    <row r="12" spans="1:22" x14ac:dyDescent="0.25">
      <c r="A12" s="3">
        <v>11</v>
      </c>
      <c r="B12" s="3" t="s">
        <v>23</v>
      </c>
      <c r="C12" s="3">
        <f>'Calculation P'!N12</f>
        <v>60.93</v>
      </c>
      <c r="D12" s="3">
        <v>6.2</v>
      </c>
      <c r="E12" s="4" t="str">
        <f>U14</f>
        <v>[13]</v>
      </c>
      <c r="F12" s="3">
        <v>0</v>
      </c>
      <c r="G12" s="4" t="s">
        <v>152</v>
      </c>
      <c r="H12" s="3">
        <v>0.14899999999999999</v>
      </c>
      <c r="I12" s="4" t="str">
        <f>U15</f>
        <v>[14]</v>
      </c>
      <c r="J12" s="3">
        <v>31.6</v>
      </c>
      <c r="K12" s="4" t="str">
        <f>U15</f>
        <v>[14]</v>
      </c>
      <c r="L12" s="3">
        <v>8.67</v>
      </c>
      <c r="M12" s="4" t="str">
        <f>U15</f>
        <v>[14]</v>
      </c>
      <c r="N12" s="3">
        <f t="shared" si="0"/>
        <v>0.97929138670105675</v>
      </c>
      <c r="O12" s="3">
        <f t="shared" si="1"/>
        <v>1</v>
      </c>
      <c r="P12" s="3">
        <f t="shared" si="2"/>
        <v>0.9840284737469106</v>
      </c>
      <c r="Q12" s="3">
        <f t="shared" si="3"/>
        <v>0.84126698131560151</v>
      </c>
      <c r="R12" s="3">
        <f t="shared" si="4"/>
        <v>-0.21941421922557969</v>
      </c>
      <c r="S12" s="3">
        <f t="shared" si="5"/>
        <v>1.8720595388552509E-3</v>
      </c>
      <c r="U12" s="3" t="s">
        <v>261</v>
      </c>
      <c r="V12" s="2" t="s">
        <v>272</v>
      </c>
    </row>
    <row r="13" spans="1:22" x14ac:dyDescent="0.25">
      <c r="A13" s="3">
        <v>12</v>
      </c>
      <c r="B13" s="3" t="s">
        <v>25</v>
      </c>
      <c r="C13" s="3">
        <f>'Calculation P'!N13</f>
        <v>60.93</v>
      </c>
      <c r="D13" s="3">
        <v>6.2</v>
      </c>
      <c r="E13" s="4" t="str">
        <f>U14</f>
        <v>[13]</v>
      </c>
      <c r="F13" s="3">
        <v>0</v>
      </c>
      <c r="G13" s="4" t="s">
        <v>152</v>
      </c>
      <c r="H13" s="3">
        <v>0.14899999999999999</v>
      </c>
      <c r="I13" s="4" t="str">
        <f>U15</f>
        <v>[14]</v>
      </c>
      <c r="J13" s="3">
        <v>31.6</v>
      </c>
      <c r="K13" s="4" t="str">
        <f>U15</f>
        <v>[14]</v>
      </c>
      <c r="L13" s="3">
        <v>8.67</v>
      </c>
      <c r="M13" s="4" t="str">
        <f>U15</f>
        <v>[14]</v>
      </c>
      <c r="N13" s="3">
        <f t="shared" si="0"/>
        <v>0.97929138670105675</v>
      </c>
      <c r="O13" s="3">
        <f t="shared" si="1"/>
        <v>1</v>
      </c>
      <c r="P13" s="3">
        <f t="shared" si="2"/>
        <v>0.9840284737469106</v>
      </c>
      <c r="Q13" s="3">
        <f t="shared" si="3"/>
        <v>0.84126698131560151</v>
      </c>
      <c r="R13" s="3">
        <f t="shared" si="4"/>
        <v>-0.21941421922557969</v>
      </c>
      <c r="S13" s="3">
        <f t="shared" si="5"/>
        <v>1.8720595388552509E-3</v>
      </c>
      <c r="U13" s="3" t="s">
        <v>263</v>
      </c>
      <c r="V13" s="2" t="s">
        <v>273</v>
      </c>
    </row>
    <row r="14" spans="1:22" x14ac:dyDescent="0.25">
      <c r="A14" s="3">
        <v>13</v>
      </c>
      <c r="B14" s="3" t="s">
        <v>27</v>
      </c>
      <c r="C14" s="3">
        <f>'Calculation P'!N14</f>
        <v>64.8</v>
      </c>
      <c r="D14" s="3">
        <v>6.2</v>
      </c>
      <c r="E14" s="4" t="str">
        <f>U16</f>
        <v>[15]</v>
      </c>
      <c r="F14" s="3">
        <v>0</v>
      </c>
      <c r="G14" s="4" t="s">
        <v>152</v>
      </c>
      <c r="H14" s="3">
        <v>0.14899999999999999</v>
      </c>
      <c r="I14" s="4" t="str">
        <f>U15</f>
        <v>[14]</v>
      </c>
      <c r="J14" s="3">
        <v>31.6</v>
      </c>
      <c r="K14" s="4" t="str">
        <f>U15</f>
        <v>[14]</v>
      </c>
      <c r="L14" s="3">
        <v>8.67</v>
      </c>
      <c r="M14" s="4" t="str">
        <f>U15</f>
        <v>[14]</v>
      </c>
      <c r="N14" s="3">
        <f t="shared" si="0"/>
        <v>0.98169105319311079</v>
      </c>
      <c r="O14" s="3">
        <f t="shared" si="1"/>
        <v>1</v>
      </c>
      <c r="P14" s="3">
        <f t="shared" si="2"/>
        <v>0.9840284737469106</v>
      </c>
      <c r="Q14" s="3">
        <f t="shared" si="3"/>
        <v>0.84332843127150803</v>
      </c>
      <c r="R14" s="3">
        <f t="shared" si="4"/>
        <v>-0.21941421922557969</v>
      </c>
      <c r="S14" s="3">
        <f t="shared" si="5"/>
        <v>1.8720595388552509E-3</v>
      </c>
      <c r="U14" s="3" t="s">
        <v>265</v>
      </c>
      <c r="V14" s="2" t="s">
        <v>277</v>
      </c>
    </row>
    <row r="15" spans="1:22" x14ac:dyDescent="0.25">
      <c r="A15" s="3">
        <v>14</v>
      </c>
      <c r="B15" s="3" t="s">
        <v>29</v>
      </c>
      <c r="C15" s="3">
        <f>'Calculation P'!N15</f>
        <v>64.8</v>
      </c>
      <c r="D15" s="3">
        <v>6.2</v>
      </c>
      <c r="E15" s="4" t="str">
        <f>U16</f>
        <v>[15]</v>
      </c>
      <c r="F15" s="3">
        <v>0</v>
      </c>
      <c r="G15" s="4" t="s">
        <v>152</v>
      </c>
      <c r="H15" s="3">
        <v>0.14899999999999999</v>
      </c>
      <c r="I15" s="4" t="str">
        <f>U15</f>
        <v>[14]</v>
      </c>
      <c r="J15" s="3">
        <v>31.6</v>
      </c>
      <c r="K15" s="4" t="str">
        <f>U15</f>
        <v>[14]</v>
      </c>
      <c r="L15" s="3">
        <v>8.67</v>
      </c>
      <c r="M15" s="4" t="str">
        <f>U15</f>
        <v>[14]</v>
      </c>
      <c r="N15" s="3">
        <f t="shared" si="0"/>
        <v>0.98169105319311079</v>
      </c>
      <c r="O15" s="3">
        <f t="shared" si="1"/>
        <v>1</v>
      </c>
      <c r="P15" s="3">
        <f t="shared" si="2"/>
        <v>0.9840284737469106</v>
      </c>
      <c r="Q15" s="3">
        <f t="shared" si="3"/>
        <v>0.84332843127150803</v>
      </c>
      <c r="R15" s="3">
        <f t="shared" si="4"/>
        <v>-0.21941421922557969</v>
      </c>
      <c r="S15" s="3">
        <f t="shared" si="5"/>
        <v>1.8720595388552509E-3</v>
      </c>
      <c r="U15" s="3" t="s">
        <v>267</v>
      </c>
      <c r="V15" s="2" t="s">
        <v>283</v>
      </c>
    </row>
    <row r="16" spans="1:22" x14ac:dyDescent="0.25">
      <c r="A16" s="3">
        <v>15</v>
      </c>
      <c r="B16" s="3" t="s">
        <v>31</v>
      </c>
      <c r="C16" s="3">
        <f>'Calculation P'!N16</f>
        <v>60.12</v>
      </c>
      <c r="D16" s="3">
        <v>5.77</v>
      </c>
      <c r="E16" s="4" t="str">
        <f>U17</f>
        <v>[16]</v>
      </c>
      <c r="F16" s="3">
        <v>0</v>
      </c>
      <c r="G16" s="4" t="s">
        <v>152</v>
      </c>
      <c r="H16" s="3">
        <v>0.18</v>
      </c>
      <c r="I16" s="4" t="str">
        <f>U18</f>
        <v>[17]</v>
      </c>
      <c r="J16" s="3">
        <v>32.200000000000003</v>
      </c>
      <c r="K16" s="4" t="str">
        <f>U18</f>
        <v>[17]</v>
      </c>
      <c r="L16" s="3">
        <v>10.58</v>
      </c>
      <c r="M16" s="4" t="str">
        <f>U17</f>
        <v>[16]</v>
      </c>
      <c r="N16" s="3">
        <f t="shared" si="0"/>
        <v>0.98157770730439764</v>
      </c>
      <c r="O16" s="3">
        <f t="shared" si="1"/>
        <v>1</v>
      </c>
      <c r="P16" s="3">
        <f t="shared" si="2"/>
        <v>0.97974124938322293</v>
      </c>
      <c r="Q16" s="3">
        <f t="shared" si="3"/>
        <v>0.83955726381734663</v>
      </c>
      <c r="R16" s="3">
        <f t="shared" si="4"/>
        <v>-0.22247533262759939</v>
      </c>
      <c r="S16" s="3">
        <f t="shared" si="5"/>
        <v>1.9544096458968402E-3</v>
      </c>
      <c r="U16" s="3" t="s">
        <v>269</v>
      </c>
      <c r="V16" s="2" t="s">
        <v>288</v>
      </c>
    </row>
    <row r="17" spans="1:22" x14ac:dyDescent="0.25">
      <c r="A17" s="3">
        <v>16</v>
      </c>
      <c r="B17" s="3" t="s">
        <v>33</v>
      </c>
      <c r="C17" s="3">
        <f>'Calculation P'!N17</f>
        <v>60.12</v>
      </c>
      <c r="D17" s="3">
        <v>5.77</v>
      </c>
      <c r="E17" s="4" t="str">
        <f>U17</f>
        <v>[16]</v>
      </c>
      <c r="F17" s="3">
        <v>0</v>
      </c>
      <c r="G17" s="4" t="s">
        <v>152</v>
      </c>
      <c r="H17" s="3">
        <v>0.18</v>
      </c>
      <c r="I17" s="4" t="str">
        <f>U18</f>
        <v>[17]</v>
      </c>
      <c r="J17" s="3">
        <v>32.200000000000003</v>
      </c>
      <c r="K17" s="4" t="str">
        <f>U18</f>
        <v>[17]</v>
      </c>
      <c r="L17" s="3">
        <v>10.58</v>
      </c>
      <c r="M17" s="4" t="str">
        <f>U17</f>
        <v>[16]</v>
      </c>
      <c r="N17" s="3">
        <f t="shared" si="0"/>
        <v>0.98157770730439764</v>
      </c>
      <c r="O17" s="3">
        <f t="shared" si="1"/>
        <v>1</v>
      </c>
      <c r="P17" s="3">
        <f t="shared" si="2"/>
        <v>0.97974124938322293</v>
      </c>
      <c r="Q17" s="3">
        <f t="shared" si="3"/>
        <v>0.83955726381734663</v>
      </c>
      <c r="R17" s="3">
        <f t="shared" si="4"/>
        <v>-0.22247533262759939</v>
      </c>
      <c r="S17" s="3">
        <f t="shared" si="5"/>
        <v>1.9544096458968402E-3</v>
      </c>
      <c r="U17" s="3" t="s">
        <v>271</v>
      </c>
      <c r="V17" s="2" t="s">
        <v>290</v>
      </c>
    </row>
    <row r="18" spans="1:22" x14ac:dyDescent="0.25">
      <c r="A18" s="3">
        <v>17</v>
      </c>
      <c r="B18" s="3" t="s">
        <v>218</v>
      </c>
      <c r="C18" s="3">
        <f>'Calculation P'!N18</f>
        <v>55.57</v>
      </c>
      <c r="D18" s="3">
        <v>6.08</v>
      </c>
      <c r="E18" s="4" t="str">
        <f>U19</f>
        <v>[18]</v>
      </c>
      <c r="F18" s="3">
        <v>0</v>
      </c>
      <c r="G18" s="4" t="s">
        <v>152</v>
      </c>
      <c r="H18" s="3">
        <v>0.27900000000000003</v>
      </c>
      <c r="I18" s="4" t="str">
        <f>U19</f>
        <v>[18]</v>
      </c>
      <c r="J18" s="3">
        <v>30</v>
      </c>
      <c r="K18" s="4" t="str">
        <f>U19</f>
        <v>[18]</v>
      </c>
      <c r="L18" s="3">
        <v>7.89</v>
      </c>
      <c r="M18" s="4" t="str">
        <f>U19</f>
        <v>[18]</v>
      </c>
      <c r="N18" s="3">
        <f t="shared" si="0"/>
        <v>0.97605822414191024</v>
      </c>
      <c r="O18" s="3">
        <f t="shared" si="1"/>
        <v>1</v>
      </c>
      <c r="P18" s="3">
        <f t="shared" si="2"/>
        <v>0.9805716412180423</v>
      </c>
      <c r="Q18" s="3">
        <f t="shared" si="3"/>
        <v>0.83554394789525821</v>
      </c>
      <c r="R18" s="3">
        <f t="shared" si="4"/>
        <v>-0.21090638968874259</v>
      </c>
      <c r="S18" s="3">
        <f t="shared" si="5"/>
        <v>2.5111912112697685E-3</v>
      </c>
      <c r="U18" s="3" t="s">
        <v>274</v>
      </c>
      <c r="V18" s="2" t="s">
        <v>294</v>
      </c>
    </row>
    <row r="19" spans="1:22" x14ac:dyDescent="0.25">
      <c r="A19" s="3">
        <v>18</v>
      </c>
      <c r="B19" s="3" t="s">
        <v>36</v>
      </c>
      <c r="C19" s="3">
        <f>'Calculation P'!N19</f>
        <v>44.84</v>
      </c>
      <c r="D19" s="3">
        <v>5.64</v>
      </c>
      <c r="E19" s="4" t="str">
        <f>U20</f>
        <v>[19]</v>
      </c>
      <c r="F19" s="3">
        <v>0</v>
      </c>
      <c r="G19" s="4" t="s">
        <v>152</v>
      </c>
      <c r="H19" s="3">
        <f>2.75/9.4</f>
        <v>0.29255319148936171</v>
      </c>
      <c r="I19" s="4" t="s">
        <v>251</v>
      </c>
      <c r="J19" s="3">
        <v>28</v>
      </c>
      <c r="K19" s="4" t="str">
        <f>U12</f>
        <v>[11]</v>
      </c>
      <c r="L19" s="3">
        <v>7.73</v>
      </c>
      <c r="M19" s="4" t="str">
        <f>U12</f>
        <v>[11]</v>
      </c>
      <c r="N19" s="3">
        <f t="shared" si="0"/>
        <v>0.96835850493498143</v>
      </c>
      <c r="O19" s="3">
        <f t="shared" si="1"/>
        <v>1</v>
      </c>
      <c r="P19" s="3">
        <f t="shared" si="2"/>
        <v>0.98081841220876398</v>
      </c>
      <c r="Q19" s="3">
        <f t="shared" si="3"/>
        <v>0.82916130214926509</v>
      </c>
      <c r="R19" s="3">
        <f t="shared" si="4"/>
        <v>-0.1995280128999801</v>
      </c>
      <c r="S19" s="3">
        <f t="shared" si="5"/>
        <v>2.5299762831732728E-3</v>
      </c>
      <c r="U19" s="3" t="s">
        <v>276</v>
      </c>
      <c r="V19" s="2" t="s">
        <v>246</v>
      </c>
    </row>
    <row r="20" spans="1:22" x14ac:dyDescent="0.25">
      <c r="A20" s="3">
        <v>19</v>
      </c>
      <c r="B20" s="3" t="s">
        <v>38</v>
      </c>
      <c r="C20" s="3">
        <f>'Calculation P'!N20</f>
        <v>43.9</v>
      </c>
      <c r="D20" s="3">
        <v>5.64</v>
      </c>
      <c r="E20" s="4" t="str">
        <f>U21</f>
        <v>[20]</v>
      </c>
      <c r="F20" s="3">
        <v>0</v>
      </c>
      <c r="G20" s="4" t="s">
        <v>152</v>
      </c>
      <c r="H20" s="3">
        <v>0.28299999999999997</v>
      </c>
      <c r="I20" s="4" t="str">
        <f>U12</f>
        <v>[11]</v>
      </c>
      <c r="J20" s="3">
        <v>28</v>
      </c>
      <c r="K20" s="4" t="str">
        <f>U12</f>
        <v>[11]</v>
      </c>
      <c r="L20" s="3">
        <v>8.8000000000000007</v>
      </c>
      <c r="M20" s="4" t="str">
        <f>U12</f>
        <v>[11]</v>
      </c>
      <c r="N20" s="3">
        <f t="shared" si="0"/>
        <v>0.96698896332003259</v>
      </c>
      <c r="O20" s="3">
        <f t="shared" si="1"/>
        <v>1</v>
      </c>
      <c r="P20" s="3">
        <f t="shared" si="2"/>
        <v>0.97890387027998238</v>
      </c>
      <c r="Q20" s="3">
        <f t="shared" si="3"/>
        <v>0.82637240539558288</v>
      </c>
      <c r="R20" s="3">
        <f t="shared" si="4"/>
        <v>-0.1995280128999801</v>
      </c>
      <c r="S20" s="3">
        <f t="shared" si="5"/>
        <v>2.4489508530578831E-3</v>
      </c>
      <c r="U20" s="3" t="s">
        <v>278</v>
      </c>
      <c r="V20" s="2" t="s">
        <v>298</v>
      </c>
    </row>
    <row r="21" spans="1:22" x14ac:dyDescent="0.25">
      <c r="A21" s="3">
        <v>20</v>
      </c>
      <c r="B21" s="3" t="s">
        <v>212</v>
      </c>
      <c r="C21" s="3">
        <f>'Calculation P'!N21</f>
        <v>44.42</v>
      </c>
      <c r="D21" s="3">
        <v>3.76</v>
      </c>
      <c r="E21" s="4" t="str">
        <f>U22</f>
        <v>[21]</v>
      </c>
      <c r="F21" s="3">
        <v>0</v>
      </c>
      <c r="G21" s="4" t="s">
        <v>152</v>
      </c>
      <c r="H21" s="3">
        <v>0.25900000000000001</v>
      </c>
      <c r="I21" s="4" t="str">
        <f>U23</f>
        <v>[22]</v>
      </c>
      <c r="J21" s="3">
        <v>35</v>
      </c>
      <c r="K21" s="4" t="str">
        <f>U23</f>
        <v>[22]</v>
      </c>
      <c r="L21" s="3">
        <v>6.96</v>
      </c>
      <c r="M21" s="4" t="str">
        <f>U23</f>
        <v>[22]</v>
      </c>
      <c r="N21" s="3">
        <f t="shared" si="0"/>
        <v>0.98566992124822184</v>
      </c>
      <c r="O21" s="3">
        <f t="shared" si="1"/>
        <v>1</v>
      </c>
      <c r="P21" s="3">
        <f t="shared" si="2"/>
        <v>0.98253143878966875</v>
      </c>
      <c r="Q21" s="3">
        <f t="shared" si="3"/>
        <v>0.84545832178695901</v>
      </c>
      <c r="R21" s="3">
        <f t="shared" si="4"/>
        <v>-0.23588414307186722</v>
      </c>
      <c r="S21" s="3">
        <f t="shared" si="5"/>
        <v>2.5544737293114843E-3</v>
      </c>
      <c r="U21" s="3" t="s">
        <v>281</v>
      </c>
      <c r="V21" s="2" t="s">
        <v>302</v>
      </c>
    </row>
    <row r="22" spans="1:22" x14ac:dyDescent="0.25">
      <c r="A22" s="3">
        <v>21</v>
      </c>
      <c r="B22" s="3" t="s">
        <v>41</v>
      </c>
      <c r="C22" s="3">
        <f>'Calculation P'!N22</f>
        <v>38.049999999999997</v>
      </c>
      <c r="D22" s="3">
        <v>3.76</v>
      </c>
      <c r="E22" s="4" t="str">
        <f>U24</f>
        <v>[23]</v>
      </c>
      <c r="F22" s="3">
        <v>0</v>
      </c>
      <c r="G22" s="4" t="s">
        <v>152</v>
      </c>
      <c r="H22" s="3">
        <v>0.24299999999999999</v>
      </c>
      <c r="I22" s="4" t="str">
        <f>U25</f>
        <v>[24]</v>
      </c>
      <c r="J22" s="3">
        <v>25</v>
      </c>
      <c r="K22" s="4" t="str">
        <f>U25</f>
        <v>[24]</v>
      </c>
      <c r="L22" s="3">
        <v>7.82</v>
      </c>
      <c r="M22" s="4" t="str">
        <f>U25</f>
        <v>[24]</v>
      </c>
      <c r="N22" s="3">
        <f t="shared" si="0"/>
        <v>0.98047026441797136</v>
      </c>
      <c r="O22" s="3">
        <f t="shared" si="1"/>
        <v>1</v>
      </c>
      <c r="P22" s="3">
        <f t="shared" si="2"/>
        <v>0.98422894501455538</v>
      </c>
      <c r="Q22" s="3">
        <f t="shared" si="3"/>
        <v>0.84245129779252936</v>
      </c>
      <c r="R22" s="3">
        <f t="shared" si="4"/>
        <v>-0.18077746799544042</v>
      </c>
      <c r="S22" s="3">
        <f t="shared" si="5"/>
        <v>2.0490750244248519E-3</v>
      </c>
      <c r="U22" s="3" t="s">
        <v>282</v>
      </c>
      <c r="V22" s="2" t="s">
        <v>306</v>
      </c>
    </row>
    <row r="23" spans="1:22" x14ac:dyDescent="0.25">
      <c r="A23" s="3">
        <v>22</v>
      </c>
      <c r="B23" s="3" t="s">
        <v>43</v>
      </c>
      <c r="C23" s="3">
        <f>'Calculation P'!N23</f>
        <v>38.06</v>
      </c>
      <c r="D23" s="3">
        <v>3.76</v>
      </c>
      <c r="E23" s="4" t="str">
        <f>U24</f>
        <v>[23]</v>
      </c>
      <c r="F23" s="3">
        <v>0</v>
      </c>
      <c r="G23" s="4" t="s">
        <v>152</v>
      </c>
      <c r="H23" s="3">
        <v>0.24299999999999999</v>
      </c>
      <c r="I23" s="4" t="str">
        <f>U25</f>
        <v>[24]</v>
      </c>
      <c r="J23" s="3">
        <v>25</v>
      </c>
      <c r="K23" s="4" t="str">
        <f>U25</f>
        <v>[24]</v>
      </c>
      <c r="L23" s="3">
        <v>7.82</v>
      </c>
      <c r="M23" s="4" t="str">
        <f>U25</f>
        <v>[24]</v>
      </c>
      <c r="N23" s="3">
        <f t="shared" si="0"/>
        <v>0.9804805256738468</v>
      </c>
      <c r="O23" s="3">
        <f t="shared" si="1"/>
        <v>1</v>
      </c>
      <c r="P23" s="3">
        <f t="shared" si="2"/>
        <v>0.98422894501455538</v>
      </c>
      <c r="Q23" s="3">
        <f t="shared" si="3"/>
        <v>0.84246011459059345</v>
      </c>
      <c r="R23" s="3">
        <f t="shared" si="4"/>
        <v>-0.18077746799544042</v>
      </c>
      <c r="S23" s="3">
        <f t="shared" si="5"/>
        <v>2.0490750244248519E-3</v>
      </c>
      <c r="U23" s="3" t="s">
        <v>285</v>
      </c>
      <c r="V23" s="2" t="s">
        <v>308</v>
      </c>
    </row>
    <row r="24" spans="1:22" x14ac:dyDescent="0.25">
      <c r="A24" s="3">
        <v>23</v>
      </c>
      <c r="B24" s="3" t="s">
        <v>45</v>
      </c>
      <c r="C24" s="3">
        <f>'Calculation P'!N24</f>
        <v>47.57</v>
      </c>
      <c r="D24" s="3">
        <v>5.03</v>
      </c>
      <c r="E24" s="4" t="str">
        <f>U26</f>
        <v>[25]</v>
      </c>
      <c r="F24" s="3">
        <v>0</v>
      </c>
      <c r="G24" s="4" t="s">
        <v>152</v>
      </c>
      <c r="H24" s="3">
        <v>0.20699999999999999</v>
      </c>
      <c r="I24" s="4" t="str">
        <f>U25</f>
        <v>[24]</v>
      </c>
      <c r="J24" s="3">
        <v>31.5</v>
      </c>
      <c r="K24" s="4" t="str">
        <f>U25</f>
        <v>[24]</v>
      </c>
      <c r="L24" s="3">
        <v>7.99</v>
      </c>
      <c r="M24" s="4" t="str">
        <f>U25</f>
        <v>[24]</v>
      </c>
      <c r="N24" s="3">
        <f t="shared" si="0"/>
        <v>0.97763856536790383</v>
      </c>
      <c r="O24" s="3">
        <f t="shared" si="1"/>
        <v>1</v>
      </c>
      <c r="P24" s="3">
        <f t="shared" si="2"/>
        <v>0.98380614406253997</v>
      </c>
      <c r="Q24" s="3">
        <f t="shared" si="3"/>
        <v>0.83965736021668913</v>
      </c>
      <c r="R24" s="3">
        <f t="shared" si="4"/>
        <v>-0.21889730393726997</v>
      </c>
      <c r="S24" s="3">
        <f t="shared" si="5"/>
        <v>2.0601268463565393E-3</v>
      </c>
      <c r="U24" s="3" t="s">
        <v>287</v>
      </c>
      <c r="V24" s="2" t="s">
        <v>309</v>
      </c>
    </row>
    <row r="25" spans="1:22" x14ac:dyDescent="0.25">
      <c r="A25" s="3">
        <v>24</v>
      </c>
      <c r="B25" s="3" t="s">
        <v>47</v>
      </c>
      <c r="C25" s="3">
        <f>'Calculation P'!N25</f>
        <v>47.57</v>
      </c>
      <c r="D25" s="3">
        <v>5.03</v>
      </c>
      <c r="E25" s="4" t="str">
        <f>U26</f>
        <v>[25]</v>
      </c>
      <c r="F25" s="3">
        <v>0</v>
      </c>
      <c r="G25" s="4" t="s">
        <v>152</v>
      </c>
      <c r="H25" s="3">
        <v>0.20699999999999999</v>
      </c>
      <c r="I25" s="4" t="str">
        <f>U25</f>
        <v>[24]</v>
      </c>
      <c r="J25" s="3">
        <v>31.5</v>
      </c>
      <c r="K25" s="4" t="str">
        <f>U25</f>
        <v>[24]</v>
      </c>
      <c r="L25" s="3">
        <v>7.99</v>
      </c>
      <c r="M25" s="4" t="str">
        <f>U25</f>
        <v>[24]</v>
      </c>
      <c r="N25" s="3">
        <f t="shared" si="0"/>
        <v>0.97763856536790383</v>
      </c>
      <c r="O25" s="3">
        <f t="shared" si="1"/>
        <v>1</v>
      </c>
      <c r="P25" s="3">
        <f t="shared" si="2"/>
        <v>0.98380614406253997</v>
      </c>
      <c r="Q25" s="3">
        <f t="shared" si="3"/>
        <v>0.83965736021668913</v>
      </c>
      <c r="R25" s="3">
        <f t="shared" si="4"/>
        <v>-0.21889730393726997</v>
      </c>
      <c r="S25" s="3">
        <f t="shared" si="5"/>
        <v>2.0601268463565393E-3</v>
      </c>
      <c r="U25" s="3" t="s">
        <v>289</v>
      </c>
      <c r="V25" s="2" t="s">
        <v>311</v>
      </c>
    </row>
    <row r="26" spans="1:22" x14ac:dyDescent="0.25">
      <c r="A26" s="3">
        <v>25</v>
      </c>
      <c r="B26" s="3" t="s">
        <v>211</v>
      </c>
      <c r="C26" s="3">
        <f>'Calculation P'!N26</f>
        <v>51.92</v>
      </c>
      <c r="D26" s="3">
        <v>5.03</v>
      </c>
      <c r="E26" s="4" t="str">
        <f t="shared" ref="E26:E31" si="6">U26</f>
        <v>[25]</v>
      </c>
      <c r="F26" s="3">
        <v>0</v>
      </c>
      <c r="G26" s="4" t="s">
        <v>152</v>
      </c>
      <c r="H26" s="3">
        <v>0.20699999999999999</v>
      </c>
      <c r="I26" s="4" t="str">
        <f>U25</f>
        <v>[24]</v>
      </c>
      <c r="J26" s="3">
        <v>31.5</v>
      </c>
      <c r="K26" s="4" t="str">
        <f>U25</f>
        <v>[24]</v>
      </c>
      <c r="L26" s="3">
        <v>7.99</v>
      </c>
      <c r="M26" s="4" t="str">
        <f>U25</f>
        <v>[24]</v>
      </c>
      <c r="N26" s="3">
        <f t="shared" si="0"/>
        <v>0.98122860285231994</v>
      </c>
      <c r="O26" s="3">
        <f t="shared" si="1"/>
        <v>1</v>
      </c>
      <c r="P26" s="3">
        <f t="shared" si="2"/>
        <v>0.98380614406253997</v>
      </c>
      <c r="Q26" s="3">
        <f t="shared" si="3"/>
        <v>0.84274070973258053</v>
      </c>
      <c r="R26" s="3">
        <f t="shared" si="4"/>
        <v>-0.21889730393726997</v>
      </c>
      <c r="S26" s="3">
        <f t="shared" si="5"/>
        <v>2.0601268463565393E-3</v>
      </c>
      <c r="U26" s="3" t="s">
        <v>291</v>
      </c>
      <c r="V26" s="2" t="s">
        <v>312</v>
      </c>
    </row>
    <row r="27" spans="1:22" x14ac:dyDescent="0.25">
      <c r="A27" s="3">
        <v>26</v>
      </c>
      <c r="B27" s="3" t="s">
        <v>50</v>
      </c>
      <c r="C27" s="3">
        <f>'Calculation P'!N27</f>
        <v>39.9</v>
      </c>
      <c r="D27" s="3">
        <v>4.2</v>
      </c>
      <c r="E27" s="4" t="str">
        <f t="shared" si="6"/>
        <v>[26]</v>
      </c>
      <c r="F27" s="3">
        <v>0</v>
      </c>
      <c r="G27" s="4" t="s">
        <v>152</v>
      </c>
      <c r="H27" s="3">
        <f>1.1/3.1</f>
        <v>0.35483870967741937</v>
      </c>
      <c r="I27" s="4" t="s">
        <v>318</v>
      </c>
      <c r="J27" s="3">
        <v>36</v>
      </c>
      <c r="K27" s="4" t="s">
        <v>318</v>
      </c>
      <c r="L27" s="3">
        <f>C27^2/226</f>
        <v>7.0442920353982297</v>
      </c>
      <c r="M27" s="4" t="s">
        <v>251</v>
      </c>
      <c r="N27" s="3">
        <f t="shared" si="0"/>
        <v>0.97783933518005539</v>
      </c>
      <c r="O27" s="3">
        <f t="shared" si="1"/>
        <v>1</v>
      </c>
      <c r="P27" s="3">
        <f t="shared" si="2"/>
        <v>0.97527706949484361</v>
      </c>
      <c r="Q27" s="3">
        <f t="shared" si="3"/>
        <v>0.83254891753228932</v>
      </c>
      <c r="R27" s="3">
        <f t="shared" si="4"/>
        <v>-0.24034188270934878</v>
      </c>
      <c r="S27" s="3">
        <f t="shared" si="5"/>
        <v>3.5986083435940244E-3</v>
      </c>
      <c r="U27" s="3" t="s">
        <v>293</v>
      </c>
      <c r="V27" s="2" t="s">
        <v>316</v>
      </c>
    </row>
    <row r="28" spans="1:22" x14ac:dyDescent="0.25">
      <c r="A28" s="3">
        <v>27</v>
      </c>
      <c r="B28" s="3" t="s">
        <v>213</v>
      </c>
      <c r="C28" s="3">
        <f>'Calculation P'!N28</f>
        <v>47.35</v>
      </c>
      <c r="D28" s="3">
        <v>6.02</v>
      </c>
      <c r="E28" s="4" t="str">
        <f t="shared" si="6"/>
        <v>[27]</v>
      </c>
      <c r="F28" s="3">
        <v>0</v>
      </c>
      <c r="G28" s="4" t="s">
        <v>152</v>
      </c>
      <c r="H28" s="3">
        <v>0.22</v>
      </c>
      <c r="I28" s="4" t="str">
        <f>U25</f>
        <v>[24]</v>
      </c>
      <c r="J28" s="3">
        <v>35</v>
      </c>
      <c r="K28" s="4" t="str">
        <f>U25</f>
        <v>[24]</v>
      </c>
      <c r="L28" s="3">
        <v>6.91</v>
      </c>
      <c r="M28" s="4" t="str">
        <f>U25</f>
        <v>[24]</v>
      </c>
      <c r="N28" s="3">
        <f t="shared" si="0"/>
        <v>0.96767168928946967</v>
      </c>
      <c r="O28" s="3">
        <f t="shared" si="1"/>
        <v>1</v>
      </c>
      <c r="P28" s="3">
        <f t="shared" si="2"/>
        <v>0.98472410818909406</v>
      </c>
      <c r="Q28" s="3">
        <f t="shared" si="3"/>
        <v>0.83187265681597045</v>
      </c>
      <c r="R28" s="3">
        <f t="shared" si="4"/>
        <v>-0.23588414307186722</v>
      </c>
      <c r="S28" s="3">
        <f t="shared" si="5"/>
        <v>2.2449876487731779E-3</v>
      </c>
      <c r="U28" s="3" t="s">
        <v>296</v>
      </c>
      <c r="V28" s="2" t="s">
        <v>319</v>
      </c>
    </row>
    <row r="29" spans="1:22" x14ac:dyDescent="0.25">
      <c r="A29" s="3">
        <v>28</v>
      </c>
      <c r="B29" s="3" t="s">
        <v>53</v>
      </c>
      <c r="C29" s="3">
        <f>'Calculation P'!N29</f>
        <v>43.4</v>
      </c>
      <c r="D29" s="3">
        <v>3.73</v>
      </c>
      <c r="E29" s="4" t="str">
        <f t="shared" si="6"/>
        <v>[28]</v>
      </c>
      <c r="F29" s="3">
        <v>0</v>
      </c>
      <c r="G29" s="4" t="s">
        <v>152</v>
      </c>
      <c r="H29" s="3">
        <v>0.18099999999999999</v>
      </c>
      <c r="I29" s="4" t="str">
        <f>U25</f>
        <v>[24]</v>
      </c>
      <c r="J29" s="3">
        <v>30</v>
      </c>
      <c r="K29" s="4" t="str">
        <f>U25</f>
        <v>[24]</v>
      </c>
      <c r="L29" s="3">
        <v>7.52</v>
      </c>
      <c r="M29" s="4" t="str">
        <f>U25</f>
        <v>[24]</v>
      </c>
      <c r="N29" s="3">
        <f t="shared" si="0"/>
        <v>0.9852270169253966</v>
      </c>
      <c r="O29" s="3">
        <f t="shared" si="1"/>
        <v>1</v>
      </c>
      <c r="P29" s="3">
        <f t="shared" si="2"/>
        <v>0.98577264783352725</v>
      </c>
      <c r="Q29" s="3">
        <f t="shared" si="3"/>
        <v>0.84786619485233272</v>
      </c>
      <c r="R29" s="3">
        <f t="shared" si="4"/>
        <v>-0.21090638968874259</v>
      </c>
      <c r="S29" s="3">
        <f t="shared" si="5"/>
        <v>1.9192408438987417E-3</v>
      </c>
      <c r="U29" s="3" t="s">
        <v>297</v>
      </c>
      <c r="V29" s="2" t="s">
        <v>323</v>
      </c>
    </row>
    <row r="30" spans="1:22" x14ac:dyDescent="0.25">
      <c r="A30" s="3">
        <v>29</v>
      </c>
      <c r="B30" s="3" t="s">
        <v>55</v>
      </c>
      <c r="C30" s="3">
        <f>'Calculation P'!N30</f>
        <v>50.5</v>
      </c>
      <c r="D30" s="3">
        <v>4.8</v>
      </c>
      <c r="E30" s="4" t="str">
        <f t="shared" si="6"/>
        <v>[29]</v>
      </c>
      <c r="F30" s="3">
        <v>0</v>
      </c>
      <c r="G30" s="4" t="s">
        <v>152</v>
      </c>
      <c r="H30" s="3">
        <f>0.9/3.1</f>
        <v>0.29032258064516131</v>
      </c>
      <c r="I30" s="4" t="s">
        <v>318</v>
      </c>
      <c r="J30" s="3">
        <v>25</v>
      </c>
      <c r="K30" s="4" t="s">
        <v>318</v>
      </c>
      <c r="L30" s="3">
        <v>8.5</v>
      </c>
      <c r="M30" s="4" t="str">
        <f>U30</f>
        <v>[29]</v>
      </c>
      <c r="N30" s="3">
        <f t="shared" si="0"/>
        <v>0.98193118321733164</v>
      </c>
      <c r="O30" s="3">
        <f t="shared" si="1"/>
        <v>1</v>
      </c>
      <c r="P30" s="3">
        <f t="shared" si="2"/>
        <v>0.98035642804391598</v>
      </c>
      <c r="Q30" s="3">
        <f t="shared" si="3"/>
        <v>0.84038694384866652</v>
      </c>
      <c r="R30" s="3">
        <f t="shared" si="4"/>
        <v>-0.18077746799544042</v>
      </c>
      <c r="S30" s="3">
        <f t="shared" si="5"/>
        <v>2.3573145432755904E-3</v>
      </c>
      <c r="U30" s="3" t="s">
        <v>299</v>
      </c>
      <c r="V30" s="2" t="s">
        <v>325</v>
      </c>
    </row>
    <row r="31" spans="1:22" x14ac:dyDescent="0.25">
      <c r="A31" s="3">
        <v>30</v>
      </c>
      <c r="B31" s="3" t="s">
        <v>57</v>
      </c>
      <c r="C31" s="3">
        <f>'Calculation P'!N31</f>
        <v>51.97</v>
      </c>
      <c r="D31" s="3">
        <v>6</v>
      </c>
      <c r="E31" s="4" t="str">
        <f t="shared" si="6"/>
        <v>[30]</v>
      </c>
      <c r="F31" s="3">
        <v>1.93</v>
      </c>
      <c r="G31" s="4" t="str">
        <f>U31</f>
        <v>[30]</v>
      </c>
      <c r="H31" s="3">
        <v>0.23899999999999999</v>
      </c>
      <c r="I31" s="4" t="str">
        <f>U25</f>
        <v>[24]</v>
      </c>
      <c r="J31" s="3">
        <v>35</v>
      </c>
      <c r="K31" s="4" t="str">
        <f>U25</f>
        <v>[24]</v>
      </c>
      <c r="L31" s="3">
        <v>7.91</v>
      </c>
      <c r="M31" s="4" t="str">
        <f>U25</f>
        <v>[24]</v>
      </c>
      <c r="N31" s="3">
        <f t="shared" si="0"/>
        <v>0.97334203074263659</v>
      </c>
      <c r="O31" s="3">
        <f t="shared" si="1"/>
        <v>1.0531789954074107</v>
      </c>
      <c r="P31" s="3">
        <f t="shared" si="2"/>
        <v>0.98146876049327381</v>
      </c>
      <c r="Q31" s="3">
        <f t="shared" si="3"/>
        <v>0.8783313637113529</v>
      </c>
      <c r="R31" s="3">
        <f t="shared" si="4"/>
        <v>-0.23588414307186722</v>
      </c>
      <c r="S31" s="3">
        <f t="shared" si="5"/>
        <v>2.3869949751723976E-3</v>
      </c>
      <c r="U31" s="3" t="s">
        <v>301</v>
      </c>
      <c r="V31" s="2" t="s">
        <v>329</v>
      </c>
    </row>
    <row r="32" spans="1:22" x14ac:dyDescent="0.25">
      <c r="A32" s="3">
        <v>31</v>
      </c>
      <c r="B32" s="3" t="s">
        <v>59</v>
      </c>
      <c r="C32" s="3">
        <f>'Calculation P'!N32</f>
        <v>34.1</v>
      </c>
      <c r="D32" s="3">
        <v>3.95</v>
      </c>
      <c r="E32" s="4" t="str">
        <f t="shared" ref="E32:E37" si="7">U32</f>
        <v>[31]</v>
      </c>
      <c r="F32" s="3">
        <v>0</v>
      </c>
      <c r="G32" s="4" t="s">
        <v>152</v>
      </c>
      <c r="H32" s="3">
        <f>1.5/6.07</f>
        <v>0.24711696869851729</v>
      </c>
      <c r="I32" s="4" t="s">
        <v>251</v>
      </c>
      <c r="J32" s="3">
        <v>25</v>
      </c>
      <c r="K32" s="4" t="str">
        <f>U7</f>
        <v>[6]</v>
      </c>
      <c r="L32" s="3">
        <f>C32^2/122.4</f>
        <v>9.5000816993464063</v>
      </c>
      <c r="M32" s="4" t="s">
        <v>251</v>
      </c>
      <c r="N32" s="3">
        <f t="shared" si="0"/>
        <v>0.97316414547518515</v>
      </c>
      <c r="O32" s="3">
        <f t="shared" si="1"/>
        <v>1</v>
      </c>
      <c r="P32" s="3">
        <f t="shared" si="2"/>
        <v>0.98070681692831108</v>
      </c>
      <c r="Q32" s="3">
        <f t="shared" si="3"/>
        <v>0.83318134510259723</v>
      </c>
      <c r="R32" s="3">
        <f t="shared" si="4"/>
        <v>-0.18077746799544042</v>
      </c>
      <c r="S32" s="3">
        <f t="shared" si="5"/>
        <v>2.0707961602736517E-3</v>
      </c>
      <c r="U32" s="3" t="s">
        <v>303</v>
      </c>
      <c r="V32" s="2" t="s">
        <v>333</v>
      </c>
    </row>
    <row r="33" spans="1:22" x14ac:dyDescent="0.25">
      <c r="A33" s="3">
        <v>32</v>
      </c>
      <c r="B33" s="3" t="s">
        <v>61</v>
      </c>
      <c r="C33" s="3">
        <f>'Calculation P'!N33</f>
        <v>34.1</v>
      </c>
      <c r="D33" s="3">
        <v>3.95</v>
      </c>
      <c r="E33" s="4" t="str">
        <f t="shared" si="7"/>
        <v>[32]</v>
      </c>
      <c r="F33" s="3">
        <v>0</v>
      </c>
      <c r="G33" s="4" t="s">
        <v>152</v>
      </c>
      <c r="H33" s="3">
        <f>1.5/6.07</f>
        <v>0.24711696869851729</v>
      </c>
      <c r="I33" s="4" t="s">
        <v>251</v>
      </c>
      <c r="J33" s="3">
        <v>25</v>
      </c>
      <c r="K33" s="4" t="str">
        <f>U7</f>
        <v>[6]</v>
      </c>
      <c r="L33" s="3">
        <f>C33^2/100</f>
        <v>11.628100000000002</v>
      </c>
      <c r="M33" s="4" t="s">
        <v>251</v>
      </c>
      <c r="N33" s="3">
        <f t="shared" si="0"/>
        <v>0.97316414547518515</v>
      </c>
      <c r="O33" s="3">
        <f t="shared" si="1"/>
        <v>1</v>
      </c>
      <c r="P33" s="3">
        <f t="shared" si="2"/>
        <v>0.97648676045293525</v>
      </c>
      <c r="Q33" s="3">
        <f t="shared" si="3"/>
        <v>0.82959610202090295</v>
      </c>
      <c r="R33" s="3">
        <f t="shared" si="4"/>
        <v>-0.18077746799544042</v>
      </c>
      <c r="S33" s="3">
        <f t="shared" si="5"/>
        <v>2.0707961602736517E-3</v>
      </c>
      <c r="U33" s="3" t="s">
        <v>305</v>
      </c>
      <c r="V33" s="2" t="s">
        <v>337</v>
      </c>
    </row>
    <row r="34" spans="1:22" x14ac:dyDescent="0.25">
      <c r="A34" s="3">
        <v>33</v>
      </c>
      <c r="B34" s="3" t="s">
        <v>63</v>
      </c>
      <c r="C34" s="3">
        <f>'Calculation P'!N34</f>
        <v>35.799999999999997</v>
      </c>
      <c r="D34" s="3">
        <v>3.95</v>
      </c>
      <c r="E34" s="4" t="str">
        <f t="shared" si="7"/>
        <v>[33]</v>
      </c>
      <c r="F34" s="3">
        <v>2.4300000000000002</v>
      </c>
      <c r="G34" s="4" t="str">
        <f>U34</f>
        <v>[33]</v>
      </c>
      <c r="H34" s="3">
        <v>0.24</v>
      </c>
      <c r="I34" s="4" t="str">
        <f>U7</f>
        <v>[6]</v>
      </c>
      <c r="J34" s="3">
        <v>25</v>
      </c>
      <c r="K34" s="4" t="str">
        <f>U7</f>
        <v>[6]</v>
      </c>
      <c r="L34" s="3">
        <f>C34^2/100</f>
        <v>12.816399999999998</v>
      </c>
      <c r="M34" s="4" t="s">
        <v>251</v>
      </c>
      <c r="N34" s="3">
        <f t="shared" ref="N34:N65" si="8">1-2*(D34/C34)^2</f>
        <v>0.97565228925439285</v>
      </c>
      <c r="O34" s="3">
        <f t="shared" ref="O34:O65" si="9">(1+(2/$B$100)*(F34/C34))^2</f>
        <v>1.0982404468992228</v>
      </c>
      <c r="P34" s="3">
        <f t="shared" ref="P34:P65" si="10">1/(1+S34*L34)</f>
        <v>0.97459470123428471</v>
      </c>
      <c r="Q34" s="3">
        <f t="shared" si="3"/>
        <v>0.91165557403687425</v>
      </c>
      <c r="R34" s="3">
        <f t="shared" ref="R34:R65" si="11">-0.357+0.45*EXP(-0.0375*J34)</f>
        <v>-0.18077746799544042</v>
      </c>
      <c r="S34" s="3">
        <f t="shared" ref="S34:S65" si="12">0.0524*(H34-R34)^4-0.15*(H34-R34)^3+0.1659*(H34-R34)^2-0.0706*(H34-R34)+0.0119</f>
        <v>2.0339215950606927E-3</v>
      </c>
      <c r="U34" s="3" t="s">
        <v>307</v>
      </c>
      <c r="V34" s="2" t="s">
        <v>341</v>
      </c>
    </row>
    <row r="35" spans="1:22" x14ac:dyDescent="0.25">
      <c r="A35" s="3">
        <v>34</v>
      </c>
      <c r="B35" s="3" t="s">
        <v>65</v>
      </c>
      <c r="C35" s="3">
        <f>'Calculation P'!N35</f>
        <v>34.1</v>
      </c>
      <c r="D35" s="3">
        <v>3.95</v>
      </c>
      <c r="E35" s="4" t="str">
        <f t="shared" si="7"/>
        <v>[34]</v>
      </c>
      <c r="F35" s="3">
        <v>0</v>
      </c>
      <c r="G35" s="4" t="s">
        <v>152</v>
      </c>
      <c r="H35" s="3">
        <f>1.5/6.07</f>
        <v>0.24711696869851729</v>
      </c>
      <c r="I35" s="4" t="s">
        <v>251</v>
      </c>
      <c r="J35" s="3">
        <v>25</v>
      </c>
      <c r="K35" s="4" t="str">
        <f>U7</f>
        <v>[6]</v>
      </c>
      <c r="L35" s="3">
        <f>C35^2/103</f>
        <v>11.289417475728158</v>
      </c>
      <c r="M35" s="4" t="s">
        <v>251</v>
      </c>
      <c r="N35" s="3">
        <f t="shared" si="8"/>
        <v>0.97316414547518515</v>
      </c>
      <c r="O35" s="3">
        <f t="shared" si="9"/>
        <v>1</v>
      </c>
      <c r="P35" s="3">
        <f t="shared" si="10"/>
        <v>0.97715596731704313</v>
      </c>
      <c r="Q35" s="3">
        <f t="shared" si="3"/>
        <v>0.83016464163494952</v>
      </c>
      <c r="R35" s="3">
        <f t="shared" si="11"/>
        <v>-0.18077746799544042</v>
      </c>
      <c r="S35" s="3">
        <f t="shared" si="12"/>
        <v>2.0707961602736517E-3</v>
      </c>
      <c r="U35" s="3" t="s">
        <v>310</v>
      </c>
      <c r="V35" s="2" t="s">
        <v>345</v>
      </c>
    </row>
    <row r="36" spans="1:22" x14ac:dyDescent="0.25">
      <c r="A36" s="3">
        <v>35</v>
      </c>
      <c r="B36" s="3" t="s">
        <v>67</v>
      </c>
      <c r="C36" s="3">
        <f>'Calculation P'!N36</f>
        <v>38</v>
      </c>
      <c r="D36" s="3">
        <v>3.9</v>
      </c>
      <c r="E36" s="4" t="str">
        <f t="shared" si="7"/>
        <v>[35]</v>
      </c>
      <c r="F36" s="3">
        <v>0</v>
      </c>
      <c r="G36" s="4" t="s">
        <v>152</v>
      </c>
      <c r="H36" s="3">
        <f>0.9/2.3</f>
        <v>0.39130434782608697</v>
      </c>
      <c r="I36" s="4" t="s">
        <v>318</v>
      </c>
      <c r="J36" s="3">
        <v>8.5</v>
      </c>
      <c r="K36" s="4" t="s">
        <v>318</v>
      </c>
      <c r="L36" s="3">
        <v>10.6</v>
      </c>
      <c r="M36" s="4" t="str">
        <f>U36</f>
        <v>[35]</v>
      </c>
      <c r="N36" s="3">
        <f t="shared" si="8"/>
        <v>0.97893351800554018</v>
      </c>
      <c r="O36" s="3">
        <f t="shared" si="9"/>
        <v>1</v>
      </c>
      <c r="P36" s="3">
        <f t="shared" si="10"/>
        <v>0.97887772560263031</v>
      </c>
      <c r="Q36" s="3">
        <f>P36*N36*O36*$B$103</f>
        <v>0.77043799735964158</v>
      </c>
      <c r="R36" s="3">
        <f t="shared" si="11"/>
        <v>-2.9824219090311521E-2</v>
      </c>
      <c r="S36" s="3">
        <f t="shared" si="12"/>
        <v>2.0356652765303497E-3</v>
      </c>
      <c r="U36" s="3" t="s">
        <v>313</v>
      </c>
      <c r="V36" s="2" t="s">
        <v>349</v>
      </c>
    </row>
    <row r="37" spans="1:22" x14ac:dyDescent="0.25">
      <c r="A37" s="3">
        <v>36</v>
      </c>
      <c r="B37" s="3" t="s">
        <v>69</v>
      </c>
      <c r="C37" s="3">
        <f>'Calculation P'!N37</f>
        <v>34.32</v>
      </c>
      <c r="D37" s="3">
        <v>3.76</v>
      </c>
      <c r="E37" s="4" t="str">
        <f t="shared" si="7"/>
        <v>[36]</v>
      </c>
      <c r="F37" s="3">
        <v>0</v>
      </c>
      <c r="G37" s="4" t="s">
        <v>152</v>
      </c>
      <c r="H37" s="3">
        <v>0.27800000000000002</v>
      </c>
      <c r="I37" s="4" t="str">
        <f>U23</f>
        <v>[22]</v>
      </c>
      <c r="J37" s="3">
        <v>25</v>
      </c>
      <c r="K37" s="4" t="str">
        <f>U23</f>
        <v>[22]</v>
      </c>
      <c r="L37" s="3">
        <v>9.44</v>
      </c>
      <c r="M37" s="4" t="str">
        <f>U23</f>
        <v>[22]</v>
      </c>
      <c r="N37" s="3">
        <f t="shared" si="8"/>
        <v>0.97599447949098295</v>
      </c>
      <c r="O37" s="3">
        <f t="shared" si="9"/>
        <v>1</v>
      </c>
      <c r="P37" s="3">
        <f t="shared" si="10"/>
        <v>0.97906192090168298</v>
      </c>
      <c r="Q37" s="3">
        <f t="shared" ref="Q37:Q49" si="13">P37*N37*O37*$B$101</f>
        <v>0.83420303308513521</v>
      </c>
      <c r="R37" s="3">
        <f t="shared" si="11"/>
        <v>-0.18077746799544042</v>
      </c>
      <c r="S37" s="3">
        <f t="shared" si="12"/>
        <v>2.2654510468475518E-3</v>
      </c>
      <c r="U37" s="3" t="s">
        <v>315</v>
      </c>
      <c r="V37" s="2" t="s">
        <v>353</v>
      </c>
    </row>
    <row r="38" spans="1:22" x14ac:dyDescent="0.25">
      <c r="A38" s="3">
        <v>37</v>
      </c>
      <c r="B38" s="3" t="s">
        <v>71</v>
      </c>
      <c r="C38" s="3">
        <f>'Calculation P'!N38</f>
        <v>34.32</v>
      </c>
      <c r="D38" s="3">
        <v>3.76</v>
      </c>
      <c r="E38" s="4" t="str">
        <f>U37</f>
        <v>[36]</v>
      </c>
      <c r="F38" s="3">
        <v>0</v>
      </c>
      <c r="G38" s="4" t="s">
        <v>152</v>
      </c>
      <c r="H38" s="3">
        <v>0.27800000000000002</v>
      </c>
      <c r="I38" s="4" t="str">
        <f>U23</f>
        <v>[22]</v>
      </c>
      <c r="J38" s="3">
        <v>25</v>
      </c>
      <c r="K38" s="4" t="str">
        <f>U23</f>
        <v>[22]</v>
      </c>
      <c r="L38" s="3">
        <v>9.44</v>
      </c>
      <c r="M38" s="4" t="str">
        <f>U23</f>
        <v>[22]</v>
      </c>
      <c r="N38" s="3">
        <f t="shared" si="8"/>
        <v>0.97599447949098295</v>
      </c>
      <c r="O38" s="3">
        <f t="shared" si="9"/>
        <v>1</v>
      </c>
      <c r="P38" s="3">
        <f t="shared" si="10"/>
        <v>0.97906192090168298</v>
      </c>
      <c r="Q38" s="3">
        <f t="shared" si="13"/>
        <v>0.83420303308513521</v>
      </c>
      <c r="R38" s="3">
        <f t="shared" si="11"/>
        <v>-0.18077746799544042</v>
      </c>
      <c r="S38" s="3">
        <f t="shared" si="12"/>
        <v>2.2654510468475518E-3</v>
      </c>
      <c r="U38" s="3" t="s">
        <v>317</v>
      </c>
      <c r="V38" s="2" t="s">
        <v>363</v>
      </c>
    </row>
    <row r="39" spans="1:22" x14ac:dyDescent="0.25">
      <c r="A39" s="3">
        <v>38</v>
      </c>
      <c r="B39" s="3" t="s">
        <v>73</v>
      </c>
      <c r="C39" s="3">
        <f>'Calculation P'!N39</f>
        <v>34.32</v>
      </c>
      <c r="D39" s="3">
        <v>3.76</v>
      </c>
      <c r="E39" s="4" t="str">
        <f>U37</f>
        <v>[36]</v>
      </c>
      <c r="F39" s="3">
        <v>0</v>
      </c>
      <c r="G39" s="4" t="s">
        <v>152</v>
      </c>
      <c r="H39" s="3">
        <v>0.27800000000000002</v>
      </c>
      <c r="I39" s="4" t="str">
        <f>U23</f>
        <v>[22]</v>
      </c>
      <c r="J39" s="3">
        <v>25</v>
      </c>
      <c r="K39" s="4" t="str">
        <f>U23</f>
        <v>[22]</v>
      </c>
      <c r="L39" s="3">
        <v>9.44</v>
      </c>
      <c r="M39" s="4" t="str">
        <f>U23</f>
        <v>[22]</v>
      </c>
      <c r="N39" s="3">
        <f t="shared" si="8"/>
        <v>0.97599447949098295</v>
      </c>
      <c r="O39" s="3">
        <f t="shared" si="9"/>
        <v>1</v>
      </c>
      <c r="P39" s="3">
        <f t="shared" si="10"/>
        <v>0.97906192090168298</v>
      </c>
      <c r="Q39" s="3">
        <f t="shared" si="13"/>
        <v>0.83420303308513521</v>
      </c>
      <c r="R39" s="3">
        <f t="shared" si="11"/>
        <v>-0.18077746799544042</v>
      </c>
      <c r="S39" s="3">
        <f t="shared" si="12"/>
        <v>2.2654510468475518E-3</v>
      </c>
      <c r="U39" s="3" t="s">
        <v>320</v>
      </c>
      <c r="V39" s="2" t="s">
        <v>367</v>
      </c>
    </row>
    <row r="40" spans="1:22" x14ac:dyDescent="0.25">
      <c r="A40" s="3">
        <v>39</v>
      </c>
      <c r="B40" s="3" t="s">
        <v>75</v>
      </c>
      <c r="C40" s="3">
        <f>'Calculation P'!N40</f>
        <v>34.32</v>
      </c>
      <c r="D40" s="3">
        <v>3.76</v>
      </c>
      <c r="E40" s="4" t="str">
        <f>U37</f>
        <v>[36]</v>
      </c>
      <c r="F40" s="3">
        <v>0</v>
      </c>
      <c r="G40" s="4" t="s">
        <v>152</v>
      </c>
      <c r="H40" s="3">
        <v>0.27800000000000002</v>
      </c>
      <c r="I40" s="4" t="str">
        <f>U23</f>
        <v>[22]</v>
      </c>
      <c r="J40" s="3">
        <v>25</v>
      </c>
      <c r="K40" s="4" t="str">
        <f>U23</f>
        <v>[22]</v>
      </c>
      <c r="L40" s="3">
        <v>9.44</v>
      </c>
      <c r="M40" s="4" t="str">
        <f>U23</f>
        <v>[22]</v>
      </c>
      <c r="N40" s="3">
        <f t="shared" si="8"/>
        <v>0.97599447949098295</v>
      </c>
      <c r="O40" s="3">
        <f t="shared" si="9"/>
        <v>1</v>
      </c>
      <c r="P40" s="3">
        <f t="shared" si="10"/>
        <v>0.97906192090168298</v>
      </c>
      <c r="Q40" s="3">
        <f t="shared" si="13"/>
        <v>0.83420303308513521</v>
      </c>
      <c r="R40" s="3">
        <f t="shared" si="11"/>
        <v>-0.18077746799544042</v>
      </c>
      <c r="S40" s="3">
        <f t="shared" si="12"/>
        <v>2.2654510468475518E-3</v>
      </c>
      <c r="U40" s="3" t="s">
        <v>322</v>
      </c>
      <c r="V40" s="2" t="s">
        <v>377</v>
      </c>
    </row>
    <row r="41" spans="1:22" x14ac:dyDescent="0.25">
      <c r="A41" s="3">
        <v>40</v>
      </c>
      <c r="B41" s="3" t="s">
        <v>217</v>
      </c>
      <c r="C41" s="3">
        <f>'Calculation P'!N41</f>
        <v>40.409999999999997</v>
      </c>
      <c r="D41" s="3">
        <v>4.34</v>
      </c>
      <c r="E41" s="4" t="str">
        <f>U38</f>
        <v>[37]</v>
      </c>
      <c r="F41" s="3">
        <v>0</v>
      </c>
      <c r="G41" s="4" t="s">
        <v>152</v>
      </c>
      <c r="H41" s="3">
        <f>2/3.9</f>
        <v>0.51282051282051289</v>
      </c>
      <c r="I41" s="4" t="s">
        <v>318</v>
      </c>
      <c r="J41" s="3">
        <v>1.5</v>
      </c>
      <c r="K41" s="4" t="s">
        <v>318</v>
      </c>
      <c r="L41" s="3">
        <f>C41^2/162.1</f>
        <v>10.073831585441084</v>
      </c>
      <c r="M41" s="4" t="s">
        <v>251</v>
      </c>
      <c r="N41" s="3">
        <f t="shared" si="8"/>
        <v>0.9769308414536696</v>
      </c>
      <c r="O41" s="3">
        <f t="shared" si="9"/>
        <v>1</v>
      </c>
      <c r="P41" s="3">
        <f t="shared" si="10"/>
        <v>0.97862315969622748</v>
      </c>
      <c r="Q41" s="3">
        <f t="shared" si="13"/>
        <v>0.83462915921583758</v>
      </c>
      <c r="R41" s="3">
        <f t="shared" si="11"/>
        <v>6.8386251293426792E-2</v>
      </c>
      <c r="S41" s="3">
        <f t="shared" si="12"/>
        <v>2.1683697371789705E-3</v>
      </c>
      <c r="U41" s="3" t="s">
        <v>324</v>
      </c>
      <c r="V41" s="2" t="s">
        <v>383</v>
      </c>
    </row>
    <row r="42" spans="1:22" x14ac:dyDescent="0.25">
      <c r="A42" s="3">
        <v>41</v>
      </c>
      <c r="B42" s="3" t="s">
        <v>78</v>
      </c>
      <c r="C42" s="3">
        <f>'Calculation P'!N42</f>
        <v>37.4</v>
      </c>
      <c r="D42" s="3">
        <v>3.23</v>
      </c>
      <c r="E42" s="4" t="str">
        <f>U39</f>
        <v>[38]</v>
      </c>
      <c r="F42" s="3">
        <v>0</v>
      </c>
      <c r="G42" s="4" t="s">
        <v>152</v>
      </c>
      <c r="H42" s="3">
        <f>0.8/2.2</f>
        <v>0.36363636363636365</v>
      </c>
      <c r="I42" s="4" t="s">
        <v>318</v>
      </c>
      <c r="J42" s="3">
        <v>2.5</v>
      </c>
      <c r="K42" s="4" t="s">
        <v>318</v>
      </c>
      <c r="L42" s="3">
        <v>10</v>
      </c>
      <c r="M42" s="4" t="str">
        <f>U39</f>
        <v>[38]</v>
      </c>
      <c r="N42" s="3">
        <f t="shared" si="8"/>
        <v>0.98508264462809914</v>
      </c>
      <c r="O42" s="3">
        <f t="shared" si="9"/>
        <v>1</v>
      </c>
      <c r="P42" s="3">
        <f t="shared" si="10"/>
        <v>0.98069971991016214</v>
      </c>
      <c r="Q42" s="3">
        <f t="shared" si="13"/>
        <v>0.84337934891839605</v>
      </c>
      <c r="R42" s="3">
        <f t="shared" si="11"/>
        <v>5.2729662621015416E-2</v>
      </c>
      <c r="S42" s="3">
        <f t="shared" si="12"/>
        <v>1.9680111758985635E-3</v>
      </c>
      <c r="U42" s="3" t="s">
        <v>326</v>
      </c>
      <c r="V42" s="2" t="s">
        <v>384</v>
      </c>
    </row>
    <row r="43" spans="1:22" x14ac:dyDescent="0.25">
      <c r="A43" s="3">
        <v>42</v>
      </c>
      <c r="B43" s="3" t="s">
        <v>80</v>
      </c>
      <c r="C43" s="3">
        <f>'Calculation P'!N43</f>
        <v>32.85</v>
      </c>
      <c r="D43" s="3">
        <v>3.35</v>
      </c>
      <c r="E43" s="4" t="str">
        <f>U40</f>
        <v>[39]</v>
      </c>
      <c r="F43" s="3">
        <v>0</v>
      </c>
      <c r="G43" s="4" t="s">
        <v>152</v>
      </c>
      <c r="H43" s="3">
        <v>0.19500000000000001</v>
      </c>
      <c r="I43" s="4" t="str">
        <f>U41</f>
        <v>[40]</v>
      </c>
      <c r="J43" s="3">
        <v>24.5</v>
      </c>
      <c r="K43" s="4" t="str">
        <f>U41</f>
        <v>[40]</v>
      </c>
      <c r="L43" s="3">
        <v>9.6199999999999992</v>
      </c>
      <c r="M43" s="4" t="str">
        <f>U41</f>
        <v>[40]</v>
      </c>
      <c r="N43" s="3">
        <f t="shared" si="8"/>
        <v>0.97920069315578162</v>
      </c>
      <c r="O43" s="3">
        <f t="shared" si="9"/>
        <v>1</v>
      </c>
      <c r="P43" s="3">
        <f t="shared" si="10"/>
        <v>0.98226399695779787</v>
      </c>
      <c r="Q43" s="3">
        <f t="shared" si="13"/>
        <v>0.8396807211742976</v>
      </c>
      <c r="R43" s="3">
        <f t="shared" si="11"/>
        <v>-0.17744212438861309</v>
      </c>
      <c r="S43" s="3">
        <f t="shared" si="12"/>
        <v>1.8769489318618375E-3</v>
      </c>
      <c r="U43" s="3" t="s">
        <v>328</v>
      </c>
      <c r="V43" s="2" t="s">
        <v>390</v>
      </c>
    </row>
    <row r="44" spans="1:22" x14ac:dyDescent="0.25">
      <c r="A44" s="3">
        <v>43</v>
      </c>
      <c r="B44" s="3" t="s">
        <v>82</v>
      </c>
      <c r="C44" s="3">
        <f>'Calculation P'!N44</f>
        <v>32.85</v>
      </c>
      <c r="D44" s="3">
        <v>3.35</v>
      </c>
      <c r="E44" s="4" t="str">
        <f>U40</f>
        <v>[39]</v>
      </c>
      <c r="F44" s="3">
        <v>0</v>
      </c>
      <c r="G44" s="4" t="s">
        <v>152</v>
      </c>
      <c r="H44" s="3">
        <v>0.19500000000000001</v>
      </c>
      <c r="I44" s="4" t="str">
        <f>U41</f>
        <v>[40]</v>
      </c>
      <c r="J44" s="3">
        <v>24.5</v>
      </c>
      <c r="K44" s="4" t="str">
        <f>U41</f>
        <v>[40]</v>
      </c>
      <c r="L44" s="3">
        <v>9.6199999999999992</v>
      </c>
      <c r="M44" s="4" t="str">
        <f>U41</f>
        <v>[40]</v>
      </c>
      <c r="N44" s="3">
        <f t="shared" si="8"/>
        <v>0.97920069315578162</v>
      </c>
      <c r="O44" s="3">
        <f t="shared" si="9"/>
        <v>1</v>
      </c>
      <c r="P44" s="3">
        <f t="shared" si="10"/>
        <v>0.98226399695779787</v>
      </c>
      <c r="Q44" s="3">
        <f t="shared" si="13"/>
        <v>0.8396807211742976</v>
      </c>
      <c r="R44" s="3">
        <f t="shared" si="11"/>
        <v>-0.17744212438861309</v>
      </c>
      <c r="S44" s="3">
        <f t="shared" si="12"/>
        <v>1.8769489318618375E-3</v>
      </c>
      <c r="U44" s="3" t="s">
        <v>330</v>
      </c>
      <c r="V44" s="2" t="s">
        <v>396</v>
      </c>
    </row>
    <row r="45" spans="1:22" x14ac:dyDescent="0.25">
      <c r="A45" s="3">
        <v>44</v>
      </c>
      <c r="B45" s="3" t="s">
        <v>84</v>
      </c>
      <c r="C45" s="3">
        <f>'Calculation P'!N45</f>
        <v>32.85</v>
      </c>
      <c r="D45" s="3">
        <v>3.35</v>
      </c>
      <c r="E45" s="4" t="str">
        <f>U40</f>
        <v>[39]</v>
      </c>
      <c r="F45" s="3">
        <v>0</v>
      </c>
      <c r="G45" s="4" t="s">
        <v>152</v>
      </c>
      <c r="H45" s="3">
        <v>0.19500000000000001</v>
      </c>
      <c r="I45" s="4" t="str">
        <f>U41</f>
        <v>[40]</v>
      </c>
      <c r="J45" s="3">
        <v>24.5</v>
      </c>
      <c r="K45" s="4" t="str">
        <f>U41</f>
        <v>[40]</v>
      </c>
      <c r="L45" s="3">
        <v>9.6199999999999992</v>
      </c>
      <c r="M45" s="4" t="str">
        <f>U41</f>
        <v>[40]</v>
      </c>
      <c r="N45" s="3">
        <f t="shared" si="8"/>
        <v>0.97920069315578162</v>
      </c>
      <c r="O45" s="3">
        <f t="shared" si="9"/>
        <v>1</v>
      </c>
      <c r="P45" s="3">
        <f t="shared" si="10"/>
        <v>0.98226399695779787</v>
      </c>
      <c r="Q45" s="3">
        <f t="shared" si="13"/>
        <v>0.8396807211742976</v>
      </c>
      <c r="R45" s="3">
        <f t="shared" si="11"/>
        <v>-0.17744212438861309</v>
      </c>
      <c r="S45" s="3">
        <f t="shared" si="12"/>
        <v>1.8769489318618375E-3</v>
      </c>
      <c r="U45" s="3" t="s">
        <v>332</v>
      </c>
      <c r="V45" s="2" t="s">
        <v>400</v>
      </c>
    </row>
    <row r="46" spans="1:22" x14ac:dyDescent="0.25">
      <c r="A46" s="3">
        <v>45</v>
      </c>
      <c r="B46" s="3" t="s">
        <v>86</v>
      </c>
      <c r="C46" s="3">
        <f>'Calculation P'!N46</f>
        <v>32.85</v>
      </c>
      <c r="D46" s="3">
        <v>3.35</v>
      </c>
      <c r="E46" s="4" t="str">
        <f>U40</f>
        <v>[39]</v>
      </c>
      <c r="F46" s="3">
        <v>0</v>
      </c>
      <c r="G46" s="4" t="s">
        <v>152</v>
      </c>
      <c r="H46" s="3">
        <v>0.19500000000000001</v>
      </c>
      <c r="I46" s="4" t="str">
        <f>U41</f>
        <v>[40]</v>
      </c>
      <c r="J46" s="3">
        <v>24.5</v>
      </c>
      <c r="K46" s="4" t="str">
        <f>U41</f>
        <v>[40]</v>
      </c>
      <c r="L46" s="3">
        <v>9.6199999999999992</v>
      </c>
      <c r="M46" s="4" t="str">
        <f>U41</f>
        <v>[40]</v>
      </c>
      <c r="N46" s="3">
        <f t="shared" si="8"/>
        <v>0.97920069315578162</v>
      </c>
      <c r="O46" s="3">
        <f t="shared" si="9"/>
        <v>1</v>
      </c>
      <c r="P46" s="3">
        <f t="shared" si="10"/>
        <v>0.98226399695779787</v>
      </c>
      <c r="Q46" s="3">
        <f t="shared" si="13"/>
        <v>0.8396807211742976</v>
      </c>
      <c r="R46" s="3">
        <f t="shared" si="11"/>
        <v>-0.17744212438861309</v>
      </c>
      <c r="S46" s="3">
        <f t="shared" si="12"/>
        <v>1.8769489318618375E-3</v>
      </c>
      <c r="U46" s="3" t="s">
        <v>334</v>
      </c>
      <c r="V46" s="2" t="s">
        <v>401</v>
      </c>
    </row>
    <row r="47" spans="1:22" x14ac:dyDescent="0.25">
      <c r="A47" s="3">
        <v>46</v>
      </c>
      <c r="B47" s="3" t="s">
        <v>88</v>
      </c>
      <c r="C47" s="3">
        <f>'Calculation P'!N47</f>
        <v>32.85</v>
      </c>
      <c r="D47" s="3">
        <v>3.35</v>
      </c>
      <c r="E47" s="4" t="str">
        <f>U40</f>
        <v>[39]</v>
      </c>
      <c r="F47" s="3">
        <v>0</v>
      </c>
      <c r="G47" s="4" t="s">
        <v>152</v>
      </c>
      <c r="H47" s="3">
        <v>0.19500000000000001</v>
      </c>
      <c r="I47" s="4" t="str">
        <f>U41</f>
        <v>[40]</v>
      </c>
      <c r="J47" s="3">
        <v>24.5</v>
      </c>
      <c r="K47" s="4" t="str">
        <f>U41</f>
        <v>[40]</v>
      </c>
      <c r="L47" s="3">
        <v>9.6199999999999992</v>
      </c>
      <c r="M47" s="4" t="str">
        <f>U41</f>
        <v>[40]</v>
      </c>
      <c r="N47" s="3">
        <f t="shared" si="8"/>
        <v>0.97920069315578162</v>
      </c>
      <c r="O47" s="3">
        <f t="shared" si="9"/>
        <v>1</v>
      </c>
      <c r="P47" s="3">
        <f t="shared" si="10"/>
        <v>0.98226399695779787</v>
      </c>
      <c r="Q47" s="3">
        <f t="shared" si="13"/>
        <v>0.8396807211742976</v>
      </c>
      <c r="R47" s="3">
        <f t="shared" si="11"/>
        <v>-0.17744212438861309</v>
      </c>
      <c r="S47" s="3">
        <f t="shared" si="12"/>
        <v>1.8769489318618375E-3</v>
      </c>
      <c r="U47" s="3" t="s">
        <v>336</v>
      </c>
      <c r="V47" s="2" t="s">
        <v>408</v>
      </c>
    </row>
    <row r="48" spans="1:22" x14ac:dyDescent="0.25">
      <c r="A48" s="3">
        <v>47</v>
      </c>
      <c r="B48" s="3" t="s">
        <v>90</v>
      </c>
      <c r="C48" s="3">
        <f>'Calculation P'!N48</f>
        <v>32.869999999999997</v>
      </c>
      <c r="D48" s="3">
        <v>3.35</v>
      </c>
      <c r="E48" s="4" t="str">
        <f>U42</f>
        <v>[41]</v>
      </c>
      <c r="F48" s="3">
        <v>0</v>
      </c>
      <c r="G48" s="4" t="s">
        <v>152</v>
      </c>
      <c r="H48" s="3">
        <v>0.19500000000000001</v>
      </c>
      <c r="I48" s="4" t="str">
        <f>U41</f>
        <v>[40]</v>
      </c>
      <c r="J48" s="3">
        <v>24.5</v>
      </c>
      <c r="K48" s="4" t="str">
        <f>U41</f>
        <v>[40]</v>
      </c>
      <c r="L48" s="3">
        <v>9.6199999999999992</v>
      </c>
      <c r="M48" s="4" t="str">
        <f>U41</f>
        <v>[40]</v>
      </c>
      <c r="N48" s="3">
        <f t="shared" si="8"/>
        <v>0.9792259964464376</v>
      </c>
      <c r="O48" s="3">
        <f t="shared" si="9"/>
        <v>1</v>
      </c>
      <c r="P48" s="3">
        <f t="shared" si="10"/>
        <v>0.98226399695779787</v>
      </c>
      <c r="Q48" s="3">
        <f t="shared" si="13"/>
        <v>0.83970241916276378</v>
      </c>
      <c r="R48" s="3">
        <f t="shared" si="11"/>
        <v>-0.17744212438861309</v>
      </c>
      <c r="S48" s="3">
        <f t="shared" si="12"/>
        <v>1.8769489318618375E-3</v>
      </c>
      <c r="U48" s="3" t="s">
        <v>338</v>
      </c>
      <c r="V48" s="2" t="s">
        <v>409</v>
      </c>
    </row>
    <row r="49" spans="1:22" x14ac:dyDescent="0.25">
      <c r="A49" s="3">
        <v>48</v>
      </c>
      <c r="B49" s="3" t="s">
        <v>92</v>
      </c>
      <c r="C49" s="3">
        <f>'Calculation P'!N49</f>
        <v>40.299999999999997</v>
      </c>
      <c r="D49" s="3">
        <v>4.0999999999999996</v>
      </c>
      <c r="E49" s="4" t="str">
        <f>U19</f>
        <v>[18]</v>
      </c>
      <c r="F49" s="3">
        <v>1.91</v>
      </c>
      <c r="G49" s="4" t="str">
        <f>U19</f>
        <v>[18]</v>
      </c>
      <c r="H49" s="3">
        <v>0.22800000000000001</v>
      </c>
      <c r="I49" s="4" t="str">
        <f>U19</f>
        <v>[18]</v>
      </c>
      <c r="J49" s="3">
        <v>28</v>
      </c>
      <c r="K49" s="4" t="str">
        <f>U19</f>
        <v>[18]</v>
      </c>
      <c r="L49" s="3">
        <f>C49^2/184.2</f>
        <v>8.816992399565688</v>
      </c>
      <c r="M49" s="4" t="s">
        <v>251</v>
      </c>
      <c r="N49" s="3">
        <f t="shared" si="8"/>
        <v>0.9792991767697603</v>
      </c>
      <c r="O49" s="3">
        <f t="shared" si="9"/>
        <v>1.0681106236210602</v>
      </c>
      <c r="P49" s="3">
        <f t="shared" si="10"/>
        <v>0.98208599458694834</v>
      </c>
      <c r="Q49" s="3">
        <f t="shared" si="13"/>
        <v>0.89679955782280685</v>
      </c>
      <c r="R49" s="3">
        <f t="shared" si="11"/>
        <v>-0.1995280128999801</v>
      </c>
      <c r="S49" s="3">
        <f t="shared" si="12"/>
        <v>2.0688200523580821E-3</v>
      </c>
      <c r="U49" s="3" t="s">
        <v>340</v>
      </c>
      <c r="V49" s="2" t="s">
        <v>419</v>
      </c>
    </row>
    <row r="50" spans="1:22" x14ac:dyDescent="0.25">
      <c r="A50" s="3">
        <v>49</v>
      </c>
      <c r="B50" s="3" t="s">
        <v>94</v>
      </c>
      <c r="C50" s="3">
        <f>'Calculation P'!N50</f>
        <v>24.57</v>
      </c>
      <c r="D50" s="3">
        <v>2.8650000000000002</v>
      </c>
      <c r="E50" s="4" t="str">
        <f>U43</f>
        <v>[42]</v>
      </c>
      <c r="F50" s="3">
        <v>0</v>
      </c>
      <c r="G50" s="4" t="s">
        <v>152</v>
      </c>
      <c r="H50" s="3">
        <f>0.8/1.5</f>
        <v>0.53333333333333333</v>
      </c>
      <c r="I50" s="4" t="s">
        <v>318</v>
      </c>
      <c r="J50" s="3">
        <v>2</v>
      </c>
      <c r="K50" s="4" t="s">
        <v>318</v>
      </c>
      <c r="L50" s="3">
        <f>C50^2/54.5</f>
        <v>11.076787155963302</v>
      </c>
      <c r="M50" s="4" t="s">
        <v>251</v>
      </c>
      <c r="N50" s="3">
        <f t="shared" si="8"/>
        <v>0.97280626035204787</v>
      </c>
      <c r="O50" s="3">
        <f t="shared" si="9"/>
        <v>1</v>
      </c>
      <c r="P50" s="3">
        <f t="shared" si="10"/>
        <v>0.97440958944587674</v>
      </c>
      <c r="Q50" s="3">
        <f>P50*N50*O50*$B$103</f>
        <v>0.76212104600305419</v>
      </c>
      <c r="R50" s="3">
        <f t="shared" si="11"/>
        <v>6.0484568847848807E-2</v>
      </c>
      <c r="S50" s="3">
        <f t="shared" si="12"/>
        <v>2.3709472595641844E-3</v>
      </c>
      <c r="U50" s="3" t="s">
        <v>342</v>
      </c>
      <c r="V50" s="2" t="s">
        <v>420</v>
      </c>
    </row>
    <row r="51" spans="1:22" x14ac:dyDescent="0.25">
      <c r="A51" s="3">
        <v>50</v>
      </c>
      <c r="B51" s="3" t="s">
        <v>96</v>
      </c>
      <c r="C51" s="3">
        <f>'Calculation P'!N51</f>
        <v>24.57</v>
      </c>
      <c r="D51" s="3">
        <v>2.8650000000000002</v>
      </c>
      <c r="E51" s="4" t="str">
        <f>U43</f>
        <v>[42]</v>
      </c>
      <c r="F51" s="3">
        <v>0</v>
      </c>
      <c r="G51" s="4" t="s">
        <v>152</v>
      </c>
      <c r="H51" s="3">
        <f>0.8/1.5</f>
        <v>0.53333333333333333</v>
      </c>
      <c r="I51" s="4" t="s">
        <v>318</v>
      </c>
      <c r="J51" s="3">
        <v>2</v>
      </c>
      <c r="K51" s="4" t="s">
        <v>318</v>
      </c>
      <c r="L51" s="3">
        <f>C51^2/54.5</f>
        <v>11.076787155963302</v>
      </c>
      <c r="M51" s="4" t="s">
        <v>251</v>
      </c>
      <c r="N51" s="3">
        <f t="shared" si="8"/>
        <v>0.97280626035204787</v>
      </c>
      <c r="O51" s="3">
        <f t="shared" si="9"/>
        <v>1</v>
      </c>
      <c r="P51" s="3">
        <f t="shared" si="10"/>
        <v>0.97440958944587674</v>
      </c>
      <c r="Q51" s="3">
        <f>P51*N51*O51*$B$103</f>
        <v>0.76212104600305419</v>
      </c>
      <c r="R51" s="3">
        <f t="shared" si="11"/>
        <v>6.0484568847848807E-2</v>
      </c>
      <c r="S51" s="3">
        <f t="shared" si="12"/>
        <v>2.3709472595641844E-3</v>
      </c>
      <c r="U51" s="3" t="s">
        <v>344</v>
      </c>
      <c r="V51" s="2" t="s">
        <v>422</v>
      </c>
    </row>
    <row r="52" spans="1:22" x14ac:dyDescent="0.25">
      <c r="A52" s="3">
        <v>51</v>
      </c>
      <c r="B52" s="3" t="s">
        <v>98</v>
      </c>
      <c r="C52" s="3">
        <f>'Calculation P'!N52</f>
        <v>27.05</v>
      </c>
      <c r="D52" s="3">
        <v>2.8650000000000002</v>
      </c>
      <c r="E52" s="4" t="str">
        <f>U43</f>
        <v>[42]</v>
      </c>
      <c r="F52" s="3">
        <v>0</v>
      </c>
      <c r="G52" s="4" t="s">
        <v>152</v>
      </c>
      <c r="H52" s="3">
        <v>0.47</v>
      </c>
      <c r="I52" s="4" t="str">
        <f>U45</f>
        <v>[44]</v>
      </c>
      <c r="J52" s="3">
        <v>3.5</v>
      </c>
      <c r="K52" s="4" t="str">
        <f>U45</f>
        <v>[44]</v>
      </c>
      <c r="L52" s="3">
        <f>C52^2/61</f>
        <v>11.995122950819672</v>
      </c>
      <c r="M52" s="4" t="s">
        <v>251</v>
      </c>
      <c r="N52" s="3">
        <f t="shared" si="8"/>
        <v>0.97756403729657881</v>
      </c>
      <c r="O52" s="3">
        <f t="shared" si="9"/>
        <v>1</v>
      </c>
      <c r="P52" s="3">
        <f t="shared" si="10"/>
        <v>0.97548067815940886</v>
      </c>
      <c r="Q52" s="3">
        <f>P52*N52*O52*$B$103</f>
        <v>0.76669024335723845</v>
      </c>
      <c r="R52" s="3">
        <f t="shared" si="11"/>
        <v>3.7649323811197677E-2</v>
      </c>
      <c r="S52" s="3">
        <f t="shared" si="12"/>
        <v>2.0954875207531802E-3</v>
      </c>
      <c r="U52" s="3" t="s">
        <v>346</v>
      </c>
      <c r="V52" s="2" t="s">
        <v>425</v>
      </c>
    </row>
    <row r="53" spans="1:22" x14ac:dyDescent="0.25">
      <c r="A53" s="3">
        <v>52</v>
      </c>
      <c r="B53" s="3" t="s">
        <v>100</v>
      </c>
      <c r="C53" s="3">
        <f>'Calculation P'!N53</f>
        <v>28.4</v>
      </c>
      <c r="D53" s="3">
        <v>3.4</v>
      </c>
      <c r="E53" s="4" t="str">
        <f>U46</f>
        <v>[45]</v>
      </c>
      <c r="F53" s="3">
        <v>0</v>
      </c>
      <c r="G53" s="4" t="s">
        <v>152</v>
      </c>
      <c r="H53" s="3">
        <v>0.19600000000000001</v>
      </c>
      <c r="I53" s="4" t="str">
        <f>U23</f>
        <v>[22]</v>
      </c>
      <c r="J53" s="3">
        <v>24.5</v>
      </c>
      <c r="K53" s="4" t="str">
        <f>U23</f>
        <v>[22]</v>
      </c>
      <c r="L53" s="3">
        <v>8.68</v>
      </c>
      <c r="M53" s="4" t="str">
        <f>U23</f>
        <v>[22]</v>
      </c>
      <c r="N53" s="3">
        <f t="shared" si="8"/>
        <v>0.97133505256893471</v>
      </c>
      <c r="O53" s="3">
        <f t="shared" si="9"/>
        <v>1</v>
      </c>
      <c r="P53" s="3">
        <f t="shared" si="10"/>
        <v>0.98395727340282124</v>
      </c>
      <c r="Q53" s="3">
        <f>P53*N53*O53*$B$101</f>
        <v>0.83437166177075306</v>
      </c>
      <c r="R53" s="3">
        <f t="shared" si="11"/>
        <v>-0.17744212438861309</v>
      </c>
      <c r="S53" s="3">
        <f t="shared" si="12"/>
        <v>1.8783746422121259E-3</v>
      </c>
      <c r="U53" s="3" t="s">
        <v>348</v>
      </c>
      <c r="V53" s="2" t="s">
        <v>431</v>
      </c>
    </row>
    <row r="54" spans="1:22" x14ac:dyDescent="0.25">
      <c r="A54" s="3">
        <v>53</v>
      </c>
      <c r="B54" s="3" t="s">
        <v>102</v>
      </c>
      <c r="C54" s="3">
        <f>'Calculation P'!N54</f>
        <v>28.35</v>
      </c>
      <c r="D54" s="3">
        <v>3.76</v>
      </c>
      <c r="E54" s="4" t="str">
        <f>U37</f>
        <v>[36]</v>
      </c>
      <c r="F54" s="3">
        <v>0</v>
      </c>
      <c r="G54" s="4" t="s">
        <v>152</v>
      </c>
      <c r="H54" s="3">
        <v>0.26600000000000001</v>
      </c>
      <c r="I54" s="4" t="str">
        <f>U23</f>
        <v>[22]</v>
      </c>
      <c r="J54" s="3">
        <v>25</v>
      </c>
      <c r="K54" s="4" t="str">
        <f>U23</f>
        <v>[22]</v>
      </c>
      <c r="L54" s="3">
        <v>8.83</v>
      </c>
      <c r="M54" s="4" t="str">
        <f>U23</f>
        <v>[22]</v>
      </c>
      <c r="N54" s="3">
        <f t="shared" si="8"/>
        <v>0.96481969834115633</v>
      </c>
      <c r="O54" s="3">
        <f t="shared" si="9"/>
        <v>1</v>
      </c>
      <c r="P54" s="3">
        <f t="shared" si="10"/>
        <v>0.98108466172429676</v>
      </c>
      <c r="Q54" s="3">
        <f>P54*N54*O54*$B$101</f>
        <v>0.82635544183573106</v>
      </c>
      <c r="R54" s="3">
        <f t="shared" si="11"/>
        <v>-0.18077746799544042</v>
      </c>
      <c r="S54" s="3">
        <f t="shared" si="12"/>
        <v>2.1834684596709411E-3</v>
      </c>
      <c r="U54" s="3" t="s">
        <v>350</v>
      </c>
      <c r="V54" s="2" t="s">
        <v>432</v>
      </c>
    </row>
    <row r="55" spans="1:22" x14ac:dyDescent="0.25">
      <c r="A55" s="3">
        <v>54</v>
      </c>
      <c r="B55" s="3" t="s">
        <v>104</v>
      </c>
      <c r="C55" s="3">
        <f>'Calculation P'!N55</f>
        <v>28.88</v>
      </c>
      <c r="D55" s="3">
        <v>3.76</v>
      </c>
      <c r="E55" s="4" t="str">
        <f>U37</f>
        <v>[36]</v>
      </c>
      <c r="F55" s="3">
        <v>0</v>
      </c>
      <c r="G55" s="4" t="s">
        <v>152</v>
      </c>
      <c r="H55" s="3">
        <v>0.24</v>
      </c>
      <c r="I55" s="4" t="str">
        <f>U23</f>
        <v>[22]</v>
      </c>
      <c r="J55" s="3">
        <v>25</v>
      </c>
      <c r="K55" s="4" t="str">
        <f>U23</f>
        <v>[22]</v>
      </c>
      <c r="L55" s="3">
        <v>9.17</v>
      </c>
      <c r="M55" s="4" t="str">
        <f>U23</f>
        <v>[22]</v>
      </c>
      <c r="N55" s="3">
        <f t="shared" si="8"/>
        <v>0.96609909377613734</v>
      </c>
      <c r="O55" s="3">
        <f t="shared" si="9"/>
        <v>1</v>
      </c>
      <c r="P55" s="3">
        <f t="shared" si="10"/>
        <v>0.98169043184630078</v>
      </c>
      <c r="Q55" s="3">
        <f>P55*N55*O55*$B$101</f>
        <v>0.82796213653033823</v>
      </c>
      <c r="R55" s="3">
        <f t="shared" si="11"/>
        <v>-0.18077746799544042</v>
      </c>
      <c r="S55" s="3">
        <f t="shared" si="12"/>
        <v>2.0339215950606927E-3</v>
      </c>
      <c r="U55" s="3" t="s">
        <v>352</v>
      </c>
      <c r="V55" s="2" t="s">
        <v>446</v>
      </c>
    </row>
    <row r="56" spans="1:22" x14ac:dyDescent="0.25">
      <c r="A56" s="3">
        <v>55</v>
      </c>
      <c r="B56" s="3" t="s">
        <v>106</v>
      </c>
      <c r="C56" s="3">
        <f>'Calculation P'!N56</f>
        <v>28.88</v>
      </c>
      <c r="D56" s="3">
        <v>3.76</v>
      </c>
      <c r="E56" s="4" t="str">
        <f>U37</f>
        <v>[36]</v>
      </c>
      <c r="F56" s="3">
        <v>0</v>
      </c>
      <c r="G56" s="4" t="s">
        <v>152</v>
      </c>
      <c r="H56" s="3">
        <v>0.24</v>
      </c>
      <c r="I56" s="4" t="str">
        <f>U23</f>
        <v>[22]</v>
      </c>
      <c r="J56" s="3">
        <v>25</v>
      </c>
      <c r="K56" s="4" t="str">
        <f>U23</f>
        <v>[22]</v>
      </c>
      <c r="L56" s="3">
        <v>9.17</v>
      </c>
      <c r="M56" s="4" t="str">
        <f>U23</f>
        <v>[22]</v>
      </c>
      <c r="N56" s="3">
        <f t="shared" si="8"/>
        <v>0.96609909377613734</v>
      </c>
      <c r="O56" s="3">
        <f t="shared" si="9"/>
        <v>1</v>
      </c>
      <c r="P56" s="3">
        <f t="shared" si="10"/>
        <v>0.98169043184630078</v>
      </c>
      <c r="Q56" s="3">
        <f>P56*N56*O56*$B$101</f>
        <v>0.82796213653033823</v>
      </c>
      <c r="R56" s="3">
        <f t="shared" si="11"/>
        <v>-0.18077746799544042</v>
      </c>
      <c r="S56" s="3">
        <f t="shared" si="12"/>
        <v>2.0339215950606927E-3</v>
      </c>
      <c r="U56" s="3" t="s">
        <v>354</v>
      </c>
      <c r="V56" s="2" t="s">
        <v>448</v>
      </c>
    </row>
    <row r="57" spans="1:22" x14ac:dyDescent="0.25">
      <c r="A57" s="3">
        <v>56</v>
      </c>
      <c r="B57" s="3" t="s">
        <v>108</v>
      </c>
      <c r="C57" s="3">
        <f>'Calculation P'!N57</f>
        <v>28.88</v>
      </c>
      <c r="D57" s="3">
        <v>3.76</v>
      </c>
      <c r="E57" s="4" t="str">
        <f>U37</f>
        <v>[36]</v>
      </c>
      <c r="F57" s="3">
        <v>0</v>
      </c>
      <c r="G57" s="4" t="s">
        <v>152</v>
      </c>
      <c r="H57" s="3">
        <v>0.24</v>
      </c>
      <c r="I57" s="4" t="str">
        <f>U23</f>
        <v>[22]</v>
      </c>
      <c r="J57" s="3">
        <v>25</v>
      </c>
      <c r="K57" s="4" t="str">
        <f>U23</f>
        <v>[22]</v>
      </c>
      <c r="L57" s="3">
        <v>9.17</v>
      </c>
      <c r="M57" s="4" t="str">
        <f>U23</f>
        <v>[22]</v>
      </c>
      <c r="N57" s="3">
        <f t="shared" si="8"/>
        <v>0.96609909377613734</v>
      </c>
      <c r="O57" s="3">
        <f t="shared" si="9"/>
        <v>1</v>
      </c>
      <c r="P57" s="3">
        <f t="shared" si="10"/>
        <v>0.98169043184630078</v>
      </c>
      <c r="Q57" s="3">
        <f>P57*N57*O57*$B$101</f>
        <v>0.82796213653033823</v>
      </c>
      <c r="R57" s="3">
        <f t="shared" si="11"/>
        <v>-0.18077746799544042</v>
      </c>
      <c r="S57" s="3">
        <f t="shared" si="12"/>
        <v>2.0339215950606927E-3</v>
      </c>
      <c r="U57" s="3" t="s">
        <v>359</v>
      </c>
      <c r="V57" s="2" t="s">
        <v>449</v>
      </c>
    </row>
    <row r="58" spans="1:22" x14ac:dyDescent="0.25">
      <c r="A58" s="3">
        <v>57</v>
      </c>
      <c r="B58" s="3" t="s">
        <v>110</v>
      </c>
      <c r="C58" s="3">
        <f>'Calculation P'!N58</f>
        <v>19.600000000000001</v>
      </c>
      <c r="D58" s="3">
        <v>2.41</v>
      </c>
      <c r="E58" s="4" t="str">
        <f>U47</f>
        <v>[46]</v>
      </c>
      <c r="F58" s="3">
        <v>1.29</v>
      </c>
      <c r="G58" s="4" t="s">
        <v>318</v>
      </c>
      <c r="H58" s="3">
        <f>0.9/2.7</f>
        <v>0.33333333333333331</v>
      </c>
      <c r="I58" s="4" t="s">
        <v>318</v>
      </c>
      <c r="J58" s="3">
        <v>28</v>
      </c>
      <c r="K58" s="4" t="s">
        <v>318</v>
      </c>
      <c r="L58" s="3">
        <f>C58^2/45.43</f>
        <v>8.456086286594763</v>
      </c>
      <c r="M58" s="4" t="s">
        <v>251</v>
      </c>
      <c r="N58" s="3">
        <f t="shared" si="8"/>
        <v>0.96976207830070804</v>
      </c>
      <c r="O58" s="3">
        <f t="shared" si="9"/>
        <v>1.095190097476366</v>
      </c>
      <c r="P58" s="3">
        <f t="shared" si="10"/>
        <v>0.97594134132548571</v>
      </c>
      <c r="Q58" s="3">
        <f>P58*N58*O58*$B$102</f>
        <v>0.895554794953764</v>
      </c>
      <c r="R58" s="3">
        <f t="shared" si="11"/>
        <v>-0.1995280128999801</v>
      </c>
      <c r="S58" s="3">
        <f t="shared" si="12"/>
        <v>2.9152666844891907E-3</v>
      </c>
      <c r="U58" s="3" t="s">
        <v>360</v>
      </c>
      <c r="V58" s="2" t="s">
        <v>451</v>
      </c>
    </row>
    <row r="59" spans="1:22" x14ac:dyDescent="0.25">
      <c r="A59" s="3">
        <v>58</v>
      </c>
      <c r="B59" s="3" t="s">
        <v>112</v>
      </c>
      <c r="C59" s="3">
        <f>'Calculation P'!N59</f>
        <v>21.23</v>
      </c>
      <c r="D59" s="3">
        <v>2.69</v>
      </c>
      <c r="E59" s="4" t="str">
        <f>U48</f>
        <v>[47]</v>
      </c>
      <c r="F59" s="3">
        <v>1.29</v>
      </c>
      <c r="G59" s="4" t="str">
        <f>U48</f>
        <v>[47]</v>
      </c>
      <c r="H59" s="3">
        <v>0.28799999999999998</v>
      </c>
      <c r="I59" s="4" t="str">
        <f>U49</f>
        <v>[48]</v>
      </c>
      <c r="J59" s="3">
        <v>24.75</v>
      </c>
      <c r="K59" s="4" t="str">
        <f>U49</f>
        <v>[48]</v>
      </c>
      <c r="L59" s="3">
        <v>7.72</v>
      </c>
      <c r="M59" s="4" t="str">
        <f>U49</f>
        <v>[48]</v>
      </c>
      <c r="N59" s="3">
        <f t="shared" si="8"/>
        <v>0.96789042425899063</v>
      </c>
      <c r="O59" s="3">
        <f t="shared" si="9"/>
        <v>1.0877282234007419</v>
      </c>
      <c r="P59" s="3">
        <f t="shared" si="10"/>
        <v>0.98235399224389042</v>
      </c>
      <c r="Q59" s="3">
        <f>P59*N59*O59*$B$101</f>
        <v>0.9028775381227111</v>
      </c>
      <c r="R59" s="3">
        <f t="shared" si="11"/>
        <v>-0.17911761334635082</v>
      </c>
      <c r="S59" s="3">
        <f t="shared" si="12"/>
        <v>2.3268112290082757E-3</v>
      </c>
      <c r="U59" s="3" t="s">
        <v>361</v>
      </c>
      <c r="V59" s="2" t="s">
        <v>472</v>
      </c>
    </row>
    <row r="60" spans="1:22" x14ac:dyDescent="0.25">
      <c r="A60" s="3">
        <v>59</v>
      </c>
      <c r="B60" s="3" t="s">
        <v>114</v>
      </c>
      <c r="C60" s="3">
        <f>'Calculation P'!N60</f>
        <v>21.23</v>
      </c>
      <c r="D60" s="3">
        <v>2.69</v>
      </c>
      <c r="E60" s="4" t="str">
        <f>U48</f>
        <v>[47]</v>
      </c>
      <c r="F60" s="3">
        <v>1.29</v>
      </c>
      <c r="G60" s="4" t="str">
        <f>U48</f>
        <v>[47]</v>
      </c>
      <c r="H60" s="3">
        <v>0.28799999999999998</v>
      </c>
      <c r="I60" s="4" t="str">
        <f>U49</f>
        <v>[48]</v>
      </c>
      <c r="J60" s="3">
        <v>24.75</v>
      </c>
      <c r="K60" s="4" t="str">
        <f>U49</f>
        <v>[48]</v>
      </c>
      <c r="L60" s="3">
        <v>7.72</v>
      </c>
      <c r="M60" s="4" t="str">
        <f>U49</f>
        <v>[48]</v>
      </c>
      <c r="N60" s="3">
        <f t="shared" si="8"/>
        <v>0.96789042425899063</v>
      </c>
      <c r="O60" s="3">
        <f t="shared" si="9"/>
        <v>1.0877282234007419</v>
      </c>
      <c r="P60" s="3">
        <f t="shared" si="10"/>
        <v>0.98235399224389042</v>
      </c>
      <c r="Q60" s="3">
        <f>P60*N60*O60*$B$101</f>
        <v>0.9028775381227111</v>
      </c>
      <c r="R60" s="3">
        <f t="shared" si="11"/>
        <v>-0.17911761334635082</v>
      </c>
      <c r="S60" s="3">
        <f t="shared" si="12"/>
        <v>2.3268112290082757E-3</v>
      </c>
      <c r="U60" s="3" t="s">
        <v>362</v>
      </c>
      <c r="V60" s="2" t="s">
        <v>476</v>
      </c>
    </row>
    <row r="61" spans="1:22" x14ac:dyDescent="0.25">
      <c r="A61" s="3">
        <v>60</v>
      </c>
      <c r="B61" s="3" t="s">
        <v>116</v>
      </c>
      <c r="C61" s="3">
        <f>'Calculation P'!N61</f>
        <v>23.25</v>
      </c>
      <c r="D61" s="3">
        <v>2.69</v>
      </c>
      <c r="E61" s="4" t="str">
        <f>U50</f>
        <v>[49]</v>
      </c>
      <c r="F61" s="3">
        <v>1.29</v>
      </c>
      <c r="G61" s="4" t="str">
        <f>U50</f>
        <v>[49]</v>
      </c>
      <c r="H61" s="3">
        <v>0.26</v>
      </c>
      <c r="I61" s="4" t="str">
        <f>U50</f>
        <v>[49]</v>
      </c>
      <c r="J61" s="3">
        <v>26.5</v>
      </c>
      <c r="K61" s="4" t="str">
        <f>U50</f>
        <v>[49]</v>
      </c>
      <c r="L61" s="3">
        <f>C61^2/70.61</f>
        <v>7.6556082707831754</v>
      </c>
      <c r="M61" s="4" t="s">
        <v>251</v>
      </c>
      <c r="N61" s="3">
        <f t="shared" si="8"/>
        <v>0.97322751763209625</v>
      </c>
      <c r="O61" s="3">
        <f t="shared" si="9"/>
        <v>1.0799599519416025</v>
      </c>
      <c r="P61" s="3">
        <f t="shared" si="10"/>
        <v>0.98338098601752943</v>
      </c>
      <c r="Q61" s="3">
        <f>P61*N61*O61*$B$101</f>
        <v>0.90231480105277595</v>
      </c>
      <c r="R61" s="3">
        <f t="shared" si="11"/>
        <v>-0.19041635048254327</v>
      </c>
      <c r="S61" s="3">
        <f t="shared" si="12"/>
        <v>2.2075154075181722E-3</v>
      </c>
      <c r="U61" s="3" t="s">
        <v>364</v>
      </c>
      <c r="V61" s="2" t="s">
        <v>478</v>
      </c>
    </row>
    <row r="62" spans="1:22" x14ac:dyDescent="0.25">
      <c r="A62" s="3">
        <v>61</v>
      </c>
      <c r="B62" s="3" t="s">
        <v>118</v>
      </c>
      <c r="C62" s="3">
        <f>'Calculation P'!N62</f>
        <v>23.24</v>
      </c>
      <c r="D62" s="3">
        <v>2.69</v>
      </c>
      <c r="E62" s="4" t="str">
        <f>U51</f>
        <v>[50]</v>
      </c>
      <c r="F62" s="3">
        <v>1.29</v>
      </c>
      <c r="G62" s="4" t="str">
        <f>U51</f>
        <v>[50]</v>
      </c>
      <c r="H62" s="3">
        <v>0.25</v>
      </c>
      <c r="I62" s="4" t="str">
        <f>U51</f>
        <v>[50]</v>
      </c>
      <c r="J62" s="3">
        <v>26</v>
      </c>
      <c r="K62" s="4" t="str">
        <f>U51</f>
        <v>[50]</v>
      </c>
      <c r="L62" s="3">
        <f>C62^2/71.07</f>
        <v>7.5995159701702546</v>
      </c>
      <c r="M62" s="4" t="s">
        <v>251</v>
      </c>
      <c r="N62" s="3">
        <f t="shared" si="8"/>
        <v>0.97320447267308718</v>
      </c>
      <c r="O62" s="3">
        <f t="shared" si="9"/>
        <v>1.0799950199850632</v>
      </c>
      <c r="P62" s="3">
        <f t="shared" si="10"/>
        <v>0.98411434717240531</v>
      </c>
      <c r="Q62" s="3">
        <f>P62*N62*O62*$B$101</f>
        <v>0.90299564572298319</v>
      </c>
      <c r="R62" s="3">
        <f t="shared" si="11"/>
        <v>-0.18726344089657934</v>
      </c>
      <c r="S62" s="3">
        <f t="shared" si="12"/>
        <v>2.1240932152385671E-3</v>
      </c>
      <c r="U62" s="3" t="s">
        <v>366</v>
      </c>
      <c r="V62" s="2" t="s">
        <v>480</v>
      </c>
    </row>
    <row r="63" spans="1:22" x14ac:dyDescent="0.25">
      <c r="A63" s="3">
        <v>62</v>
      </c>
      <c r="B63" s="3" t="s">
        <v>120</v>
      </c>
      <c r="C63" s="3">
        <f>'Calculation P'!N63</f>
        <v>28.4</v>
      </c>
      <c r="D63" s="3">
        <v>2.96</v>
      </c>
      <c r="E63" s="4" t="str">
        <f>U52</f>
        <v>[51]</v>
      </c>
      <c r="F63" s="3">
        <v>0</v>
      </c>
      <c r="G63" s="4" t="s">
        <v>152</v>
      </c>
      <c r="H63" s="3">
        <v>0.38</v>
      </c>
      <c r="I63" s="4" t="str">
        <f>U53</f>
        <v>[52]</v>
      </c>
      <c r="J63" s="3">
        <v>3.1</v>
      </c>
      <c r="K63" s="4" t="str">
        <f>U53</f>
        <v>[52]</v>
      </c>
      <c r="L63" s="3">
        <f>C63^2/63.1</f>
        <v>12.782250396196511</v>
      </c>
      <c r="M63" s="4" t="s">
        <v>251</v>
      </c>
      <c r="N63" s="3">
        <f t="shared" si="8"/>
        <v>0.97827415195397738</v>
      </c>
      <c r="O63" s="3">
        <f t="shared" si="9"/>
        <v>1</v>
      </c>
      <c r="P63" s="3">
        <f t="shared" si="10"/>
        <v>0.97647234705934882</v>
      </c>
      <c r="Q63" s="3">
        <f>P63*N63*O63*$B$103</f>
        <v>0.76802715640969943</v>
      </c>
      <c r="R63" s="3">
        <f t="shared" si="11"/>
        <v>4.3613684542506082E-2</v>
      </c>
      <c r="S63" s="3">
        <f t="shared" si="12"/>
        <v>1.8849999171323423E-3</v>
      </c>
      <c r="U63" s="3" t="s">
        <v>368</v>
      </c>
      <c r="V63" s="2" t="s">
        <v>482</v>
      </c>
    </row>
    <row r="64" spans="1:22" x14ac:dyDescent="0.25">
      <c r="A64" s="3">
        <v>63</v>
      </c>
      <c r="B64" s="3" t="s">
        <v>122</v>
      </c>
      <c r="C64" s="3">
        <f>'Calculation P'!N64</f>
        <v>20.04</v>
      </c>
      <c r="D64" s="3">
        <v>2.2799999999999998</v>
      </c>
      <c r="E64" s="4" t="str">
        <f>U54</f>
        <v>[53]</v>
      </c>
      <c r="F64" s="3">
        <v>0</v>
      </c>
      <c r="G64" s="4" t="s">
        <v>152</v>
      </c>
      <c r="H64" s="3">
        <f>0.8/3.2</f>
        <v>0.25</v>
      </c>
      <c r="I64" s="4" t="str">
        <f>U49</f>
        <v>[48]</v>
      </c>
      <c r="J64" s="3">
        <v>21.5</v>
      </c>
      <c r="K64" s="4" t="str">
        <f>U49</f>
        <v>[48]</v>
      </c>
      <c r="L64" s="3">
        <v>7.8</v>
      </c>
      <c r="M64" s="4" t="str">
        <f>U49</f>
        <v>[48]</v>
      </c>
      <c r="N64" s="3">
        <f t="shared" si="8"/>
        <v>0.97411165692566959</v>
      </c>
      <c r="O64" s="3">
        <f t="shared" si="9"/>
        <v>1</v>
      </c>
      <c r="P64" s="3">
        <f t="shared" si="10"/>
        <v>0.98488030790723202</v>
      </c>
      <c r="Q64" s="3">
        <f t="shared" ref="Q64:Q71" si="14">P64*N64*O64*$B$101</f>
        <v>0.83754169825563729</v>
      </c>
      <c r="R64" s="3">
        <f t="shared" si="11"/>
        <v>-0.15606176289310097</v>
      </c>
      <c r="S64" s="3">
        <f t="shared" si="12"/>
        <v>1.9681803439590799E-3</v>
      </c>
      <c r="U64" s="3" t="s">
        <v>369</v>
      </c>
      <c r="V64" s="2" t="s">
        <v>484</v>
      </c>
    </row>
    <row r="65" spans="1:22" x14ac:dyDescent="0.25">
      <c r="A65" s="3">
        <v>64</v>
      </c>
      <c r="B65" s="3" t="s">
        <v>124</v>
      </c>
      <c r="C65" s="3">
        <f>'Calculation P'!N65</f>
        <v>20.04</v>
      </c>
      <c r="D65" s="3">
        <v>2.2799999999999998</v>
      </c>
      <c r="E65" s="4" t="str">
        <f>U54</f>
        <v>[53]</v>
      </c>
      <c r="F65" s="3">
        <v>0</v>
      </c>
      <c r="G65" s="4" t="s">
        <v>152</v>
      </c>
      <c r="H65" s="3">
        <v>0.23100000000000001</v>
      </c>
      <c r="I65" s="4" t="str">
        <f>U49</f>
        <v>[48]</v>
      </c>
      <c r="J65" s="3">
        <v>22.73</v>
      </c>
      <c r="K65" s="4" t="str">
        <f>U49</f>
        <v>[48]</v>
      </c>
      <c r="L65" s="3">
        <v>7.8</v>
      </c>
      <c r="M65" s="4" t="str">
        <f>U49</f>
        <v>[48]</v>
      </c>
      <c r="N65" s="3">
        <f t="shared" si="8"/>
        <v>0.97411165692566959</v>
      </c>
      <c r="O65" s="3">
        <f t="shared" si="9"/>
        <v>1</v>
      </c>
      <c r="P65" s="3">
        <f t="shared" si="10"/>
        <v>0.98515204774792797</v>
      </c>
      <c r="Q65" s="3">
        <f t="shared" si="14"/>
        <v>0.83777278567390823</v>
      </c>
      <c r="R65" s="3">
        <f t="shared" si="11"/>
        <v>-0.16511953831112375</v>
      </c>
      <c r="S65" s="3">
        <f t="shared" si="12"/>
        <v>1.9322739331579727E-3</v>
      </c>
      <c r="U65" s="3" t="s">
        <v>370</v>
      </c>
      <c r="V65" s="2" t="s">
        <v>487</v>
      </c>
    </row>
    <row r="66" spans="1:22" x14ac:dyDescent="0.25">
      <c r="A66" s="3">
        <v>65</v>
      </c>
      <c r="B66" s="3" t="s">
        <v>126</v>
      </c>
      <c r="C66" s="3">
        <f>'Calculation P'!N66</f>
        <v>26</v>
      </c>
      <c r="D66" s="3">
        <v>3.01</v>
      </c>
      <c r="E66" s="4" t="str">
        <f>U55</f>
        <v>[54]</v>
      </c>
      <c r="F66" s="3">
        <v>2</v>
      </c>
      <c r="G66" s="4" t="str">
        <f>U55</f>
        <v>[54]</v>
      </c>
      <c r="H66" s="3">
        <v>0.28999999999999998</v>
      </c>
      <c r="I66" s="4" t="str">
        <f>U55</f>
        <v>[54]</v>
      </c>
      <c r="J66" s="3">
        <v>22.5</v>
      </c>
      <c r="K66" s="4" t="str">
        <f>U55</f>
        <v>[54]</v>
      </c>
      <c r="L66" s="3">
        <v>8.6</v>
      </c>
      <c r="M66" s="4" t="str">
        <f>U55</f>
        <v>[54]</v>
      </c>
      <c r="N66" s="3">
        <f t="shared" ref="N66:N90" si="15">1-2*(D66/C66)^2</f>
        <v>0.97319497041420122</v>
      </c>
      <c r="O66" s="3">
        <f t="shared" ref="O66:O90" si="16">(1+(2/$B$100)*(F66/C66))^2</f>
        <v>1.1116804891835939</v>
      </c>
      <c r="P66" s="3">
        <f t="shared" ref="P66:P90" si="17">1/(1+S66*L66)</f>
        <v>0.98119810209711544</v>
      </c>
      <c r="Q66" s="3">
        <f t="shared" si="14"/>
        <v>0.92672479407324004</v>
      </c>
      <c r="R66" s="3">
        <f t="shared" ref="R66:R90" si="18">-0.357+0.45*EXP(-0.0375*J66)</f>
        <v>-0.16345741171197198</v>
      </c>
      <c r="S66" s="3">
        <f t="shared" ref="S66:S90" si="19">0.0524*(H66-R66)^4-0.15*(H66-R66)^3+0.1659*(H66-R66)^2-0.0706*(H66-R66)+0.0119</f>
        <v>2.2281608508384967E-3</v>
      </c>
      <c r="U66" s="3" t="s">
        <v>371</v>
      </c>
      <c r="V66" s="2" t="s">
        <v>488</v>
      </c>
    </row>
    <row r="67" spans="1:22" x14ac:dyDescent="0.25">
      <c r="A67" s="3">
        <v>66</v>
      </c>
      <c r="B67" s="3" t="s">
        <v>128</v>
      </c>
      <c r="C67" s="3">
        <f>'Calculation P'!N67</f>
        <v>26</v>
      </c>
      <c r="D67" s="3">
        <v>3.01</v>
      </c>
      <c r="E67" s="4" t="str">
        <f>U56</f>
        <v>[55]</v>
      </c>
      <c r="F67" s="3">
        <v>2</v>
      </c>
      <c r="G67" s="4" t="str">
        <f>U56</f>
        <v>[55]</v>
      </c>
      <c r="H67" s="3">
        <v>0.28999999999999998</v>
      </c>
      <c r="I67" s="4" t="str">
        <f>U56</f>
        <v>[55]</v>
      </c>
      <c r="J67" s="3">
        <v>22.5</v>
      </c>
      <c r="K67" s="4" t="str">
        <f>U56</f>
        <v>[55]</v>
      </c>
      <c r="L67" s="3">
        <v>8.6</v>
      </c>
      <c r="M67" s="4" t="str">
        <f>U56</f>
        <v>[55]</v>
      </c>
      <c r="N67" s="3">
        <f t="shared" si="15"/>
        <v>0.97319497041420122</v>
      </c>
      <c r="O67" s="3">
        <f t="shared" si="16"/>
        <v>1.1116804891835939</v>
      </c>
      <c r="P67" s="3">
        <f t="shared" si="17"/>
        <v>0.98119810209711544</v>
      </c>
      <c r="Q67" s="3">
        <f t="shared" si="14"/>
        <v>0.92672479407324004</v>
      </c>
      <c r="R67" s="3">
        <f t="shared" si="18"/>
        <v>-0.16345741171197198</v>
      </c>
      <c r="S67" s="3">
        <f t="shared" si="19"/>
        <v>2.2281608508384967E-3</v>
      </c>
      <c r="U67" s="3" t="s">
        <v>372</v>
      </c>
      <c r="V67" s="2" t="s">
        <v>489</v>
      </c>
    </row>
    <row r="68" spans="1:22" x14ac:dyDescent="0.25">
      <c r="A68" s="3">
        <v>67</v>
      </c>
      <c r="B68" s="3" t="s">
        <v>130</v>
      </c>
      <c r="C68" s="3">
        <f>'Calculation P'!N68</f>
        <v>28.72</v>
      </c>
      <c r="D68" s="3">
        <v>3.01</v>
      </c>
      <c r="E68" s="4" t="str">
        <f>U57</f>
        <v>[56]</v>
      </c>
      <c r="F68" s="3">
        <v>2</v>
      </c>
      <c r="G68" s="4" t="str">
        <f>U57</f>
        <v>[56]</v>
      </c>
      <c r="H68" s="3">
        <v>0.27</v>
      </c>
      <c r="I68" s="4" t="str">
        <f>U57</f>
        <v>[56]</v>
      </c>
      <c r="J68" s="3">
        <v>25</v>
      </c>
      <c r="K68" s="4" t="str">
        <f>U57</f>
        <v>[56]</v>
      </c>
      <c r="L68" s="3">
        <v>8.1</v>
      </c>
      <c r="M68" s="4" t="str">
        <f>U57</f>
        <v>[56]</v>
      </c>
      <c r="N68" s="3">
        <f t="shared" si="15"/>
        <v>0.97803181811128093</v>
      </c>
      <c r="O68" s="3">
        <f t="shared" si="16"/>
        <v>1.1008501260665184</v>
      </c>
      <c r="P68" s="3">
        <f t="shared" si="17"/>
        <v>0.98241427121200497</v>
      </c>
      <c r="Q68" s="3">
        <f t="shared" si="14"/>
        <v>0.92340046034380541</v>
      </c>
      <c r="R68" s="3">
        <f t="shared" si="18"/>
        <v>-0.18077746799544042</v>
      </c>
      <c r="S68" s="3">
        <f t="shared" si="19"/>
        <v>2.2099410521276945E-3</v>
      </c>
      <c r="U68" s="3" t="s">
        <v>373</v>
      </c>
      <c r="V68" s="2" t="s">
        <v>503</v>
      </c>
    </row>
    <row r="69" spans="1:22" x14ac:dyDescent="0.25">
      <c r="A69" s="3">
        <v>68</v>
      </c>
      <c r="B69" s="3" t="s">
        <v>132</v>
      </c>
      <c r="C69" s="3">
        <f>'Calculation P'!N69</f>
        <v>28.72</v>
      </c>
      <c r="D69" s="3">
        <v>3.01</v>
      </c>
      <c r="E69" s="4" t="str">
        <f>U58</f>
        <v>[57]</v>
      </c>
      <c r="F69" s="3">
        <v>2</v>
      </c>
      <c r="G69" s="4" t="str">
        <f>U58</f>
        <v>[57]</v>
      </c>
      <c r="H69" s="3">
        <v>0.28000000000000003</v>
      </c>
      <c r="I69" s="4" t="str">
        <f>U58</f>
        <v>[57]</v>
      </c>
      <c r="J69" s="3">
        <v>22.5</v>
      </c>
      <c r="K69" s="4" t="str">
        <f>U58</f>
        <v>[57]</v>
      </c>
      <c r="L69" s="3">
        <v>8.1</v>
      </c>
      <c r="M69" s="4" t="str">
        <f>U58</f>
        <v>[57]</v>
      </c>
      <c r="N69" s="3">
        <f t="shared" si="15"/>
        <v>0.97803181811128093</v>
      </c>
      <c r="O69" s="3">
        <f t="shared" si="16"/>
        <v>1.1008501260665184</v>
      </c>
      <c r="P69" s="3">
        <f t="shared" si="17"/>
        <v>0.98278790130806848</v>
      </c>
      <c r="Q69" s="3">
        <f t="shared" si="14"/>
        <v>0.92375164640941254</v>
      </c>
      <c r="R69" s="3">
        <f t="shared" si="18"/>
        <v>-0.16345741171197198</v>
      </c>
      <c r="S69" s="3">
        <f t="shared" si="19"/>
        <v>2.1621658681041447E-3</v>
      </c>
      <c r="U69" s="3" t="s">
        <v>374</v>
      </c>
      <c r="V69" s="2" t="s">
        <v>515</v>
      </c>
    </row>
    <row r="70" spans="1:22" x14ac:dyDescent="0.25">
      <c r="A70" s="3">
        <v>69</v>
      </c>
      <c r="B70" s="3" t="s">
        <v>134</v>
      </c>
      <c r="C70" s="3">
        <f>'Calculation P'!N70</f>
        <v>28.076000000000001</v>
      </c>
      <c r="D70" s="3">
        <v>3.3</v>
      </c>
      <c r="E70" s="4" t="str">
        <f>U49</f>
        <v>[48]</v>
      </c>
      <c r="F70" s="3">
        <v>0</v>
      </c>
      <c r="G70" s="4" t="s">
        <v>152</v>
      </c>
      <c r="H70" s="3">
        <v>0.23499999999999999</v>
      </c>
      <c r="I70" s="4" t="str">
        <f>U49</f>
        <v>[48]</v>
      </c>
      <c r="J70" s="3">
        <v>17.45</v>
      </c>
      <c r="K70" s="4" t="str">
        <f>U49</f>
        <v>[48]</v>
      </c>
      <c r="L70" s="3">
        <f>C70^2/93.5</f>
        <v>8.4306072299465242</v>
      </c>
      <c r="M70" s="4" t="s">
        <v>251</v>
      </c>
      <c r="N70" s="3">
        <f t="shared" si="15"/>
        <v>0.9723695849993873</v>
      </c>
      <c r="O70" s="3">
        <f t="shared" si="16"/>
        <v>1</v>
      </c>
      <c r="P70" s="3">
        <f t="shared" si="17"/>
        <v>0.98451264389048543</v>
      </c>
      <c r="Q70" s="3">
        <f t="shared" si="14"/>
        <v>0.8357317617937029</v>
      </c>
      <c r="R70" s="3">
        <f t="shared" si="18"/>
        <v>-0.12310493309212542</v>
      </c>
      <c r="S70" s="3">
        <f t="shared" si="19"/>
        <v>1.8659376585872835E-3</v>
      </c>
      <c r="U70" s="3" t="s">
        <v>375</v>
      </c>
      <c r="V70" s="2" t="s">
        <v>517</v>
      </c>
    </row>
    <row r="71" spans="1:22" x14ac:dyDescent="0.25">
      <c r="A71" s="3">
        <v>70</v>
      </c>
      <c r="B71" s="3" t="s">
        <v>136</v>
      </c>
      <c r="C71" s="3">
        <f>'Calculation P'!N71</f>
        <v>28.076000000000001</v>
      </c>
      <c r="D71" s="3">
        <v>3.3</v>
      </c>
      <c r="E71" s="4" t="str">
        <f>U49</f>
        <v>[48]</v>
      </c>
      <c r="F71" s="3">
        <v>0</v>
      </c>
      <c r="G71" s="4" t="s">
        <v>152</v>
      </c>
      <c r="H71" s="3">
        <v>0.23499999999999999</v>
      </c>
      <c r="I71" s="4" t="str">
        <f>U49</f>
        <v>[48]</v>
      </c>
      <c r="J71" s="3">
        <v>17.45</v>
      </c>
      <c r="K71" s="4" t="str">
        <f>U49</f>
        <v>[48]</v>
      </c>
      <c r="L71" s="3">
        <f>C71^2/93.5</f>
        <v>8.4306072299465242</v>
      </c>
      <c r="M71" s="4" t="s">
        <v>251</v>
      </c>
      <c r="N71" s="3">
        <f t="shared" si="15"/>
        <v>0.9723695849993873</v>
      </c>
      <c r="O71" s="3">
        <f t="shared" si="16"/>
        <v>1</v>
      </c>
      <c r="P71" s="3">
        <f t="shared" si="17"/>
        <v>0.98451264389048543</v>
      </c>
      <c r="Q71" s="3">
        <f t="shared" si="14"/>
        <v>0.8357317617937029</v>
      </c>
      <c r="R71" s="3">
        <f t="shared" si="18"/>
        <v>-0.12310493309212542</v>
      </c>
      <c r="S71" s="3">
        <f t="shared" si="19"/>
        <v>1.8659376585872835E-3</v>
      </c>
      <c r="U71" s="3" t="s">
        <v>385</v>
      </c>
      <c r="V71" s="2" t="s">
        <v>521</v>
      </c>
    </row>
    <row r="72" spans="1:22" x14ac:dyDescent="0.25">
      <c r="A72" s="3">
        <v>71</v>
      </c>
      <c r="B72" s="3" t="s">
        <v>138</v>
      </c>
      <c r="C72" s="3">
        <f>'Calculation P'!N72</f>
        <v>23.7</v>
      </c>
      <c r="D72" s="3">
        <v>2.21</v>
      </c>
      <c r="E72" s="4" t="str">
        <f>U59</f>
        <v>[58]</v>
      </c>
      <c r="F72" s="3">
        <v>2</v>
      </c>
      <c r="G72" s="4" t="s">
        <v>318</v>
      </c>
      <c r="H72" s="3">
        <f>1/2.8</f>
        <v>0.35714285714285715</v>
      </c>
      <c r="I72" s="4" t="s">
        <v>318</v>
      </c>
      <c r="J72" s="3">
        <v>28</v>
      </c>
      <c r="K72" s="4" t="s">
        <v>318</v>
      </c>
      <c r="L72" s="3">
        <f>C72^2/88.3</f>
        <v>6.361155152887882</v>
      </c>
      <c r="M72" s="4" t="s">
        <v>251</v>
      </c>
      <c r="N72" s="3">
        <f t="shared" si="15"/>
        <v>0.98260926845769014</v>
      </c>
      <c r="O72" s="3">
        <f t="shared" si="16"/>
        <v>1.1228333135780542</v>
      </c>
      <c r="P72" s="3">
        <f t="shared" si="17"/>
        <v>0.98026442052596563</v>
      </c>
      <c r="Q72" s="3">
        <f>P72*N72*O72*$B$102</f>
        <v>0.93444367331680933</v>
      </c>
      <c r="R72" s="3">
        <f t="shared" si="18"/>
        <v>-0.1995280128999801</v>
      </c>
      <c r="S72" s="3">
        <f t="shared" si="19"/>
        <v>3.164977699557904E-3</v>
      </c>
      <c r="U72" s="3" t="s">
        <v>387</v>
      </c>
      <c r="V72" s="2" t="s">
        <v>522</v>
      </c>
    </row>
    <row r="73" spans="1:22" x14ac:dyDescent="0.25">
      <c r="A73" s="3">
        <v>72</v>
      </c>
      <c r="B73" s="3" t="s">
        <v>140</v>
      </c>
      <c r="C73" s="3">
        <f>'Calculation P'!N73</f>
        <v>26.21</v>
      </c>
      <c r="D73" s="3">
        <v>3.56</v>
      </c>
      <c r="E73" s="4" t="str">
        <f>U49</f>
        <v>[48]</v>
      </c>
      <c r="F73" s="3">
        <v>0</v>
      </c>
      <c r="G73" s="4" t="s">
        <v>152</v>
      </c>
      <c r="H73" s="3">
        <v>0.35599999999999998</v>
      </c>
      <c r="I73" s="4" t="str">
        <f>U49</f>
        <v>[48]</v>
      </c>
      <c r="J73" s="3">
        <v>15</v>
      </c>
      <c r="K73" s="4" t="str">
        <f>U49</f>
        <v>[48]</v>
      </c>
      <c r="L73" s="3">
        <v>8.89</v>
      </c>
      <c r="M73" s="4" t="str">
        <f>U49</f>
        <v>[48]</v>
      </c>
      <c r="N73" s="3">
        <f t="shared" si="15"/>
        <v>0.96310258425440287</v>
      </c>
      <c r="O73" s="3">
        <f t="shared" si="16"/>
        <v>1</v>
      </c>
      <c r="P73" s="3">
        <f t="shared" si="17"/>
        <v>0.98038980273992171</v>
      </c>
      <c r="Q73" s="3">
        <f>P73*N73*O73*$B$102</f>
        <v>0.8158025830424972</v>
      </c>
      <c r="R73" s="3">
        <f t="shared" si="18"/>
        <v>-0.10059772887108465</v>
      </c>
      <c r="S73" s="3">
        <f t="shared" si="19"/>
        <v>2.2499942896812807E-3</v>
      </c>
      <c r="U73" s="3" t="s">
        <v>388</v>
      </c>
      <c r="V73" s="2" t="s">
        <v>524</v>
      </c>
    </row>
    <row r="74" spans="1:22" x14ac:dyDescent="0.25">
      <c r="A74" s="3">
        <v>73</v>
      </c>
      <c r="B74" s="3" t="s">
        <v>142</v>
      </c>
      <c r="C74" s="3">
        <f>'Calculation P'!N74</f>
        <v>26.21</v>
      </c>
      <c r="D74" s="3">
        <v>3.56</v>
      </c>
      <c r="E74" s="4" t="str">
        <f>U49</f>
        <v>[48]</v>
      </c>
      <c r="F74" s="3">
        <v>0</v>
      </c>
      <c r="G74" s="4" t="s">
        <v>152</v>
      </c>
      <c r="H74" s="3">
        <v>0.35599999999999998</v>
      </c>
      <c r="I74" s="4" t="str">
        <f>U49</f>
        <v>[48]</v>
      </c>
      <c r="J74" s="3">
        <v>15</v>
      </c>
      <c r="K74" s="4" t="str">
        <f>U49</f>
        <v>[48]</v>
      </c>
      <c r="L74" s="3">
        <v>8.89</v>
      </c>
      <c r="M74" s="4" t="str">
        <f>U49</f>
        <v>[48]</v>
      </c>
      <c r="N74" s="3">
        <f t="shared" si="15"/>
        <v>0.96310258425440287</v>
      </c>
      <c r="O74" s="3">
        <f t="shared" si="16"/>
        <v>1</v>
      </c>
      <c r="P74" s="3">
        <f t="shared" si="17"/>
        <v>0.98038980273992171</v>
      </c>
      <c r="Q74" s="3">
        <f>P74*N74*O74*$B$102</f>
        <v>0.8158025830424972</v>
      </c>
      <c r="R74" s="3">
        <f t="shared" si="18"/>
        <v>-0.10059772887108465</v>
      </c>
      <c r="S74" s="3">
        <f t="shared" si="19"/>
        <v>2.2499942896812807E-3</v>
      </c>
      <c r="U74" s="3" t="s">
        <v>391</v>
      </c>
      <c r="V74" s="2" t="s">
        <v>525</v>
      </c>
    </row>
    <row r="75" spans="1:22" x14ac:dyDescent="0.25">
      <c r="A75" s="3">
        <v>74</v>
      </c>
      <c r="B75" s="3" t="s">
        <v>144</v>
      </c>
      <c r="C75" s="3">
        <f>'Calculation P'!N75</f>
        <v>13.08</v>
      </c>
      <c r="D75" s="3">
        <v>1.42</v>
      </c>
      <c r="E75" s="4" t="str">
        <f t="shared" ref="E75:E81" si="20">U60</f>
        <v>[59]</v>
      </c>
      <c r="F75" s="3">
        <v>0</v>
      </c>
      <c r="G75" s="4" t="s">
        <v>152</v>
      </c>
      <c r="H75" s="3">
        <f>1.2/3.5</f>
        <v>0.34285714285714286</v>
      </c>
      <c r="I75" s="4" t="s">
        <v>318</v>
      </c>
      <c r="J75" s="3">
        <v>30</v>
      </c>
      <c r="K75" s="4" t="s">
        <v>318</v>
      </c>
      <c r="L75" s="3">
        <f>C75^2/24.1</f>
        <v>7.099020746887966</v>
      </c>
      <c r="M75" s="4" t="s">
        <v>251</v>
      </c>
      <c r="N75" s="3">
        <f t="shared" si="15"/>
        <v>0.97642828418857375</v>
      </c>
      <c r="O75" s="3">
        <f t="shared" si="16"/>
        <v>1</v>
      </c>
      <c r="P75" s="3">
        <f t="shared" si="17"/>
        <v>0.97823825913687346</v>
      </c>
      <c r="Q75" s="3">
        <f>P75*N75*O75*$B$102</f>
        <v>0.8252750922306924</v>
      </c>
      <c r="R75" s="3">
        <f t="shared" si="18"/>
        <v>-0.21090638968874259</v>
      </c>
      <c r="S75" s="3">
        <f t="shared" si="19"/>
        <v>3.1336504094564531E-3</v>
      </c>
      <c r="U75" s="3" t="s">
        <v>393</v>
      </c>
      <c r="V75" s="2" t="s">
        <v>530</v>
      </c>
    </row>
    <row r="76" spans="1:22" x14ac:dyDescent="0.25">
      <c r="A76" s="3">
        <v>75</v>
      </c>
      <c r="B76" s="3" t="s">
        <v>146</v>
      </c>
      <c r="C76" s="3">
        <f>'Calculation P'!N76</f>
        <v>15.4</v>
      </c>
      <c r="D76" s="3">
        <v>1.98</v>
      </c>
      <c r="E76" s="4" t="str">
        <f t="shared" si="20"/>
        <v>[60]</v>
      </c>
      <c r="F76" s="3">
        <v>0</v>
      </c>
      <c r="G76" s="4" t="s">
        <v>152</v>
      </c>
      <c r="H76" s="3">
        <v>0.38600000000000001</v>
      </c>
      <c r="I76" s="4" t="str">
        <f>U61</f>
        <v>[60]</v>
      </c>
      <c r="J76" s="3">
        <v>30</v>
      </c>
      <c r="K76" s="4" t="str">
        <f>U61</f>
        <v>[60]</v>
      </c>
      <c r="L76" s="3">
        <v>6.5</v>
      </c>
      <c r="M76" s="4" t="str">
        <f>U61</f>
        <v>[60]</v>
      </c>
      <c r="N76" s="3">
        <f t="shared" si="15"/>
        <v>0.96693877551020413</v>
      </c>
      <c r="O76" s="3">
        <f t="shared" si="16"/>
        <v>1</v>
      </c>
      <c r="P76" s="3">
        <f t="shared" si="17"/>
        <v>0.97701858552520371</v>
      </c>
      <c r="Q76" s="3">
        <f>P76*N76*O76*$B$102</f>
        <v>0.81623562169402264</v>
      </c>
      <c r="R76" s="3">
        <f t="shared" si="18"/>
        <v>-0.21090638968874259</v>
      </c>
      <c r="S76" s="3">
        <f t="shared" si="19"/>
        <v>3.6187666020612505E-3</v>
      </c>
    </row>
    <row r="77" spans="1:22" x14ac:dyDescent="0.25">
      <c r="A77" s="3">
        <v>76</v>
      </c>
      <c r="B77" s="3" t="s">
        <v>148</v>
      </c>
      <c r="C77" s="3">
        <f>'Calculation P'!N77</f>
        <v>20.98</v>
      </c>
      <c r="D77" s="3">
        <v>2.17</v>
      </c>
      <c r="E77" s="4" t="str">
        <f t="shared" si="20"/>
        <v>[61]</v>
      </c>
      <c r="F77" s="3">
        <v>0</v>
      </c>
      <c r="G77" s="4" t="s">
        <v>152</v>
      </c>
      <c r="H77" s="3">
        <f>1.4/2</f>
        <v>0.7</v>
      </c>
      <c r="I77" s="4" t="s">
        <v>318</v>
      </c>
      <c r="J77" s="3">
        <v>2.5</v>
      </c>
      <c r="K77" s="4" t="s">
        <v>318</v>
      </c>
      <c r="L77" s="3">
        <f>C77^2/40</f>
        <v>11.004010000000001</v>
      </c>
      <c r="M77" s="4" t="s">
        <v>251</v>
      </c>
      <c r="N77" s="3">
        <f t="shared" si="15"/>
        <v>0.97860370901153304</v>
      </c>
      <c r="O77" s="3">
        <f t="shared" si="16"/>
        <v>1</v>
      </c>
      <c r="P77" s="3">
        <f t="shared" si="17"/>
        <v>0.95553699770475675</v>
      </c>
      <c r="Q77" s="3">
        <f>P77*N77*O77*$B$103</f>
        <v>0.75181400824150224</v>
      </c>
      <c r="R77" s="3">
        <f t="shared" si="18"/>
        <v>5.2729662621015416E-2</v>
      </c>
      <c r="S77" s="3">
        <f t="shared" si="19"/>
        <v>4.2286359800643436E-3</v>
      </c>
    </row>
    <row r="78" spans="1:22" x14ac:dyDescent="0.25">
      <c r="A78" s="3">
        <v>77</v>
      </c>
      <c r="B78" s="3" t="s">
        <v>150</v>
      </c>
      <c r="C78" s="3">
        <f>'Calculation P'!N78</f>
        <v>19.78</v>
      </c>
      <c r="D78" s="3">
        <v>2.2799999999999998</v>
      </c>
      <c r="E78" s="4" t="str">
        <f t="shared" si="20"/>
        <v>[62]</v>
      </c>
      <c r="F78" s="3">
        <v>0</v>
      </c>
      <c r="G78" s="4" t="s">
        <v>152</v>
      </c>
      <c r="H78" s="3">
        <v>0.55000000000000004</v>
      </c>
      <c r="I78" s="4" t="str">
        <f>U63</f>
        <v>[62]</v>
      </c>
      <c r="J78" s="3">
        <v>3.5</v>
      </c>
      <c r="K78" s="4" t="str">
        <f>U63</f>
        <v>[62]</v>
      </c>
      <c r="L78" s="3">
        <f>C78^2/39.43</f>
        <v>9.9226071519147876</v>
      </c>
      <c r="M78" s="4" t="s">
        <v>251</v>
      </c>
      <c r="N78" s="3">
        <f t="shared" si="15"/>
        <v>0.973426600594405</v>
      </c>
      <c r="O78" s="3">
        <f t="shared" si="16"/>
        <v>1</v>
      </c>
      <c r="P78" s="3">
        <f t="shared" si="17"/>
        <v>0.97377580958969534</v>
      </c>
      <c r="Q78" s="3">
        <f>P78*N78*O78*$B$103</f>
        <v>0.76211101796024927</v>
      </c>
      <c r="R78" s="3">
        <f t="shared" si="18"/>
        <v>3.7649323811197677E-2</v>
      </c>
      <c r="S78" s="3">
        <f t="shared" si="19"/>
        <v>2.7140466643028986E-3</v>
      </c>
    </row>
    <row r="79" spans="1:22" x14ac:dyDescent="0.25">
      <c r="A79" s="3">
        <v>78</v>
      </c>
      <c r="B79" s="3" t="s">
        <v>216</v>
      </c>
      <c r="C79" s="3">
        <f>'Calculation P'!N79</f>
        <v>13.3</v>
      </c>
      <c r="D79" s="3">
        <v>1.76</v>
      </c>
      <c r="E79" s="4" t="str">
        <f t="shared" si="20"/>
        <v>[63]</v>
      </c>
      <c r="F79" s="3">
        <v>0</v>
      </c>
      <c r="G79" s="4" t="s">
        <v>152</v>
      </c>
      <c r="H79" s="3">
        <v>0.36799999999999999</v>
      </c>
      <c r="I79" s="4" t="str">
        <f>U64</f>
        <v>[63]</v>
      </c>
      <c r="J79" s="3">
        <v>20</v>
      </c>
      <c r="K79" s="4" t="str">
        <f>U64</f>
        <v>[63]</v>
      </c>
      <c r="L79" s="3">
        <v>7.827</v>
      </c>
      <c r="M79" s="4" t="str">
        <f>U64</f>
        <v>[63]</v>
      </c>
      <c r="N79" s="3">
        <f t="shared" si="15"/>
        <v>0.96497710441517326</v>
      </c>
      <c r="O79" s="3">
        <f t="shared" si="16"/>
        <v>1</v>
      </c>
      <c r="P79" s="3">
        <f t="shared" si="17"/>
        <v>0.97919303652064738</v>
      </c>
      <c r="Q79" s="3">
        <f>P79*N79*O79*$B$102</f>
        <v>0.81639261594304868</v>
      </c>
      <c r="R79" s="3">
        <f t="shared" si="18"/>
        <v>-0.14443505126654338</v>
      </c>
      <c r="S79" s="3">
        <f t="shared" si="19"/>
        <v>2.7148450967775101E-3</v>
      </c>
    </row>
    <row r="80" spans="1:22" x14ac:dyDescent="0.25">
      <c r="A80" s="3">
        <v>79</v>
      </c>
      <c r="B80" s="3" t="s">
        <v>154</v>
      </c>
      <c r="C80" s="3">
        <f>'Calculation P'!N80</f>
        <v>16.600000000000001</v>
      </c>
      <c r="D80" s="3">
        <v>1.83</v>
      </c>
      <c r="E80" s="4" t="str">
        <f t="shared" si="20"/>
        <v>[64]</v>
      </c>
      <c r="F80" s="3">
        <v>0</v>
      </c>
      <c r="G80" s="4" t="s">
        <v>152</v>
      </c>
      <c r="H80" s="3">
        <v>0.32200000000000001</v>
      </c>
      <c r="I80" s="4" t="str">
        <f>U65</f>
        <v>[64]</v>
      </c>
      <c r="J80" s="3">
        <v>20</v>
      </c>
      <c r="K80" s="4" t="str">
        <f>U65</f>
        <v>[64]</v>
      </c>
      <c r="L80" s="3">
        <v>7.0570000000000004</v>
      </c>
      <c r="M80" s="4" t="str">
        <f>U65</f>
        <v>[64]</v>
      </c>
      <c r="N80" s="3">
        <f t="shared" si="15"/>
        <v>0.97569385977645517</v>
      </c>
      <c r="O80" s="3">
        <f t="shared" si="16"/>
        <v>1</v>
      </c>
      <c r="P80" s="3">
        <f t="shared" si="17"/>
        <v>0.9838801522601095</v>
      </c>
      <c r="Q80" s="3">
        <f>P80*N80*O80*$B$102</f>
        <v>0.82941047134512136</v>
      </c>
      <c r="R80" s="3">
        <f t="shared" si="18"/>
        <v>-0.14443505126654338</v>
      </c>
      <c r="S80" s="3">
        <f t="shared" si="19"/>
        <v>2.3216599962182366E-3</v>
      </c>
    </row>
    <row r="81" spans="1:19" x14ac:dyDescent="0.25">
      <c r="A81" s="3">
        <v>80</v>
      </c>
      <c r="B81" s="3" t="s">
        <v>156</v>
      </c>
      <c r="C81" s="3">
        <f>'Calculation P'!N81</f>
        <v>15.85</v>
      </c>
      <c r="D81" s="3">
        <v>1.98</v>
      </c>
      <c r="E81" s="4" t="str">
        <f t="shared" si="20"/>
        <v>[65]</v>
      </c>
      <c r="F81" s="3">
        <v>0</v>
      </c>
      <c r="G81" s="4" t="s">
        <v>152</v>
      </c>
      <c r="H81" s="3">
        <v>0.33</v>
      </c>
      <c r="I81" s="4" t="str">
        <f>U66</f>
        <v>[65]</v>
      </c>
      <c r="J81" s="3">
        <v>0.7</v>
      </c>
      <c r="K81" s="4" t="str">
        <f>U66</f>
        <v>[65]</v>
      </c>
      <c r="L81" s="3">
        <f>C81^2/25.08</f>
        <v>10.016846092503988</v>
      </c>
      <c r="M81" s="4" t="s">
        <v>251</v>
      </c>
      <c r="N81" s="3">
        <f t="shared" si="15"/>
        <v>0.96878941973748367</v>
      </c>
      <c r="O81" s="3">
        <f t="shared" si="16"/>
        <v>1</v>
      </c>
      <c r="P81" s="3">
        <f t="shared" si="17"/>
        <v>0.97560223874745067</v>
      </c>
      <c r="Q81" s="3">
        <f>P81*N81*O81*$B$103</f>
        <v>0.75990311392366916</v>
      </c>
      <c r="R81" s="3">
        <f t="shared" si="18"/>
        <v>8.1341191326801676E-2</v>
      </c>
      <c r="S81" s="3">
        <f t="shared" si="19"/>
        <v>2.4965840291317105E-3</v>
      </c>
    </row>
    <row r="82" spans="1:19" x14ac:dyDescent="0.25">
      <c r="A82" s="3">
        <v>81</v>
      </c>
      <c r="B82" s="3" t="s">
        <v>158</v>
      </c>
      <c r="C82" s="3">
        <f>'Calculation P'!N82</f>
        <v>18.420000000000002</v>
      </c>
      <c r="D82" s="3">
        <v>1.98</v>
      </c>
      <c r="E82" s="4" t="str">
        <f t="shared" ref="E82:E88" si="21">U66</f>
        <v>[65]</v>
      </c>
      <c r="F82" s="3">
        <v>0</v>
      </c>
      <c r="G82" s="4" t="s">
        <v>152</v>
      </c>
      <c r="H82" s="3">
        <f>0.8/2.3</f>
        <v>0.34782608695652178</v>
      </c>
      <c r="I82" s="4" t="s">
        <v>318</v>
      </c>
      <c r="J82" s="3">
        <v>1</v>
      </c>
      <c r="K82" s="4" t="s">
        <v>318</v>
      </c>
      <c r="L82" s="3">
        <f>C82^2/32.59</f>
        <v>10.411058606934644</v>
      </c>
      <c r="M82" s="4" t="s">
        <v>251</v>
      </c>
      <c r="N82" s="3">
        <f t="shared" si="15"/>
        <v>0.97689100149603714</v>
      </c>
      <c r="O82" s="3">
        <f t="shared" si="16"/>
        <v>1</v>
      </c>
      <c r="P82" s="3">
        <f t="shared" si="17"/>
        <v>0.97716293084137551</v>
      </c>
      <c r="Q82" s="3">
        <f>P82*N82*O82*$B$103</f>
        <v>0.76748366600408513</v>
      </c>
      <c r="R82" s="3">
        <f t="shared" si="18"/>
        <v>7.6437487974369833E-2</v>
      </c>
      <c r="S82" s="3">
        <f t="shared" si="19"/>
        <v>2.2448043351746688E-3</v>
      </c>
    </row>
    <row r="83" spans="1:19" x14ac:dyDescent="0.25">
      <c r="A83" s="3">
        <v>82</v>
      </c>
      <c r="B83" s="3" t="s">
        <v>160</v>
      </c>
      <c r="C83" s="3">
        <f>'Calculation P'!N83</f>
        <v>12.04</v>
      </c>
      <c r="D83" s="3">
        <v>1.5</v>
      </c>
      <c r="E83" s="4" t="str">
        <f t="shared" si="21"/>
        <v>[66]</v>
      </c>
      <c r="F83" s="3">
        <v>0</v>
      </c>
      <c r="G83" s="4" t="s">
        <v>152</v>
      </c>
      <c r="H83" s="3">
        <f>1.9/2.9</f>
        <v>0.65517241379310343</v>
      </c>
      <c r="I83" s="4" t="s">
        <v>318</v>
      </c>
      <c r="J83" s="3">
        <v>14</v>
      </c>
      <c r="K83" s="4" t="s">
        <v>318</v>
      </c>
      <c r="L83" s="3">
        <f>C83^2/23.53</f>
        <v>6.1607139821504449</v>
      </c>
      <c r="M83" s="4" t="s">
        <v>251</v>
      </c>
      <c r="N83" s="3">
        <f t="shared" si="15"/>
        <v>0.96895729627708305</v>
      </c>
      <c r="O83" s="3">
        <f t="shared" si="16"/>
        <v>1</v>
      </c>
      <c r="P83" s="3">
        <f t="shared" si="17"/>
        <v>0.9671533770871078</v>
      </c>
      <c r="Q83" s="3">
        <f>P83*N83*O83*$B$102</f>
        <v>0.809680597644304</v>
      </c>
      <c r="R83" s="3">
        <f t="shared" si="18"/>
        <v>-9.080008603493317E-2</v>
      </c>
      <c r="S83" s="3">
        <f t="shared" si="19"/>
        <v>5.512699575065054E-3</v>
      </c>
    </row>
    <row r="84" spans="1:19" x14ac:dyDescent="0.25">
      <c r="A84" s="3">
        <v>83</v>
      </c>
      <c r="B84" s="3" t="s">
        <v>162</v>
      </c>
      <c r="C84" s="3">
        <f>'Calculation P'!N84</f>
        <v>13.4</v>
      </c>
      <c r="D84" s="3">
        <v>1.81</v>
      </c>
      <c r="E84" s="4" t="str">
        <f t="shared" si="21"/>
        <v>[67]</v>
      </c>
      <c r="F84" s="3">
        <v>1.1499999999999999</v>
      </c>
      <c r="G84" s="4" t="s">
        <v>318</v>
      </c>
      <c r="H84" s="3">
        <f>1.3/3.1</f>
        <v>0.41935483870967744</v>
      </c>
      <c r="I84" s="4" t="s">
        <v>318</v>
      </c>
      <c r="J84" s="3">
        <v>16.5</v>
      </c>
      <c r="K84" s="4" t="s">
        <v>318</v>
      </c>
      <c r="L84" s="3">
        <f>C84^2/23.53</f>
        <v>7.6311092222694432</v>
      </c>
      <c r="M84" s="4" t="s">
        <v>251</v>
      </c>
      <c r="N84" s="3">
        <f t="shared" si="15"/>
        <v>0.9635096903541992</v>
      </c>
      <c r="O84" s="3">
        <f t="shared" si="16"/>
        <v>1.1249801398127697</v>
      </c>
      <c r="P84" s="3">
        <f t="shared" si="17"/>
        <v>0.97815465726287598</v>
      </c>
      <c r="Q84" s="3">
        <f>P84*N84*O84*$B$102</f>
        <v>0.91605639730473032</v>
      </c>
      <c r="R84" s="3">
        <f t="shared" si="18"/>
        <v>-0.11462222013633305</v>
      </c>
      <c r="S84" s="3">
        <f t="shared" si="19"/>
        <v>2.9266020079949245E-3</v>
      </c>
    </row>
    <row r="85" spans="1:19" x14ac:dyDescent="0.25">
      <c r="A85" s="3">
        <v>84</v>
      </c>
      <c r="B85" s="3" t="s">
        <v>164</v>
      </c>
      <c r="C85" s="3">
        <f>'Calculation P'!N85</f>
        <v>21.44</v>
      </c>
      <c r="D85" s="3">
        <v>2.31</v>
      </c>
      <c r="E85" s="4" t="str">
        <f t="shared" si="21"/>
        <v>[68]</v>
      </c>
      <c r="F85" s="3">
        <v>0</v>
      </c>
      <c r="G85" s="4" t="s">
        <v>152</v>
      </c>
      <c r="H85" s="3">
        <v>0.4</v>
      </c>
      <c r="I85" s="4" t="str">
        <f>U69</f>
        <v>[68]</v>
      </c>
      <c r="J85" s="3">
        <v>4.5</v>
      </c>
      <c r="K85" s="4" t="str">
        <f>U69</f>
        <v>[68]</v>
      </c>
      <c r="L85" s="3">
        <f>C85^2/39.43</f>
        <v>11.657966015724069</v>
      </c>
      <c r="M85" s="4" t="s">
        <v>251</v>
      </c>
      <c r="N85" s="3">
        <f t="shared" si="15"/>
        <v>0.97678309130652707</v>
      </c>
      <c r="O85" s="3">
        <f t="shared" si="16"/>
        <v>1</v>
      </c>
      <c r="P85" s="3">
        <f t="shared" si="17"/>
        <v>0.97850951276495846</v>
      </c>
      <c r="Q85" s="3">
        <f>P85*N85*O85*$B$103</f>
        <v>0.7684564035881255</v>
      </c>
      <c r="R85" s="3">
        <f t="shared" si="18"/>
        <v>2.3124025652242586E-2</v>
      </c>
      <c r="S85" s="3">
        <f t="shared" si="19"/>
        <v>1.8839025107559651E-3</v>
      </c>
    </row>
    <row r="86" spans="1:19" x14ac:dyDescent="0.25">
      <c r="A86" s="3">
        <v>85</v>
      </c>
      <c r="B86" s="3" t="s">
        <v>166</v>
      </c>
      <c r="C86" s="3">
        <f>'Calculation P'!N86</f>
        <v>14.03</v>
      </c>
      <c r="D86" s="3">
        <v>1.85</v>
      </c>
      <c r="E86" s="4" t="str">
        <f t="shared" si="21"/>
        <v>[69]</v>
      </c>
      <c r="F86" s="3">
        <v>0</v>
      </c>
      <c r="G86" s="4" t="s">
        <v>152</v>
      </c>
      <c r="H86" s="3">
        <v>0.34</v>
      </c>
      <c r="I86" s="4" t="str">
        <f>U70</f>
        <v>[69]</v>
      </c>
      <c r="J86" s="3">
        <v>1</v>
      </c>
      <c r="K86" s="4" t="str">
        <f>U70</f>
        <v>[69]</v>
      </c>
      <c r="L86" s="3">
        <v>11.96</v>
      </c>
      <c r="M86" s="4" t="str">
        <f>U70</f>
        <v>[69]</v>
      </c>
      <c r="N86" s="3">
        <f t="shared" si="15"/>
        <v>0.96522572290616426</v>
      </c>
      <c r="O86" s="3">
        <f t="shared" si="16"/>
        <v>1</v>
      </c>
      <c r="P86" s="3">
        <f t="shared" si="17"/>
        <v>0.97296397569566806</v>
      </c>
      <c r="Q86" s="3">
        <f>P86*N86*O86*$B$102</f>
        <v>0.81140819627736593</v>
      </c>
      <c r="R86" s="3">
        <f t="shared" si="18"/>
        <v>7.6437487974369833E-2</v>
      </c>
      <c r="S86" s="3">
        <f t="shared" si="19"/>
        <v>2.3233513322786208E-3</v>
      </c>
    </row>
    <row r="87" spans="1:19" x14ac:dyDescent="0.25">
      <c r="A87" s="3">
        <v>86</v>
      </c>
      <c r="B87" s="3" t="s">
        <v>168</v>
      </c>
      <c r="C87" s="3">
        <f>'Calculation P'!N87</f>
        <v>16.309999999999999</v>
      </c>
      <c r="D87" s="3">
        <v>1.5</v>
      </c>
      <c r="E87" s="4" t="str">
        <f t="shared" si="21"/>
        <v>[70]</v>
      </c>
      <c r="F87" s="3">
        <v>0</v>
      </c>
      <c r="G87" s="4" t="s">
        <v>152</v>
      </c>
      <c r="H87" s="3">
        <f>1/2.9</f>
        <v>0.34482758620689657</v>
      </c>
      <c r="I87" s="4" t="s">
        <v>318</v>
      </c>
      <c r="J87" s="3">
        <v>26</v>
      </c>
      <c r="K87" s="4" t="s">
        <v>318</v>
      </c>
      <c r="L87" s="3">
        <v>8.94</v>
      </c>
      <c r="M87" s="4" t="str">
        <f>U71</f>
        <v>[70]</v>
      </c>
      <c r="N87" s="3">
        <f t="shared" si="15"/>
        <v>0.98308373064637822</v>
      </c>
      <c r="O87" s="3">
        <f t="shared" si="16"/>
        <v>1</v>
      </c>
      <c r="P87" s="3">
        <f t="shared" si="17"/>
        <v>0.97466578766487333</v>
      </c>
      <c r="Q87" s="3">
        <f>P87*N87*O87*$B$102</f>
        <v>0.8278658599717218</v>
      </c>
      <c r="R87" s="3">
        <f t="shared" si="18"/>
        <v>-0.18726344089657934</v>
      </c>
      <c r="S87" s="3">
        <f t="shared" si="19"/>
        <v>2.9074627914748331E-3</v>
      </c>
    </row>
    <row r="88" spans="1:19" x14ac:dyDescent="0.25">
      <c r="A88" s="3">
        <v>87</v>
      </c>
      <c r="B88" s="3" t="s">
        <v>170</v>
      </c>
      <c r="C88" s="3">
        <f>'Calculation P'!N88</f>
        <v>14.3</v>
      </c>
      <c r="D88" s="3">
        <v>1.47</v>
      </c>
      <c r="E88" s="4" t="str">
        <f t="shared" si="21"/>
        <v>[71]</v>
      </c>
      <c r="F88" s="3">
        <v>0</v>
      </c>
      <c r="G88" s="4" t="s">
        <v>152</v>
      </c>
      <c r="H88" s="3">
        <f>0.9/2.6</f>
        <v>0.34615384615384615</v>
      </c>
      <c r="I88" s="4" t="s">
        <v>318</v>
      </c>
      <c r="J88" s="3">
        <v>2</v>
      </c>
      <c r="K88" s="4" t="s">
        <v>318</v>
      </c>
      <c r="L88" s="3">
        <v>9.1</v>
      </c>
      <c r="M88" s="4" t="str">
        <f>U73</f>
        <v>[72]</v>
      </c>
      <c r="N88" s="3">
        <f t="shared" si="15"/>
        <v>0.9788654701941415</v>
      </c>
      <c r="O88" s="3">
        <f t="shared" si="16"/>
        <v>1</v>
      </c>
      <c r="P88" s="3">
        <f t="shared" si="17"/>
        <v>0.98105195523250732</v>
      </c>
      <c r="Q88" s="3">
        <f>P88*N88*O88*$B$102</f>
        <v>0.82971465129522737</v>
      </c>
      <c r="R88" s="3">
        <f t="shared" si="18"/>
        <v>6.0484568847848807E-2</v>
      </c>
      <c r="S88" s="3">
        <f t="shared" si="19"/>
        <v>2.1224184005718665E-3</v>
      </c>
    </row>
    <row r="89" spans="1:19" x14ac:dyDescent="0.25">
      <c r="A89" s="3">
        <v>88</v>
      </c>
      <c r="B89" s="3" t="s">
        <v>172</v>
      </c>
      <c r="C89" s="3">
        <f>'Calculation P'!N89</f>
        <v>11</v>
      </c>
      <c r="D89" s="3">
        <v>1.07</v>
      </c>
      <c r="E89" s="4" t="str">
        <f>U74</f>
        <v>[73]</v>
      </c>
      <c r="F89" s="3">
        <v>0</v>
      </c>
      <c r="G89" s="4" t="s">
        <v>152</v>
      </c>
      <c r="H89" s="3">
        <f>1.6/2.5</f>
        <v>0.64</v>
      </c>
      <c r="I89" s="4" t="s">
        <v>318</v>
      </c>
      <c r="J89" s="3">
        <v>0</v>
      </c>
      <c r="K89" s="4" t="s">
        <v>318</v>
      </c>
      <c r="L89" s="3">
        <f>C89^2/16.16</f>
        <v>7.4876237623762378</v>
      </c>
      <c r="M89" s="4" t="s">
        <v>251</v>
      </c>
      <c r="N89" s="3">
        <f t="shared" si="15"/>
        <v>0.98107603305785118</v>
      </c>
      <c r="O89" s="3">
        <f t="shared" si="16"/>
        <v>1</v>
      </c>
      <c r="P89" s="3">
        <f t="shared" si="17"/>
        <v>0.97758935412633252</v>
      </c>
      <c r="Q89" s="3">
        <f>P89*N89*O89*$B$103</f>
        <v>0.77110794634670277</v>
      </c>
      <c r="R89" s="3">
        <f t="shared" si="18"/>
        <v>9.3000000000000027E-2</v>
      </c>
      <c r="S89" s="3">
        <f t="shared" si="19"/>
        <v>3.0616383956844073E-3</v>
      </c>
    </row>
    <row r="90" spans="1:19" x14ac:dyDescent="0.25">
      <c r="A90" s="3">
        <v>89</v>
      </c>
      <c r="B90" s="3" t="s">
        <v>174</v>
      </c>
      <c r="C90" s="3">
        <f>'Calculation P'!N90</f>
        <v>10.199999999999999</v>
      </c>
      <c r="D90" s="3">
        <v>1.02</v>
      </c>
      <c r="E90" s="4" t="str">
        <f>U75</f>
        <v>[74]</v>
      </c>
      <c r="F90" s="3">
        <v>0</v>
      </c>
      <c r="G90" s="4" t="s">
        <v>152</v>
      </c>
      <c r="H90" s="3">
        <f>1.8/2.6</f>
        <v>0.69230769230769229</v>
      </c>
      <c r="I90" s="4" t="s">
        <v>318</v>
      </c>
      <c r="J90" s="3">
        <v>0.5</v>
      </c>
      <c r="K90" s="4" t="s">
        <v>318</v>
      </c>
      <c r="L90" s="3">
        <f>C90^2/15</f>
        <v>6.9359999999999991</v>
      </c>
      <c r="M90" s="4" t="s">
        <v>251</v>
      </c>
      <c r="N90" s="3">
        <f t="shared" si="15"/>
        <v>0.98</v>
      </c>
      <c r="O90" s="3">
        <f t="shared" si="16"/>
        <v>1</v>
      </c>
      <c r="P90" s="3">
        <f t="shared" si="17"/>
        <v>0.97467787956538265</v>
      </c>
      <c r="Q90" s="3">
        <f>P90*N90*O90*$B$103</f>
        <v>0.76796819486715628</v>
      </c>
      <c r="R90" s="3">
        <f t="shared" si="18"/>
        <v>8.4641109486499722E-2</v>
      </c>
      <c r="S90" s="3">
        <f t="shared" si="19"/>
        <v>3.7456731316230715E-3</v>
      </c>
    </row>
    <row r="94" spans="1:19" x14ac:dyDescent="0.25">
      <c r="A94" s="3" t="s">
        <v>563</v>
      </c>
    </row>
    <row r="96" spans="1:19" x14ac:dyDescent="0.25">
      <c r="A96" s="3" t="s">
        <v>203</v>
      </c>
      <c r="B96" s="3">
        <v>-1.5200000000000001E-3</v>
      </c>
    </row>
    <row r="97" spans="1:2" x14ac:dyDescent="0.25">
      <c r="A97" s="3" t="s">
        <v>204</v>
      </c>
      <c r="B97" s="3">
        <v>10.82</v>
      </c>
    </row>
    <row r="98" spans="1:2" x14ac:dyDescent="0.25">
      <c r="A98" s="3" t="s">
        <v>205</v>
      </c>
      <c r="B98" s="3">
        <v>1</v>
      </c>
    </row>
    <row r="99" spans="1:2" x14ac:dyDescent="0.25">
      <c r="A99" s="3" t="s">
        <v>206</v>
      </c>
      <c r="B99" s="3">
        <v>0.3</v>
      </c>
    </row>
    <row r="100" spans="1:2" x14ac:dyDescent="0.25">
      <c r="A100" s="3" t="s">
        <v>207</v>
      </c>
      <c r="B100" s="3">
        <v>2.83</v>
      </c>
    </row>
    <row r="101" spans="1:2" x14ac:dyDescent="0.25">
      <c r="A101" s="3" t="s">
        <v>219</v>
      </c>
      <c r="B101" s="3">
        <v>0.873</v>
      </c>
    </row>
    <row r="102" spans="1:2" x14ac:dyDescent="0.25">
      <c r="A102" s="3" t="s">
        <v>220</v>
      </c>
      <c r="B102" s="3">
        <v>0.86399999999999999</v>
      </c>
    </row>
    <row r="103" spans="1:2" x14ac:dyDescent="0.25">
      <c r="A103" s="3" t="s">
        <v>221</v>
      </c>
      <c r="B103" s="3">
        <v>0.80400000000000005</v>
      </c>
    </row>
  </sheetData>
  <autoFilter ref="A1:S1" xr:uid="{00000000-0009-0000-0000-000001000000}"/>
  <hyperlinks>
    <hyperlink ref="V2" r:id="rId1" xr:uid="{00000000-0004-0000-0100-000000000000}"/>
    <hyperlink ref="V3" r:id="rId2" xr:uid="{00000000-0004-0000-0100-000001000000}"/>
    <hyperlink ref="V4" r:id="rId3" xr:uid="{00000000-0004-0000-0100-000002000000}"/>
    <hyperlink ref="V5" r:id="rId4" xr:uid="{00000000-0004-0000-0100-000003000000}"/>
    <hyperlink ref="V6" r:id="rId5" xr:uid="{00000000-0004-0000-0100-000004000000}"/>
    <hyperlink ref="V7" r:id="rId6" xr:uid="{00000000-0004-0000-0100-000005000000}"/>
    <hyperlink ref="V8" r:id="rId7" xr:uid="{00000000-0004-0000-0100-000006000000}"/>
    <hyperlink ref="V9" r:id="rId8" xr:uid="{00000000-0004-0000-0100-000007000000}"/>
    <hyperlink ref="V10" r:id="rId9" xr:uid="{00000000-0004-0000-0100-000008000000}"/>
    <hyperlink ref="V11" r:id="rId10" xr:uid="{00000000-0004-0000-0100-000009000000}"/>
    <hyperlink ref="V12" r:id="rId11" xr:uid="{00000000-0004-0000-0100-00000A000000}"/>
    <hyperlink ref="V13" r:id="rId12" xr:uid="{00000000-0004-0000-0100-00000B000000}"/>
    <hyperlink ref="V14" r:id="rId13" xr:uid="{00000000-0004-0000-0100-00000C000000}"/>
    <hyperlink ref="V15" r:id="rId14" xr:uid="{00000000-0004-0000-0100-00000D000000}"/>
    <hyperlink ref="V16" r:id="rId15" xr:uid="{00000000-0004-0000-0100-00000E000000}"/>
    <hyperlink ref="V17" r:id="rId16" xr:uid="{00000000-0004-0000-0100-00000F000000}"/>
    <hyperlink ref="V18" r:id="rId17" xr:uid="{00000000-0004-0000-0100-000010000000}"/>
    <hyperlink ref="V19" r:id="rId18" xr:uid="{00000000-0004-0000-0100-000011000000}"/>
    <hyperlink ref="V20" r:id="rId19" xr:uid="{00000000-0004-0000-0100-000012000000}"/>
    <hyperlink ref="V21" r:id="rId20" xr:uid="{00000000-0004-0000-0100-000013000000}"/>
    <hyperlink ref="V22" r:id="rId21" xr:uid="{00000000-0004-0000-0100-000014000000}"/>
    <hyperlink ref="V23" r:id="rId22" xr:uid="{00000000-0004-0000-0100-000015000000}"/>
    <hyperlink ref="V24" r:id="rId23" xr:uid="{00000000-0004-0000-0100-000016000000}"/>
    <hyperlink ref="V25" r:id="rId24" xr:uid="{00000000-0004-0000-0100-000017000000}"/>
    <hyperlink ref="V26" r:id="rId25" xr:uid="{00000000-0004-0000-0100-000018000000}"/>
    <hyperlink ref="V27" r:id="rId26" xr:uid="{00000000-0004-0000-0100-000019000000}"/>
    <hyperlink ref="V28" r:id="rId27" xr:uid="{00000000-0004-0000-0100-00001A000000}"/>
    <hyperlink ref="V29" r:id="rId28" xr:uid="{00000000-0004-0000-0100-00001B000000}"/>
    <hyperlink ref="V30" r:id="rId29" xr:uid="{00000000-0004-0000-0100-00001C000000}"/>
    <hyperlink ref="V31" r:id="rId30" xr:uid="{00000000-0004-0000-0100-00001D000000}"/>
    <hyperlink ref="V32" r:id="rId31" xr:uid="{00000000-0004-0000-0100-00001E000000}"/>
    <hyperlink ref="V33" r:id="rId32" xr:uid="{00000000-0004-0000-0100-00001F000000}"/>
    <hyperlink ref="V34" r:id="rId33" xr:uid="{00000000-0004-0000-0100-000020000000}"/>
    <hyperlink ref="V35" r:id="rId34" xr:uid="{00000000-0004-0000-0100-000021000000}"/>
    <hyperlink ref="V36" r:id="rId35" xr:uid="{00000000-0004-0000-0100-000022000000}"/>
    <hyperlink ref="V37" r:id="rId36" xr:uid="{00000000-0004-0000-0100-000023000000}"/>
    <hyperlink ref="V38" r:id="rId37" xr:uid="{00000000-0004-0000-0100-000024000000}"/>
    <hyperlink ref="V39" r:id="rId38" xr:uid="{00000000-0004-0000-0100-000025000000}"/>
    <hyperlink ref="V40" r:id="rId39" xr:uid="{00000000-0004-0000-0100-000026000000}"/>
    <hyperlink ref="V41" r:id="rId40" xr:uid="{00000000-0004-0000-0100-000027000000}"/>
    <hyperlink ref="V42" r:id="rId41" xr:uid="{00000000-0004-0000-0100-000028000000}"/>
    <hyperlink ref="V44" r:id="rId42" xr:uid="{00000000-0004-0000-0100-000029000000}"/>
    <hyperlink ref="V45" r:id="rId43" xr:uid="{00000000-0004-0000-0100-00002A000000}"/>
    <hyperlink ref="V46" r:id="rId44" xr:uid="{00000000-0004-0000-0100-00002B000000}"/>
    <hyperlink ref="V47" r:id="rId45" location="bba-pdp-section-5" xr:uid="{00000000-0004-0000-0100-00002C000000}"/>
    <hyperlink ref="V48" r:id="rId46" xr:uid="{00000000-0004-0000-0100-00002D000000}"/>
    <hyperlink ref="V49" r:id="rId47" xr:uid="{00000000-0004-0000-0100-00002E000000}"/>
    <hyperlink ref="V50" r:id="rId48" xr:uid="{00000000-0004-0000-0100-00002F000000}"/>
    <hyperlink ref="V51" r:id="rId49" xr:uid="{00000000-0004-0000-0100-000030000000}"/>
    <hyperlink ref="V52" r:id="rId50" xr:uid="{00000000-0004-0000-0100-000031000000}"/>
    <hyperlink ref="V53" r:id="rId51" xr:uid="{00000000-0004-0000-0100-000032000000}"/>
    <hyperlink ref="V54" r:id="rId52" xr:uid="{00000000-0004-0000-0100-000033000000}"/>
    <hyperlink ref="V55" r:id="rId53" xr:uid="{00000000-0004-0000-0100-000034000000}"/>
    <hyperlink ref="V56" r:id="rId54" xr:uid="{00000000-0004-0000-0100-000035000000}"/>
    <hyperlink ref="V57" r:id="rId55" xr:uid="{00000000-0004-0000-0100-000036000000}"/>
    <hyperlink ref="V58" r:id="rId56" xr:uid="{00000000-0004-0000-0100-000037000000}"/>
    <hyperlink ref="V59" r:id="rId57" xr:uid="{00000000-0004-0000-0100-000038000000}"/>
    <hyperlink ref="V60" r:id="rId58" xr:uid="{00000000-0004-0000-0100-000039000000}"/>
    <hyperlink ref="V61" r:id="rId59" xr:uid="{00000000-0004-0000-0100-00003A000000}"/>
    <hyperlink ref="V62" r:id="rId60" xr:uid="{00000000-0004-0000-0100-00003B000000}"/>
    <hyperlink ref="V63" r:id="rId61" xr:uid="{00000000-0004-0000-0100-00003C000000}"/>
    <hyperlink ref="V64" r:id="rId62" xr:uid="{00000000-0004-0000-0100-00003D000000}"/>
    <hyperlink ref="V65" r:id="rId63" xr:uid="{00000000-0004-0000-0100-00003E000000}"/>
    <hyperlink ref="V66" r:id="rId64" xr:uid="{00000000-0004-0000-0100-00003F000000}"/>
    <hyperlink ref="V67" r:id="rId65" xr:uid="{00000000-0004-0000-0100-000040000000}"/>
    <hyperlink ref="V68" r:id="rId66" xr:uid="{00000000-0004-0000-0100-000041000000}"/>
    <hyperlink ref="V69" r:id="rId67" xr:uid="{00000000-0004-0000-0100-000042000000}"/>
    <hyperlink ref="V70" r:id="rId68" xr:uid="{00000000-0004-0000-0100-000043000000}"/>
    <hyperlink ref="V71" r:id="rId69" xr:uid="{00000000-0004-0000-0100-000044000000}"/>
    <hyperlink ref="V72" r:id="rId70" xr:uid="{00000000-0004-0000-0100-000045000000}"/>
    <hyperlink ref="V73" r:id="rId71" xr:uid="{00000000-0004-0000-0100-000046000000}"/>
    <hyperlink ref="V74" r:id="rId72" xr:uid="{00000000-0004-0000-0100-000047000000}"/>
    <hyperlink ref="V75" r:id="rId73" xr:uid="{00000000-0004-0000-0100-000048000000}"/>
  </hyperlinks>
  <pageMargins left="0.7" right="0.7" top="0.78740157499999996" bottom="0.78740157499999996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Q75:AR78"/>
  <sheetViews>
    <sheetView zoomScale="25" zoomScaleNormal="46" workbookViewId="0">
      <selection activeCell="AX115" sqref="AX115:AY115"/>
    </sheetView>
  </sheetViews>
  <sheetFormatPr baseColWidth="10" defaultRowHeight="15.75" x14ac:dyDescent="0.25"/>
  <sheetData>
    <row r="75" spans="43:44" x14ac:dyDescent="0.25">
      <c r="AQ75" t="s">
        <v>222</v>
      </c>
      <c r="AR75" t="s">
        <v>223</v>
      </c>
    </row>
    <row r="76" spans="43:44" x14ac:dyDescent="0.25">
      <c r="AQ76" t="s">
        <v>224</v>
      </c>
      <c r="AR76" t="s">
        <v>225</v>
      </c>
    </row>
    <row r="77" spans="43:44" x14ac:dyDescent="0.25">
      <c r="AQ77" t="s">
        <v>226</v>
      </c>
      <c r="AR77" t="s">
        <v>227</v>
      </c>
    </row>
    <row r="78" spans="43:44" x14ac:dyDescent="0.25">
      <c r="AQ78" t="s">
        <v>228</v>
      </c>
      <c r="AR78" t="s">
        <v>229</v>
      </c>
    </row>
  </sheetData>
  <pageMargins left="0.7" right="0.7" top="0.78740157499999996" bottom="0.78740157499999996" header="0.3" footer="0.3"/>
  <pageSetup paperSize="9"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90"/>
  <sheetViews>
    <sheetView tabSelected="1" topLeftCell="A96" zoomScale="97" zoomScaleNormal="97" workbookViewId="0">
      <selection activeCell="A2" sqref="A2"/>
    </sheetView>
  </sheetViews>
  <sheetFormatPr baseColWidth="10" defaultRowHeight="15.75" x14ac:dyDescent="0.25"/>
  <cols>
    <col min="3" max="3" width="27.125" bestFit="1" customWidth="1"/>
    <col min="9" max="9" width="12.625" customWidth="1"/>
    <col min="10" max="10" width="12.375" bestFit="1" customWidth="1"/>
  </cols>
  <sheetData>
    <row r="1" spans="1:10" x14ac:dyDescent="0.25">
      <c r="A1" s="1" t="s">
        <v>230</v>
      </c>
      <c r="B1" s="1" t="s">
        <v>0</v>
      </c>
      <c r="C1" s="1" t="s">
        <v>1</v>
      </c>
      <c r="D1" s="1" t="s">
        <v>210</v>
      </c>
      <c r="E1" s="1" t="s">
        <v>197</v>
      </c>
      <c r="F1" s="1" t="s">
        <v>198</v>
      </c>
      <c r="G1" s="1" t="s">
        <v>199</v>
      </c>
      <c r="H1" s="1" t="s">
        <v>200</v>
      </c>
      <c r="I1" s="1" t="s">
        <v>214</v>
      </c>
      <c r="J1" s="1" t="s">
        <v>235</v>
      </c>
    </row>
    <row r="2" spans="1:10" x14ac:dyDescent="0.25">
      <c r="A2" s="1">
        <v>1</v>
      </c>
      <c r="B2" s="1" t="s">
        <v>2</v>
      </c>
      <c r="C2" s="1" t="s">
        <v>3</v>
      </c>
      <c r="D2" s="1">
        <v>394000</v>
      </c>
      <c r="E2" s="1">
        <v>79.75</v>
      </c>
      <c r="F2" s="1">
        <v>72.016460910000006</v>
      </c>
      <c r="G2" s="1">
        <v>0.845065387</v>
      </c>
      <c r="H2" s="1">
        <v>20044459.82</v>
      </c>
      <c r="I2" s="1">
        <v>20.044459799999998</v>
      </c>
      <c r="J2" s="1">
        <v>4</v>
      </c>
    </row>
    <row r="3" spans="1:10" x14ac:dyDescent="0.25">
      <c r="A3" s="1">
        <v>2</v>
      </c>
      <c r="B3" s="1" t="s">
        <v>4</v>
      </c>
      <c r="C3" s="1" t="s">
        <v>5</v>
      </c>
      <c r="D3" s="1">
        <v>330000</v>
      </c>
      <c r="E3" s="1">
        <v>73.3</v>
      </c>
      <c r="F3" s="1">
        <v>72.016460910000006</v>
      </c>
      <c r="G3" s="1">
        <v>0.84175291100000005</v>
      </c>
      <c r="H3" s="1">
        <v>16710479.57</v>
      </c>
      <c r="I3" s="1">
        <v>16.710479599999999</v>
      </c>
      <c r="J3" s="1">
        <v>4</v>
      </c>
    </row>
    <row r="4" spans="1:10" x14ac:dyDescent="0.25">
      <c r="A4" s="1">
        <v>10</v>
      </c>
      <c r="B4" s="1" t="s">
        <v>20</v>
      </c>
      <c r="C4" s="1" t="s">
        <v>21</v>
      </c>
      <c r="D4" s="1">
        <v>312072</v>
      </c>
      <c r="E4" s="1">
        <v>68.400000000000006</v>
      </c>
      <c r="F4" s="1">
        <v>74.588477370000007</v>
      </c>
      <c r="G4" s="1">
        <v>0.84018063700000001</v>
      </c>
      <c r="H4" s="1">
        <v>16601157.91</v>
      </c>
      <c r="I4" s="1">
        <v>16.6011579</v>
      </c>
      <c r="J4" s="1">
        <v>4</v>
      </c>
    </row>
    <row r="5" spans="1:10" x14ac:dyDescent="0.25">
      <c r="A5" s="1">
        <v>9</v>
      </c>
      <c r="B5" s="1" t="s">
        <v>18</v>
      </c>
      <c r="C5" s="1" t="s">
        <v>19</v>
      </c>
      <c r="D5" s="1">
        <v>285764</v>
      </c>
      <c r="E5" s="1">
        <v>64.44</v>
      </c>
      <c r="F5" s="1">
        <v>78.189300410000001</v>
      </c>
      <c r="G5" s="1">
        <v>0.83774963400000002</v>
      </c>
      <c r="H5" s="1">
        <v>15004716.029999999</v>
      </c>
      <c r="I5" s="1">
        <v>15.004716</v>
      </c>
      <c r="J5" s="1">
        <v>4</v>
      </c>
    </row>
    <row r="6" spans="1:10" x14ac:dyDescent="0.25">
      <c r="A6" s="1">
        <v>7</v>
      </c>
      <c r="B6" s="1" t="s">
        <v>14</v>
      </c>
      <c r="C6" s="1" t="s">
        <v>15</v>
      </c>
      <c r="D6" s="1">
        <v>265000</v>
      </c>
      <c r="E6" s="1">
        <v>63.45</v>
      </c>
      <c r="F6" s="1">
        <v>74.074074069999995</v>
      </c>
      <c r="G6" s="1">
        <v>0.84391340500000001</v>
      </c>
      <c r="H6" s="1">
        <v>13946003.300000001</v>
      </c>
      <c r="I6" s="1">
        <v>13.946003299999999</v>
      </c>
      <c r="J6" s="1">
        <v>3</v>
      </c>
    </row>
    <row r="7" spans="1:10" x14ac:dyDescent="0.25">
      <c r="A7" s="1">
        <v>6</v>
      </c>
      <c r="B7" s="1" t="s">
        <v>12</v>
      </c>
      <c r="C7" s="1" t="s">
        <v>13</v>
      </c>
      <c r="D7" s="1">
        <v>246000</v>
      </c>
      <c r="E7" s="1">
        <v>63.45</v>
      </c>
      <c r="F7" s="1">
        <v>71.502057609999994</v>
      </c>
      <c r="G7" s="1">
        <v>0.84391340500000001</v>
      </c>
      <c r="H7" s="1">
        <v>12450188.359999999</v>
      </c>
      <c r="I7" s="1">
        <v>12.4501884</v>
      </c>
      <c r="J7" s="1">
        <v>3</v>
      </c>
    </row>
    <row r="8" spans="1:10" x14ac:dyDescent="0.25">
      <c r="A8" s="1">
        <v>27</v>
      </c>
      <c r="B8" s="1" t="s">
        <v>51</v>
      </c>
      <c r="C8" s="1" t="s">
        <v>213</v>
      </c>
      <c r="D8" s="1">
        <v>186427</v>
      </c>
      <c r="E8" s="1">
        <v>47.35</v>
      </c>
      <c r="F8" s="1">
        <v>76.646090529999995</v>
      </c>
      <c r="G8" s="1">
        <v>0.83187265700000002</v>
      </c>
      <c r="H8" s="1">
        <v>12151116.460000001</v>
      </c>
      <c r="I8" s="1">
        <v>12.151116500000001</v>
      </c>
      <c r="J8" s="1">
        <v>3</v>
      </c>
    </row>
    <row r="9" spans="1:10" x14ac:dyDescent="0.25">
      <c r="A9" s="1">
        <v>12</v>
      </c>
      <c r="B9" s="1" t="s">
        <v>24</v>
      </c>
      <c r="C9" s="1" t="s">
        <v>25</v>
      </c>
      <c r="D9" s="1">
        <v>237680</v>
      </c>
      <c r="E9" s="1">
        <v>60.93</v>
      </c>
      <c r="F9" s="1">
        <v>76.646090529999995</v>
      </c>
      <c r="G9" s="1">
        <v>0.84126698099999997</v>
      </c>
      <c r="H9" s="1">
        <v>11794633.630000001</v>
      </c>
      <c r="I9" s="1">
        <v>11.794633599999999</v>
      </c>
      <c r="J9" s="1">
        <v>3</v>
      </c>
    </row>
    <row r="10" spans="1:10" x14ac:dyDescent="0.25">
      <c r="A10" s="1">
        <v>14</v>
      </c>
      <c r="B10" s="1" t="s">
        <v>28</v>
      </c>
      <c r="C10" s="1" t="s">
        <v>29</v>
      </c>
      <c r="D10" s="1">
        <v>251290</v>
      </c>
      <c r="E10" s="1">
        <v>64.8</v>
      </c>
      <c r="F10" s="1">
        <v>76.646090529999995</v>
      </c>
      <c r="G10" s="1">
        <v>0.84332843099999999</v>
      </c>
      <c r="H10" s="1">
        <v>11627839.710000001</v>
      </c>
      <c r="I10" s="1">
        <v>11.627839699999999</v>
      </c>
      <c r="J10" s="1">
        <v>3</v>
      </c>
    </row>
    <row r="11" spans="1:10" x14ac:dyDescent="0.25">
      <c r="A11" s="1">
        <v>30</v>
      </c>
      <c r="B11" s="1" t="s">
        <v>56</v>
      </c>
      <c r="C11" s="1" t="s">
        <v>57</v>
      </c>
      <c r="D11" s="1">
        <v>195048</v>
      </c>
      <c r="E11" s="1">
        <v>51.97</v>
      </c>
      <c r="F11" s="1">
        <v>81.790123460000004</v>
      </c>
      <c r="G11" s="1">
        <v>0.878331364</v>
      </c>
      <c r="H11" s="1">
        <v>9799495.0989999995</v>
      </c>
      <c r="I11" s="1">
        <v>9.7994950999999997</v>
      </c>
      <c r="J11" s="1">
        <v>3</v>
      </c>
    </row>
    <row r="12" spans="1:10" x14ac:dyDescent="0.25">
      <c r="A12" s="1">
        <v>13</v>
      </c>
      <c r="B12" s="1" t="s">
        <v>26</v>
      </c>
      <c r="C12" s="1" t="s">
        <v>27</v>
      </c>
      <c r="D12" s="1">
        <v>223168</v>
      </c>
      <c r="E12" s="1">
        <v>64.8</v>
      </c>
      <c r="F12" s="1">
        <v>72.016460910000006</v>
      </c>
      <c r="G12" s="1">
        <v>0.84332843099999999</v>
      </c>
      <c r="H12" s="1">
        <v>9760469.2890000008</v>
      </c>
      <c r="I12" s="1">
        <v>9.7604692899999996</v>
      </c>
      <c r="J12" s="1">
        <v>3</v>
      </c>
    </row>
    <row r="13" spans="1:10" x14ac:dyDescent="0.25">
      <c r="A13" s="1">
        <v>11</v>
      </c>
      <c r="B13" s="1" t="s">
        <v>22</v>
      </c>
      <c r="C13" s="1" t="s">
        <v>23</v>
      </c>
      <c r="D13" s="1">
        <v>201800</v>
      </c>
      <c r="E13" s="1">
        <v>60.93</v>
      </c>
      <c r="F13" s="1">
        <v>72.016460910000006</v>
      </c>
      <c r="G13" s="1">
        <v>0.84126698099999997</v>
      </c>
      <c r="H13" s="1">
        <v>9048982.2050000001</v>
      </c>
      <c r="I13" s="1">
        <v>9.0489821999999993</v>
      </c>
      <c r="J13" s="1">
        <v>3</v>
      </c>
    </row>
    <row r="14" spans="1:10" x14ac:dyDescent="0.25">
      <c r="A14" s="1">
        <v>29</v>
      </c>
      <c r="B14" s="1" t="s">
        <v>54</v>
      </c>
      <c r="C14" s="1" t="s">
        <v>55</v>
      </c>
      <c r="D14" s="1">
        <v>152000</v>
      </c>
      <c r="E14" s="1">
        <v>50.5</v>
      </c>
      <c r="F14" s="1">
        <v>61.728395059999997</v>
      </c>
      <c r="G14" s="1">
        <v>0.84038694400000002</v>
      </c>
      <c r="H14" s="1">
        <v>8728216.7559999991</v>
      </c>
      <c r="I14" s="1">
        <v>8.7282167600000005</v>
      </c>
      <c r="J14" s="1">
        <v>3</v>
      </c>
    </row>
    <row r="15" spans="1:10" x14ac:dyDescent="0.25">
      <c r="A15" s="1">
        <v>5</v>
      </c>
      <c r="B15" s="1" t="s">
        <v>10</v>
      </c>
      <c r="C15" s="1" t="s">
        <v>11</v>
      </c>
      <c r="D15" s="1">
        <v>192000</v>
      </c>
      <c r="E15" s="1">
        <v>60.3</v>
      </c>
      <c r="F15" s="1">
        <v>69.958847739999996</v>
      </c>
      <c r="G15" s="1">
        <v>0.84069844000000005</v>
      </c>
      <c r="H15" s="1">
        <v>8615298.4989999998</v>
      </c>
      <c r="I15" s="1">
        <v>8.6152984999999997</v>
      </c>
      <c r="J15" s="1">
        <v>3</v>
      </c>
    </row>
    <row r="16" spans="1:10" x14ac:dyDescent="0.25">
      <c r="A16" s="1">
        <v>4</v>
      </c>
      <c r="B16" s="1" t="s">
        <v>8</v>
      </c>
      <c r="C16" s="1" t="s">
        <v>9</v>
      </c>
      <c r="D16" s="1">
        <v>187000</v>
      </c>
      <c r="E16" s="1">
        <v>60.3</v>
      </c>
      <c r="F16" s="1">
        <v>69.958847739999996</v>
      </c>
      <c r="G16" s="1">
        <v>0.84071865899999998</v>
      </c>
      <c r="H16" s="1">
        <v>8172231.1160000004</v>
      </c>
      <c r="I16" s="1">
        <v>8.1722311199999993</v>
      </c>
      <c r="J16" s="1">
        <v>3</v>
      </c>
    </row>
    <row r="17" spans="1:10" x14ac:dyDescent="0.25">
      <c r="A17" s="1">
        <v>8</v>
      </c>
      <c r="B17" s="1" t="s">
        <v>16</v>
      </c>
      <c r="C17" s="1" t="s">
        <v>17</v>
      </c>
      <c r="D17" s="1">
        <v>207000</v>
      </c>
      <c r="E17" s="1">
        <v>64.75</v>
      </c>
      <c r="F17" s="1">
        <v>72.016460910000006</v>
      </c>
      <c r="G17" s="1">
        <v>0.87447996500000003</v>
      </c>
      <c r="H17" s="1">
        <v>8110822.4009999996</v>
      </c>
      <c r="I17" s="1">
        <v>8.1108224</v>
      </c>
      <c r="J17" s="1">
        <v>3</v>
      </c>
    </row>
    <row r="18" spans="1:10" x14ac:dyDescent="0.25">
      <c r="A18" s="1">
        <v>18</v>
      </c>
      <c r="B18" s="1" t="s">
        <v>35</v>
      </c>
      <c r="C18" s="1" t="s">
        <v>36</v>
      </c>
      <c r="D18" s="1">
        <v>140000</v>
      </c>
      <c r="E18" s="1">
        <v>44.84</v>
      </c>
      <c r="F18" s="1">
        <v>72.530864199999996</v>
      </c>
      <c r="G18" s="1">
        <v>0.82916130200000004</v>
      </c>
      <c r="H18" s="1">
        <v>8101181.6809999999</v>
      </c>
      <c r="I18" s="1">
        <v>8.1011816799999998</v>
      </c>
      <c r="J18" s="1">
        <v>3</v>
      </c>
    </row>
    <row r="19" spans="1:10" x14ac:dyDescent="0.25">
      <c r="A19" s="1">
        <v>3</v>
      </c>
      <c r="B19" s="1" t="s">
        <v>6</v>
      </c>
      <c r="C19" s="1" t="s">
        <v>7</v>
      </c>
      <c r="D19" s="1">
        <v>182000</v>
      </c>
      <c r="E19" s="1">
        <v>60.3</v>
      </c>
      <c r="F19" s="1">
        <v>69.444444439999998</v>
      </c>
      <c r="G19" s="1">
        <v>0.84094944599999999</v>
      </c>
      <c r="H19" s="1">
        <v>7796256.8849999998</v>
      </c>
      <c r="I19" s="1">
        <v>7.7962568900000004</v>
      </c>
      <c r="J19" s="1">
        <v>3</v>
      </c>
    </row>
    <row r="20" spans="1:10" x14ac:dyDescent="0.25">
      <c r="A20" s="1">
        <v>16</v>
      </c>
      <c r="B20" s="1" t="s">
        <v>32</v>
      </c>
      <c r="C20" s="1" t="s">
        <v>33</v>
      </c>
      <c r="D20" s="1">
        <v>192776</v>
      </c>
      <c r="E20" s="1">
        <v>60.12</v>
      </c>
      <c r="F20" s="1">
        <v>78.703703700000005</v>
      </c>
      <c r="G20" s="1">
        <v>0.83955726399999997</v>
      </c>
      <c r="H20" s="1">
        <v>7776924.4000000004</v>
      </c>
      <c r="I20" s="1">
        <v>7.7769244000000004</v>
      </c>
      <c r="J20" s="1">
        <v>3</v>
      </c>
    </row>
    <row r="21" spans="1:10" x14ac:dyDescent="0.25">
      <c r="A21" s="1">
        <v>17</v>
      </c>
      <c r="B21" s="1" t="s">
        <v>34</v>
      </c>
      <c r="C21" s="1" t="s">
        <v>218</v>
      </c>
      <c r="D21" s="1">
        <v>175000</v>
      </c>
      <c r="E21" s="1">
        <v>55.57</v>
      </c>
      <c r="F21" s="1">
        <v>77.160493829999993</v>
      </c>
      <c r="G21" s="1">
        <v>0.83554394799999998</v>
      </c>
      <c r="H21" s="1">
        <v>7688053.4299999997</v>
      </c>
      <c r="I21" s="1">
        <v>7.6880534300000001</v>
      </c>
      <c r="J21" s="1">
        <v>3</v>
      </c>
    </row>
    <row r="22" spans="1:10" x14ac:dyDescent="0.25">
      <c r="A22" s="1">
        <v>25</v>
      </c>
      <c r="B22" s="1" t="s">
        <v>48</v>
      </c>
      <c r="C22" s="1" t="s">
        <v>211</v>
      </c>
      <c r="D22" s="1">
        <v>158757</v>
      </c>
      <c r="E22" s="1">
        <v>51.92</v>
      </c>
      <c r="F22" s="1">
        <v>77.160493829999993</v>
      </c>
      <c r="G22" s="1">
        <v>0.84274070999999995</v>
      </c>
      <c r="H22" s="1">
        <v>7186092.6600000001</v>
      </c>
      <c r="I22" s="1">
        <v>7.1860926599999999</v>
      </c>
      <c r="J22" s="1">
        <v>3</v>
      </c>
    </row>
    <row r="23" spans="1:10" x14ac:dyDescent="0.25">
      <c r="A23" s="1">
        <v>24</v>
      </c>
      <c r="B23" s="1" t="s">
        <v>46</v>
      </c>
      <c r="C23" s="1" t="s">
        <v>47</v>
      </c>
      <c r="D23" s="1">
        <v>136078</v>
      </c>
      <c r="E23" s="1">
        <v>47.57</v>
      </c>
      <c r="F23" s="1">
        <v>72.016460910000006</v>
      </c>
      <c r="G23" s="1">
        <v>0.83965736000000002</v>
      </c>
      <c r="H23" s="1">
        <v>6763337.2450000001</v>
      </c>
      <c r="I23" s="1">
        <v>6.7633372500000002</v>
      </c>
      <c r="J23" s="1">
        <v>3</v>
      </c>
    </row>
    <row r="24" spans="1:10" x14ac:dyDescent="0.25">
      <c r="A24" s="1">
        <v>19</v>
      </c>
      <c r="B24" s="1" t="s">
        <v>37</v>
      </c>
      <c r="C24" s="1" t="s">
        <v>38</v>
      </c>
      <c r="D24" s="1">
        <v>124000</v>
      </c>
      <c r="E24" s="1">
        <v>43.9</v>
      </c>
      <c r="F24" s="1">
        <v>71.502057609999994</v>
      </c>
      <c r="G24" s="1">
        <v>0.82637240499999998</v>
      </c>
      <c r="H24" s="1">
        <v>6748470.7369999997</v>
      </c>
      <c r="I24" s="1">
        <v>6.7484707400000001</v>
      </c>
      <c r="J24" s="1">
        <v>3</v>
      </c>
    </row>
    <row r="25" spans="1:10" x14ac:dyDescent="0.25">
      <c r="A25" s="1">
        <v>15</v>
      </c>
      <c r="B25" s="1" t="s">
        <v>30</v>
      </c>
      <c r="C25" s="1" t="s">
        <v>31</v>
      </c>
      <c r="D25" s="1">
        <v>172365</v>
      </c>
      <c r="E25" s="1">
        <v>60.12</v>
      </c>
      <c r="F25" s="1">
        <v>74.588477370000007</v>
      </c>
      <c r="G25" s="1">
        <v>0.83955726399999997</v>
      </c>
      <c r="H25" s="1">
        <v>6560297.642</v>
      </c>
      <c r="I25" s="1">
        <v>6.5602976399999999</v>
      </c>
      <c r="J25" s="1">
        <v>3</v>
      </c>
    </row>
    <row r="26" spans="1:10" x14ac:dyDescent="0.25">
      <c r="A26" s="1">
        <v>23</v>
      </c>
      <c r="B26" s="1" t="s">
        <v>44</v>
      </c>
      <c r="C26" s="1" t="s">
        <v>45</v>
      </c>
      <c r="D26" s="1">
        <v>123377</v>
      </c>
      <c r="E26" s="1">
        <v>47.57</v>
      </c>
      <c r="F26" s="1">
        <v>68.415637860000004</v>
      </c>
      <c r="G26" s="1">
        <v>0.83965736000000002</v>
      </c>
      <c r="H26" s="1">
        <v>5852346.273</v>
      </c>
      <c r="I26" s="1">
        <v>5.85234627</v>
      </c>
      <c r="J26" s="1">
        <v>3</v>
      </c>
    </row>
    <row r="27" spans="1:10" x14ac:dyDescent="0.25">
      <c r="A27" s="1">
        <v>22</v>
      </c>
      <c r="B27" s="1" t="s">
        <v>42</v>
      </c>
      <c r="C27" s="1" t="s">
        <v>43</v>
      </c>
      <c r="D27" s="1">
        <v>101610</v>
      </c>
      <c r="E27" s="1">
        <v>38.06</v>
      </c>
      <c r="F27" s="1">
        <v>73.045267490000001</v>
      </c>
      <c r="G27" s="1">
        <v>0.84246011499999995</v>
      </c>
      <c r="H27" s="1">
        <v>5788676.6059999997</v>
      </c>
      <c r="I27" s="1">
        <v>5.7886766099999996</v>
      </c>
      <c r="J27" s="1">
        <v>3</v>
      </c>
    </row>
    <row r="28" spans="1:10" x14ac:dyDescent="0.25">
      <c r="A28" s="1">
        <v>26</v>
      </c>
      <c r="B28" s="1" t="s">
        <v>49</v>
      </c>
      <c r="C28" s="1" t="s">
        <v>50</v>
      </c>
      <c r="D28" s="1">
        <v>106600</v>
      </c>
      <c r="E28" s="1">
        <v>39.9</v>
      </c>
      <c r="F28" s="1">
        <v>77.160493829999993</v>
      </c>
      <c r="G28" s="1">
        <v>0.83254891799999997</v>
      </c>
      <c r="H28" s="1">
        <v>5553275.8190000001</v>
      </c>
      <c r="I28" s="1">
        <v>5.5532758199999996</v>
      </c>
      <c r="J28" s="1">
        <v>3</v>
      </c>
    </row>
    <row r="29" spans="1:10" x14ac:dyDescent="0.25">
      <c r="A29" s="1">
        <v>21</v>
      </c>
      <c r="B29" s="1" t="s">
        <v>40</v>
      </c>
      <c r="C29" s="1" t="s">
        <v>41</v>
      </c>
      <c r="D29" s="1">
        <v>95250</v>
      </c>
      <c r="E29" s="1">
        <v>38.049999999999997</v>
      </c>
      <c r="F29" s="1">
        <v>70.47325103</v>
      </c>
      <c r="G29" s="1">
        <v>0.84245129799999996</v>
      </c>
      <c r="H29" s="1">
        <v>5275175.608</v>
      </c>
      <c r="I29" s="1">
        <v>5.2751756099999998</v>
      </c>
      <c r="J29" s="1">
        <v>3</v>
      </c>
    </row>
    <row r="30" spans="1:10" x14ac:dyDescent="0.25">
      <c r="A30" s="1">
        <v>20</v>
      </c>
      <c r="B30" s="1" t="s">
        <v>39</v>
      </c>
      <c r="C30" s="1" t="s">
        <v>212</v>
      </c>
      <c r="D30" s="1">
        <v>97500</v>
      </c>
      <c r="E30" s="1">
        <v>44.42</v>
      </c>
      <c r="F30" s="1">
        <v>65.843621400000004</v>
      </c>
      <c r="G30" s="1">
        <v>0.84545832200000004</v>
      </c>
      <c r="H30" s="1">
        <v>4325452.9869999997</v>
      </c>
      <c r="I30" s="1">
        <v>4.3254529899999996</v>
      </c>
      <c r="J30" s="1">
        <v>2</v>
      </c>
    </row>
    <row r="31" spans="1:10" x14ac:dyDescent="0.25">
      <c r="A31" s="1">
        <v>34</v>
      </c>
      <c r="B31" s="1" t="s">
        <v>64</v>
      </c>
      <c r="C31" s="1" t="s">
        <v>65</v>
      </c>
      <c r="D31" s="1">
        <v>77800</v>
      </c>
      <c r="E31" s="1">
        <v>34.1</v>
      </c>
      <c r="F31" s="1">
        <v>72.530864199999996</v>
      </c>
      <c r="G31" s="1">
        <v>0.83016464199999995</v>
      </c>
      <c r="H31" s="1">
        <v>4320646.5199999996</v>
      </c>
      <c r="I31" s="1">
        <v>4.3206465200000004</v>
      </c>
      <c r="J31" s="1">
        <v>2</v>
      </c>
    </row>
    <row r="32" spans="1:10" x14ac:dyDescent="0.25">
      <c r="A32" s="1">
        <v>28</v>
      </c>
      <c r="B32" s="1" t="s">
        <v>52</v>
      </c>
      <c r="C32" s="1" t="s">
        <v>53</v>
      </c>
      <c r="D32" s="1">
        <v>98431</v>
      </c>
      <c r="E32" s="1">
        <v>43.4</v>
      </c>
      <c r="F32" s="1">
        <v>70.47325103</v>
      </c>
      <c r="G32" s="1">
        <v>0.84786619500000004</v>
      </c>
      <c r="H32" s="1">
        <v>4302472.415</v>
      </c>
      <c r="I32" s="1">
        <v>4.30247241</v>
      </c>
      <c r="J32" s="1">
        <v>2</v>
      </c>
    </row>
    <row r="33" spans="1:10" x14ac:dyDescent="0.25">
      <c r="A33" s="1">
        <v>48</v>
      </c>
      <c r="B33" s="1" t="s">
        <v>91</v>
      </c>
      <c r="C33" s="1" t="s">
        <v>92</v>
      </c>
      <c r="D33" s="1">
        <v>88000</v>
      </c>
      <c r="E33" s="1">
        <v>40.880000000000003</v>
      </c>
      <c r="F33" s="1">
        <v>72.016460910000006</v>
      </c>
      <c r="G33" s="1">
        <v>0.89659503699999998</v>
      </c>
      <c r="H33" s="1">
        <v>3586747.875</v>
      </c>
      <c r="I33" s="1">
        <v>3.5867478699999999</v>
      </c>
      <c r="J33" s="1">
        <v>2</v>
      </c>
    </row>
    <row r="34" spans="1:10" x14ac:dyDescent="0.25">
      <c r="A34" s="1">
        <v>55</v>
      </c>
      <c r="B34" s="1" t="s">
        <v>105</v>
      </c>
      <c r="C34" s="1" t="s">
        <v>106</v>
      </c>
      <c r="D34" s="1">
        <v>56245</v>
      </c>
      <c r="E34" s="1">
        <v>28.88</v>
      </c>
      <c r="F34" s="1">
        <v>71.502057609999994</v>
      </c>
      <c r="G34" s="1">
        <v>0.82796213699999999</v>
      </c>
      <c r="H34" s="1">
        <v>3202062.7149999999</v>
      </c>
      <c r="I34" s="1">
        <v>3.2020627099999999</v>
      </c>
      <c r="J34" s="1">
        <v>2</v>
      </c>
    </row>
    <row r="35" spans="1:10" x14ac:dyDescent="0.25">
      <c r="A35" s="1">
        <v>39</v>
      </c>
      <c r="B35" s="1" t="s">
        <v>74</v>
      </c>
      <c r="C35" s="1" t="s">
        <v>75</v>
      </c>
      <c r="D35" s="1">
        <v>66814</v>
      </c>
      <c r="E35" s="1">
        <v>34.32</v>
      </c>
      <c r="F35" s="1">
        <v>72.530864199999996</v>
      </c>
      <c r="G35" s="1">
        <v>0.83420303299999998</v>
      </c>
      <c r="H35" s="1">
        <v>3130625.77</v>
      </c>
      <c r="I35" s="1">
        <v>3.13062577</v>
      </c>
      <c r="J35" s="1">
        <v>2</v>
      </c>
    </row>
    <row r="36" spans="1:10" x14ac:dyDescent="0.25">
      <c r="A36" s="1">
        <v>40</v>
      </c>
      <c r="B36" s="1" t="s">
        <v>76</v>
      </c>
      <c r="C36" s="1" t="s">
        <v>217</v>
      </c>
      <c r="D36" s="1">
        <v>75000</v>
      </c>
      <c r="E36" s="1">
        <v>40.409999999999997</v>
      </c>
      <c r="F36" s="1">
        <v>66.872427979999998</v>
      </c>
      <c r="G36" s="1">
        <v>0.83462915900000001</v>
      </c>
      <c r="H36" s="1">
        <v>3084534.031</v>
      </c>
      <c r="I36" s="1">
        <v>3.0845340299999999</v>
      </c>
      <c r="J36" s="1">
        <v>2</v>
      </c>
    </row>
    <row r="37" spans="1:10" x14ac:dyDescent="0.25">
      <c r="A37" s="1">
        <v>38</v>
      </c>
      <c r="B37" s="1" t="s">
        <v>72</v>
      </c>
      <c r="C37" s="1" t="s">
        <v>73</v>
      </c>
      <c r="D37" s="1">
        <v>66361</v>
      </c>
      <c r="E37" s="1">
        <v>34.32</v>
      </c>
      <c r="F37" s="1">
        <v>73.045267490000001</v>
      </c>
      <c r="G37" s="1">
        <v>0.83420303299999998</v>
      </c>
      <c r="H37" s="1">
        <v>3066569.574</v>
      </c>
      <c r="I37" s="1">
        <v>3.06656957</v>
      </c>
      <c r="J37" s="1">
        <v>2</v>
      </c>
    </row>
    <row r="38" spans="1:10" x14ac:dyDescent="0.25">
      <c r="A38" s="1">
        <v>32</v>
      </c>
      <c r="B38" s="1" t="s">
        <v>60</v>
      </c>
      <c r="C38" s="1" t="s">
        <v>61</v>
      </c>
      <c r="D38" s="1">
        <v>62500</v>
      </c>
      <c r="E38" s="1">
        <v>34.1</v>
      </c>
      <c r="F38" s="1">
        <v>66.872427979999998</v>
      </c>
      <c r="G38" s="1">
        <v>0.829596102</v>
      </c>
      <c r="H38" s="1">
        <v>3026375.8840000001</v>
      </c>
      <c r="I38" s="1">
        <v>3.0263758799999998</v>
      </c>
      <c r="J38" s="1">
        <v>2</v>
      </c>
    </row>
    <row r="39" spans="1:10" x14ac:dyDescent="0.25">
      <c r="A39" s="1">
        <v>54</v>
      </c>
      <c r="B39" s="1" t="s">
        <v>103</v>
      </c>
      <c r="C39" s="1" t="s">
        <v>104</v>
      </c>
      <c r="D39" s="1">
        <v>52889</v>
      </c>
      <c r="E39" s="1">
        <v>28.88</v>
      </c>
      <c r="F39" s="1">
        <v>69.444444439999998</v>
      </c>
      <c r="G39" s="1">
        <v>0.82796213699999999</v>
      </c>
      <c r="H39" s="1">
        <v>2915236.108</v>
      </c>
      <c r="I39" s="1">
        <v>2.9152361099999999</v>
      </c>
      <c r="J39" s="1">
        <v>2</v>
      </c>
    </row>
    <row r="40" spans="1:10" x14ac:dyDescent="0.25">
      <c r="A40" s="1">
        <v>56</v>
      </c>
      <c r="B40" s="1" t="s">
        <v>107</v>
      </c>
      <c r="C40" s="1" t="s">
        <v>108</v>
      </c>
      <c r="D40" s="1">
        <v>49895</v>
      </c>
      <c r="E40" s="1">
        <v>28.88</v>
      </c>
      <c r="F40" s="1">
        <v>65.329218109999999</v>
      </c>
      <c r="G40" s="1">
        <v>0.82796213699999999</v>
      </c>
      <c r="H40" s="1">
        <v>2757954.6749999998</v>
      </c>
      <c r="I40" s="1">
        <v>2.7579546800000001</v>
      </c>
      <c r="J40" s="1">
        <v>2</v>
      </c>
    </row>
    <row r="41" spans="1:10" x14ac:dyDescent="0.25">
      <c r="A41" s="1">
        <v>33</v>
      </c>
      <c r="B41" s="1" t="s">
        <v>62</v>
      </c>
      <c r="C41" s="1" t="s">
        <v>63</v>
      </c>
      <c r="D41" s="1">
        <v>66000</v>
      </c>
      <c r="E41" s="1">
        <v>35.799999999999997</v>
      </c>
      <c r="F41" s="1">
        <v>68.930041149999994</v>
      </c>
      <c r="G41" s="1">
        <v>0.91165557399999997</v>
      </c>
      <c r="H41" s="1">
        <v>2703135.8590000002</v>
      </c>
      <c r="I41" s="1">
        <v>2.7031358600000002</v>
      </c>
      <c r="J41" s="1">
        <v>2</v>
      </c>
    </row>
    <row r="42" spans="1:10" x14ac:dyDescent="0.25">
      <c r="A42" s="1">
        <v>31</v>
      </c>
      <c r="B42" s="1" t="s">
        <v>58</v>
      </c>
      <c r="C42" s="1" t="s">
        <v>59</v>
      </c>
      <c r="D42" s="1">
        <v>57500</v>
      </c>
      <c r="E42" s="1">
        <v>34.1</v>
      </c>
      <c r="F42" s="1">
        <v>64.300411519999997</v>
      </c>
      <c r="G42" s="1">
        <v>0.83318134499999996</v>
      </c>
      <c r="H42" s="1">
        <v>2652522.1970000002</v>
      </c>
      <c r="I42" s="1">
        <v>2.6525221999999999</v>
      </c>
      <c r="J42" s="1">
        <v>2</v>
      </c>
    </row>
    <row r="43" spans="1:10" x14ac:dyDescent="0.25">
      <c r="A43" s="1">
        <v>53</v>
      </c>
      <c r="B43" s="1" t="s">
        <v>101</v>
      </c>
      <c r="C43" s="1" t="s">
        <v>102</v>
      </c>
      <c r="D43" s="1">
        <v>48534</v>
      </c>
      <c r="E43" s="1">
        <v>28.35</v>
      </c>
      <c r="F43" s="1">
        <v>66.872427979999998</v>
      </c>
      <c r="G43" s="1">
        <v>0.826355442</v>
      </c>
      <c r="H43" s="1">
        <v>2650680.892</v>
      </c>
      <c r="I43" s="1">
        <v>2.6506808899999998</v>
      </c>
      <c r="J43" s="1">
        <v>2</v>
      </c>
    </row>
    <row r="44" spans="1:10" x14ac:dyDescent="0.25">
      <c r="A44" s="1">
        <v>37</v>
      </c>
      <c r="B44" s="1" t="s">
        <v>70</v>
      </c>
      <c r="C44" s="1" t="s">
        <v>71</v>
      </c>
      <c r="D44" s="1">
        <v>58604</v>
      </c>
      <c r="E44" s="1">
        <v>34.32</v>
      </c>
      <c r="F44" s="1">
        <v>67.90123457</v>
      </c>
      <c r="G44" s="1">
        <v>0.83420303299999998</v>
      </c>
      <c r="H44" s="1">
        <v>2572740.074</v>
      </c>
      <c r="I44" s="1">
        <v>2.57274007</v>
      </c>
      <c r="J44" s="1">
        <v>2</v>
      </c>
    </row>
    <row r="45" spans="1:10" x14ac:dyDescent="0.25">
      <c r="A45" s="1">
        <v>35</v>
      </c>
      <c r="B45" s="1" t="s">
        <v>66</v>
      </c>
      <c r="C45" s="1" t="s">
        <v>67</v>
      </c>
      <c r="D45" s="1">
        <v>58000</v>
      </c>
      <c r="E45" s="1">
        <v>38</v>
      </c>
      <c r="F45" s="1">
        <v>62.757201649999999</v>
      </c>
      <c r="G45" s="1">
        <v>0.77043799700000004</v>
      </c>
      <c r="H45" s="1">
        <v>2408091.1159999999</v>
      </c>
      <c r="I45" s="1">
        <v>2.4080911199999999</v>
      </c>
      <c r="J45" s="1">
        <v>2</v>
      </c>
    </row>
    <row r="46" spans="1:10" x14ac:dyDescent="0.25">
      <c r="A46" s="1">
        <v>36</v>
      </c>
      <c r="B46" s="1" t="s">
        <v>68</v>
      </c>
      <c r="C46" s="1" t="s">
        <v>69</v>
      </c>
      <c r="D46" s="1">
        <v>55111</v>
      </c>
      <c r="E46" s="1">
        <v>34.32</v>
      </c>
      <c r="F46" s="1">
        <v>64.814814810000001</v>
      </c>
      <c r="G46" s="1">
        <v>0.83420303299999998</v>
      </c>
      <c r="H46" s="1">
        <v>2383534.0529999998</v>
      </c>
      <c r="I46" s="1">
        <v>2.3835340500000002</v>
      </c>
      <c r="J46" s="1">
        <v>2</v>
      </c>
    </row>
    <row r="47" spans="1:10" x14ac:dyDescent="0.25">
      <c r="A47" s="1">
        <v>73</v>
      </c>
      <c r="B47" s="1" t="s">
        <v>141</v>
      </c>
      <c r="C47" s="1" t="s">
        <v>142</v>
      </c>
      <c r="D47" s="1">
        <v>40143</v>
      </c>
      <c r="E47" s="1">
        <v>26.21</v>
      </c>
      <c r="F47" s="1">
        <v>64.300411519999997</v>
      </c>
      <c r="G47" s="1">
        <v>0.81580258299999997</v>
      </c>
      <c r="H47" s="1">
        <v>2234972.4079999998</v>
      </c>
      <c r="I47" s="1">
        <v>2.2349724100000001</v>
      </c>
      <c r="J47" s="1">
        <v>2</v>
      </c>
    </row>
    <row r="48" spans="1:10" x14ac:dyDescent="0.25">
      <c r="A48" s="1">
        <v>52</v>
      </c>
      <c r="B48" s="1" t="s">
        <v>99</v>
      </c>
      <c r="C48" s="1" t="s">
        <v>100</v>
      </c>
      <c r="D48" s="1">
        <v>46269</v>
      </c>
      <c r="E48" s="1">
        <v>28.4</v>
      </c>
      <c r="F48" s="1">
        <v>71.502057609999994</v>
      </c>
      <c r="G48" s="1">
        <v>0.83437166200000001</v>
      </c>
      <c r="H48" s="1">
        <v>2223570.2089999998</v>
      </c>
      <c r="I48" s="1">
        <v>2.2235702100000001</v>
      </c>
      <c r="J48" s="1">
        <v>2</v>
      </c>
    </row>
    <row r="49" spans="1:10" x14ac:dyDescent="0.25">
      <c r="A49" s="1">
        <v>72</v>
      </c>
      <c r="B49" s="1" t="s">
        <v>139</v>
      </c>
      <c r="C49" s="1" t="s">
        <v>140</v>
      </c>
      <c r="D49" s="1">
        <v>38555</v>
      </c>
      <c r="E49" s="1">
        <v>26.21</v>
      </c>
      <c r="F49" s="1">
        <v>64.300411519999997</v>
      </c>
      <c r="G49" s="1">
        <v>0.81580258299999997</v>
      </c>
      <c r="H49" s="1">
        <v>2061645.213</v>
      </c>
      <c r="I49" s="1">
        <v>2.06164521</v>
      </c>
      <c r="J49" s="1">
        <v>2</v>
      </c>
    </row>
    <row r="50" spans="1:10" x14ac:dyDescent="0.25">
      <c r="A50" s="1">
        <v>68</v>
      </c>
      <c r="B50" s="1" t="s">
        <v>131</v>
      </c>
      <c r="C50" s="1" t="s">
        <v>132</v>
      </c>
      <c r="D50" s="1">
        <v>45800</v>
      </c>
      <c r="E50" s="1">
        <v>28.72</v>
      </c>
      <c r="F50" s="1">
        <v>69.444444439999998</v>
      </c>
      <c r="G50" s="1">
        <v>0.92375164600000004</v>
      </c>
      <c r="H50" s="1">
        <v>1981320.5179999999</v>
      </c>
      <c r="I50" s="1">
        <v>1.9813205199999999</v>
      </c>
      <c r="J50" s="1">
        <v>2</v>
      </c>
    </row>
    <row r="51" spans="1:10" x14ac:dyDescent="0.25">
      <c r="A51" s="1">
        <v>67</v>
      </c>
      <c r="B51" s="1" t="s">
        <v>129</v>
      </c>
      <c r="C51" s="1" t="s">
        <v>130</v>
      </c>
      <c r="D51" s="1">
        <v>44000</v>
      </c>
      <c r="E51" s="1">
        <v>28.72</v>
      </c>
      <c r="F51" s="1">
        <v>67.386831279999996</v>
      </c>
      <c r="G51" s="1">
        <v>0.92340045999999998</v>
      </c>
      <c r="H51" s="1">
        <v>1885197.024</v>
      </c>
      <c r="I51" s="1">
        <v>1.8851970199999999</v>
      </c>
      <c r="J51" s="1">
        <v>2</v>
      </c>
    </row>
    <row r="52" spans="1:10" x14ac:dyDescent="0.25">
      <c r="A52" s="1">
        <v>70</v>
      </c>
      <c r="B52" s="1" t="s">
        <v>135</v>
      </c>
      <c r="C52" s="1" t="s">
        <v>136</v>
      </c>
      <c r="D52" s="1">
        <v>39915</v>
      </c>
      <c r="E52" s="1">
        <v>28.076000000000001</v>
      </c>
      <c r="F52" s="1">
        <v>66.358024689999993</v>
      </c>
      <c r="G52" s="1">
        <v>0.83573176199999999</v>
      </c>
      <c r="H52" s="1">
        <v>1821490.1529999999</v>
      </c>
      <c r="I52" s="1">
        <v>1.82149015</v>
      </c>
      <c r="J52" s="1">
        <v>2</v>
      </c>
    </row>
    <row r="53" spans="1:10" x14ac:dyDescent="0.25">
      <c r="A53" s="1">
        <v>41</v>
      </c>
      <c r="B53" s="1" t="s">
        <v>77</v>
      </c>
      <c r="C53" s="1" t="s">
        <v>78</v>
      </c>
      <c r="D53" s="1">
        <v>52600</v>
      </c>
      <c r="E53" s="1">
        <v>37.4</v>
      </c>
      <c r="F53" s="1">
        <v>66.872427979999998</v>
      </c>
      <c r="G53" s="1">
        <v>0.843379349</v>
      </c>
      <c r="H53" s="1">
        <v>1752845.4069999999</v>
      </c>
      <c r="I53" s="1">
        <v>1.7528454099999999</v>
      </c>
      <c r="J53" s="1">
        <v>2</v>
      </c>
    </row>
    <row r="54" spans="1:10" x14ac:dyDescent="0.25">
      <c r="A54" s="1">
        <v>47</v>
      </c>
      <c r="B54" s="1" t="s">
        <v>89</v>
      </c>
      <c r="C54" s="1" t="s">
        <v>90</v>
      </c>
      <c r="D54" s="1">
        <v>64410</v>
      </c>
      <c r="E54" s="1">
        <v>32.869999999999997</v>
      </c>
      <c r="F54" s="1">
        <v>138</v>
      </c>
      <c r="G54" s="1">
        <v>0.83970241899999998</v>
      </c>
      <c r="H54" s="1">
        <v>1656105.825</v>
      </c>
      <c r="I54" s="1">
        <v>1.65610583</v>
      </c>
      <c r="J54" s="1">
        <v>2</v>
      </c>
    </row>
    <row r="55" spans="1:10" x14ac:dyDescent="0.25">
      <c r="A55" s="1">
        <v>61</v>
      </c>
      <c r="B55" s="1" t="s">
        <v>117</v>
      </c>
      <c r="C55" s="1" t="s">
        <v>118</v>
      </c>
      <c r="D55" s="1">
        <v>33340</v>
      </c>
      <c r="E55" s="1">
        <v>23.24</v>
      </c>
      <c r="F55" s="1">
        <v>69.444444439999998</v>
      </c>
      <c r="G55" s="1">
        <v>0.90299564600000004</v>
      </c>
      <c r="H55" s="1">
        <v>1640291.993</v>
      </c>
      <c r="I55" s="1">
        <v>1.6402919899999999</v>
      </c>
      <c r="J55" s="1">
        <v>2</v>
      </c>
    </row>
    <row r="56" spans="1:10" x14ac:dyDescent="0.25">
      <c r="A56" s="1">
        <v>44</v>
      </c>
      <c r="B56" s="1" t="s">
        <v>83</v>
      </c>
      <c r="C56" s="1" t="s">
        <v>84</v>
      </c>
      <c r="D56" s="1">
        <v>63276</v>
      </c>
      <c r="E56" s="1">
        <v>32.85</v>
      </c>
      <c r="F56" s="1">
        <v>137</v>
      </c>
      <c r="G56" s="1">
        <v>0.83968072100000002</v>
      </c>
      <c r="H56" s="1">
        <v>1611973.594</v>
      </c>
      <c r="I56" s="1">
        <v>1.6119735900000001</v>
      </c>
      <c r="J56" s="1">
        <v>2</v>
      </c>
    </row>
    <row r="57" spans="1:10" x14ac:dyDescent="0.25">
      <c r="A57" s="1">
        <v>69</v>
      </c>
      <c r="B57" s="1" t="s">
        <v>133</v>
      </c>
      <c r="C57" s="1" t="s">
        <v>134</v>
      </c>
      <c r="D57" s="1">
        <v>36740</v>
      </c>
      <c r="E57" s="1">
        <v>28.076000000000001</v>
      </c>
      <c r="F57" s="1">
        <v>66.358024689999993</v>
      </c>
      <c r="G57" s="1">
        <v>0.83573176199999999</v>
      </c>
      <c r="H57" s="1">
        <v>1543237.8430000001</v>
      </c>
      <c r="I57" s="1">
        <v>1.54323784</v>
      </c>
      <c r="J57" s="1">
        <v>2</v>
      </c>
    </row>
    <row r="58" spans="1:10" x14ac:dyDescent="0.25">
      <c r="A58" s="1">
        <v>42</v>
      </c>
      <c r="B58" s="1" t="s">
        <v>79</v>
      </c>
      <c r="C58" s="1" t="s">
        <v>80</v>
      </c>
      <c r="D58" s="1">
        <v>58061</v>
      </c>
      <c r="E58" s="1">
        <v>32.85</v>
      </c>
      <c r="F58" s="1">
        <v>125</v>
      </c>
      <c r="G58" s="1">
        <v>0.83968072100000002</v>
      </c>
      <c r="H58" s="1">
        <v>1487508.5330000001</v>
      </c>
      <c r="I58" s="1">
        <v>1.4875085299999999</v>
      </c>
      <c r="J58" s="1">
        <v>2</v>
      </c>
    </row>
    <row r="59" spans="1:10" x14ac:dyDescent="0.25">
      <c r="A59" s="1">
        <v>46</v>
      </c>
      <c r="B59" s="1" t="s">
        <v>87</v>
      </c>
      <c r="C59" s="1" t="s">
        <v>88</v>
      </c>
      <c r="D59" s="1">
        <v>58567</v>
      </c>
      <c r="E59" s="1">
        <v>32.85</v>
      </c>
      <c r="F59" s="1">
        <v>130</v>
      </c>
      <c r="G59" s="1">
        <v>0.83968072100000002</v>
      </c>
      <c r="H59" s="1">
        <v>1455335.29</v>
      </c>
      <c r="I59" s="1">
        <v>1.4553352900000001</v>
      </c>
      <c r="J59" s="1">
        <v>2</v>
      </c>
    </row>
    <row r="60" spans="1:10" x14ac:dyDescent="0.25">
      <c r="A60" s="1">
        <v>43</v>
      </c>
      <c r="B60" s="1" t="s">
        <v>81</v>
      </c>
      <c r="C60" s="1" t="s">
        <v>82</v>
      </c>
      <c r="D60" s="1">
        <v>58567</v>
      </c>
      <c r="E60" s="1">
        <v>32.85</v>
      </c>
      <c r="F60" s="1">
        <v>136</v>
      </c>
      <c r="G60" s="1">
        <v>0.83968072100000002</v>
      </c>
      <c r="H60" s="1">
        <v>1391129.321</v>
      </c>
      <c r="I60" s="1">
        <v>1.3911293199999999</v>
      </c>
      <c r="J60" s="1">
        <v>2</v>
      </c>
    </row>
    <row r="61" spans="1:10" x14ac:dyDescent="0.25">
      <c r="A61" s="1">
        <v>66</v>
      </c>
      <c r="B61" s="1" t="s">
        <v>127</v>
      </c>
      <c r="C61" s="1" t="s">
        <v>128</v>
      </c>
      <c r="D61" s="1">
        <v>34000</v>
      </c>
      <c r="E61" s="1">
        <v>26</v>
      </c>
      <c r="F61" s="1">
        <v>66.872427979999998</v>
      </c>
      <c r="G61" s="1">
        <v>0.92672479399999996</v>
      </c>
      <c r="H61" s="1">
        <v>1379109.18</v>
      </c>
      <c r="I61" s="1">
        <v>1.3791091799999999</v>
      </c>
      <c r="J61" s="1">
        <v>2</v>
      </c>
    </row>
    <row r="62" spans="1:10" x14ac:dyDescent="0.25">
      <c r="A62" s="1">
        <v>60</v>
      </c>
      <c r="B62" s="1" t="s">
        <v>115</v>
      </c>
      <c r="C62" s="1" t="s">
        <v>116</v>
      </c>
      <c r="D62" s="1">
        <v>30391</v>
      </c>
      <c r="E62" s="1">
        <v>23.25</v>
      </c>
      <c r="F62" s="1">
        <v>69.444444439999998</v>
      </c>
      <c r="G62" s="1">
        <v>0.90231480100000006</v>
      </c>
      <c r="H62" s="1">
        <v>1362805.4539999999</v>
      </c>
      <c r="I62" s="1">
        <v>1.36280545</v>
      </c>
      <c r="J62" s="1">
        <v>2</v>
      </c>
    </row>
    <row r="63" spans="1:10" x14ac:dyDescent="0.25">
      <c r="A63" s="1">
        <v>45</v>
      </c>
      <c r="B63" s="1" t="s">
        <v>85</v>
      </c>
      <c r="C63" s="1" t="s">
        <v>86</v>
      </c>
      <c r="D63" s="1">
        <v>58060</v>
      </c>
      <c r="E63" s="1">
        <v>32.85</v>
      </c>
      <c r="F63" s="1">
        <v>140</v>
      </c>
      <c r="G63" s="1">
        <v>0.83968072100000002</v>
      </c>
      <c r="H63" s="1">
        <v>1328086.8689999999</v>
      </c>
      <c r="I63" s="1">
        <v>1.3280868699999999</v>
      </c>
      <c r="J63" s="1">
        <v>2</v>
      </c>
    </row>
    <row r="64" spans="1:10" x14ac:dyDescent="0.25">
      <c r="A64" s="1">
        <v>65</v>
      </c>
      <c r="B64" s="1" t="s">
        <v>125</v>
      </c>
      <c r="C64" s="1" t="s">
        <v>126</v>
      </c>
      <c r="D64" s="1">
        <v>33300</v>
      </c>
      <c r="E64" s="1">
        <v>26</v>
      </c>
      <c r="F64" s="1">
        <v>66.872427979999998</v>
      </c>
      <c r="G64" s="1">
        <v>0.92672479399999996</v>
      </c>
      <c r="H64" s="1">
        <v>1322906.902</v>
      </c>
      <c r="I64" s="1">
        <v>1.3229069</v>
      </c>
      <c r="J64" s="1">
        <v>2</v>
      </c>
    </row>
    <row r="65" spans="1:10" x14ac:dyDescent="0.25">
      <c r="A65" s="1">
        <v>62</v>
      </c>
      <c r="B65" s="1" t="s">
        <v>119</v>
      </c>
      <c r="C65" s="1" t="s">
        <v>215</v>
      </c>
      <c r="D65" s="1">
        <v>28123</v>
      </c>
      <c r="E65" s="1">
        <v>28.4</v>
      </c>
      <c r="F65" s="1">
        <v>62.242798350000001</v>
      </c>
      <c r="G65" s="1">
        <v>0.76802715600000004</v>
      </c>
      <c r="H65" s="1">
        <v>1025194.607</v>
      </c>
      <c r="I65" s="1">
        <v>1.02519461</v>
      </c>
      <c r="J65" s="1">
        <v>2</v>
      </c>
    </row>
    <row r="66" spans="1:10" x14ac:dyDescent="0.25">
      <c r="A66" s="1">
        <v>71</v>
      </c>
      <c r="B66" s="1" t="s">
        <v>137</v>
      </c>
      <c r="C66" s="1" t="s">
        <v>138</v>
      </c>
      <c r="D66" s="1">
        <v>26535</v>
      </c>
      <c r="E66" s="1">
        <v>23.7</v>
      </c>
      <c r="F66" s="1">
        <v>72.016460910000006</v>
      </c>
      <c r="G66" s="1">
        <v>0.93444367299999997</v>
      </c>
      <c r="H66" s="1">
        <v>930983.47919999994</v>
      </c>
      <c r="I66" s="1">
        <v>0.93098347999999997</v>
      </c>
      <c r="J66" s="1">
        <v>1</v>
      </c>
    </row>
    <row r="67" spans="1:10" x14ac:dyDescent="0.25">
      <c r="A67" s="1">
        <v>59</v>
      </c>
      <c r="B67" s="1" t="s">
        <v>113</v>
      </c>
      <c r="C67" s="1" t="s">
        <v>114</v>
      </c>
      <c r="D67" s="1">
        <v>21319</v>
      </c>
      <c r="E67" s="1">
        <v>21.23</v>
      </c>
      <c r="F67" s="1">
        <v>72.016460910000006</v>
      </c>
      <c r="G67" s="1">
        <v>0.90287753800000004</v>
      </c>
      <c r="H67" s="1">
        <v>775101.24140000006</v>
      </c>
      <c r="I67" s="1">
        <v>0.77510124000000002</v>
      </c>
      <c r="J67" s="1">
        <v>1</v>
      </c>
    </row>
    <row r="68" spans="1:10" x14ac:dyDescent="0.25">
      <c r="A68" s="1">
        <v>63</v>
      </c>
      <c r="B68" s="1" t="s">
        <v>121</v>
      </c>
      <c r="C68" s="1" t="s">
        <v>122</v>
      </c>
      <c r="D68" s="1">
        <v>18500</v>
      </c>
      <c r="E68" s="1">
        <v>20.04</v>
      </c>
      <c r="F68" s="1">
        <v>66.872427979999998</v>
      </c>
      <c r="G68" s="1">
        <v>0.837541698</v>
      </c>
      <c r="H68" s="1">
        <v>760466.13329999999</v>
      </c>
      <c r="I68" s="1">
        <v>0.76046612999999996</v>
      </c>
      <c r="J68" s="1">
        <v>1</v>
      </c>
    </row>
    <row r="69" spans="1:10" x14ac:dyDescent="0.25">
      <c r="A69" s="1">
        <v>64</v>
      </c>
      <c r="B69" s="1" t="s">
        <v>123</v>
      </c>
      <c r="C69" s="1" t="s">
        <v>124</v>
      </c>
      <c r="D69" s="1">
        <v>18700</v>
      </c>
      <c r="E69" s="1">
        <v>20.04</v>
      </c>
      <c r="F69" s="1">
        <v>69.444444439999998</v>
      </c>
      <c r="G69" s="1">
        <v>0.83777278600000005</v>
      </c>
      <c r="H69" s="1">
        <v>748013.45109999995</v>
      </c>
      <c r="I69" s="1">
        <v>0.74801344999999997</v>
      </c>
      <c r="J69" s="1">
        <v>1</v>
      </c>
    </row>
    <row r="70" spans="1:10" x14ac:dyDescent="0.25">
      <c r="A70" s="1">
        <v>58</v>
      </c>
      <c r="B70" s="1" t="s">
        <v>111</v>
      </c>
      <c r="C70" s="1" t="s">
        <v>112</v>
      </c>
      <c r="D70" s="1">
        <v>20276</v>
      </c>
      <c r="E70" s="1">
        <v>21.23</v>
      </c>
      <c r="F70" s="1">
        <v>69.444444439999998</v>
      </c>
      <c r="G70" s="1">
        <v>0.90287753800000004</v>
      </c>
      <c r="H70" s="1">
        <v>727082.35560000001</v>
      </c>
      <c r="I70" s="1">
        <v>0.72708236000000004</v>
      </c>
      <c r="J70" s="1">
        <v>1</v>
      </c>
    </row>
    <row r="71" spans="1:10" x14ac:dyDescent="0.25">
      <c r="A71" s="1">
        <v>51</v>
      </c>
      <c r="B71" s="1" t="s">
        <v>97</v>
      </c>
      <c r="C71" s="1" t="s">
        <v>98</v>
      </c>
      <c r="D71" s="1">
        <v>22350</v>
      </c>
      <c r="E71" s="1">
        <v>27.05</v>
      </c>
      <c r="F71" s="1">
        <v>61.728395059999997</v>
      </c>
      <c r="G71" s="1">
        <v>0.76669024299999999</v>
      </c>
      <c r="H71" s="1">
        <v>720943.08299999998</v>
      </c>
      <c r="I71" s="1">
        <v>0.72094307999999996</v>
      </c>
      <c r="J71" s="1">
        <v>1</v>
      </c>
    </row>
    <row r="72" spans="1:10" x14ac:dyDescent="0.25">
      <c r="A72" s="1">
        <v>75</v>
      </c>
      <c r="B72" s="1" t="s">
        <v>145</v>
      </c>
      <c r="C72" s="1" t="s">
        <v>146</v>
      </c>
      <c r="D72" s="1">
        <v>12580</v>
      </c>
      <c r="E72" s="1">
        <v>15.4</v>
      </c>
      <c r="F72" s="1">
        <v>56.584362140000003</v>
      </c>
      <c r="G72" s="1">
        <v>0.81830715899999995</v>
      </c>
      <c r="H72" s="1">
        <v>720265.23089999997</v>
      </c>
      <c r="I72" s="1">
        <v>0.72026522999999998</v>
      </c>
      <c r="J72" s="1">
        <v>1</v>
      </c>
    </row>
    <row r="73" spans="1:10" x14ac:dyDescent="0.25">
      <c r="A73" s="1">
        <v>57</v>
      </c>
      <c r="B73" s="1" t="s">
        <v>109</v>
      </c>
      <c r="C73" s="1" t="s">
        <v>110</v>
      </c>
      <c r="D73" s="1">
        <v>17237</v>
      </c>
      <c r="E73" s="1">
        <v>19.600000000000001</v>
      </c>
      <c r="F73" s="1">
        <v>66.872427979999998</v>
      </c>
      <c r="G73" s="1">
        <v>0.89555479500000001</v>
      </c>
      <c r="H73" s="1">
        <v>645442.19090000005</v>
      </c>
      <c r="I73" s="1">
        <v>0.64544219000000003</v>
      </c>
      <c r="J73" s="1">
        <v>1</v>
      </c>
    </row>
    <row r="74" spans="1:10" x14ac:dyDescent="0.25">
      <c r="A74" s="1">
        <v>50</v>
      </c>
      <c r="B74" s="1" t="s">
        <v>95</v>
      </c>
      <c r="C74" s="1" t="s">
        <v>96</v>
      </c>
      <c r="D74" s="1">
        <v>18300</v>
      </c>
      <c r="E74" s="1">
        <v>24.57</v>
      </c>
      <c r="F74" s="1">
        <v>56.584362140000003</v>
      </c>
      <c r="G74" s="1">
        <v>0.76212104599999997</v>
      </c>
      <c r="H74" s="1">
        <v>642919.90599999996</v>
      </c>
      <c r="I74" s="1">
        <v>0.64291991000000004</v>
      </c>
      <c r="J74" s="1">
        <v>1</v>
      </c>
    </row>
    <row r="75" spans="1:10" x14ac:dyDescent="0.25">
      <c r="A75" s="1">
        <v>76</v>
      </c>
      <c r="B75" s="1" t="s">
        <v>147</v>
      </c>
      <c r="C75" s="1" t="s">
        <v>148</v>
      </c>
      <c r="D75" s="1">
        <v>14390</v>
      </c>
      <c r="E75" s="1">
        <v>20.98</v>
      </c>
      <c r="F75" s="1">
        <v>56.584362140000003</v>
      </c>
      <c r="G75" s="1">
        <v>0.75181400799999998</v>
      </c>
      <c r="H75" s="1">
        <v>552699.62199999997</v>
      </c>
      <c r="I75" s="1">
        <v>0.55269961999999995</v>
      </c>
      <c r="J75" s="1">
        <v>1</v>
      </c>
    </row>
    <row r="76" spans="1:10" x14ac:dyDescent="0.25">
      <c r="A76" s="1">
        <v>49</v>
      </c>
      <c r="B76" s="1" t="s">
        <v>93</v>
      </c>
      <c r="C76" s="1" t="s">
        <v>94</v>
      </c>
      <c r="D76" s="1">
        <v>16000</v>
      </c>
      <c r="E76" s="1">
        <v>24.57</v>
      </c>
      <c r="F76" s="1">
        <v>61.728395059999997</v>
      </c>
      <c r="G76" s="1">
        <v>0.76212104599999997</v>
      </c>
      <c r="H76" s="1">
        <v>450511.72399999999</v>
      </c>
      <c r="I76" s="1">
        <v>0.45051172</v>
      </c>
      <c r="J76" s="1">
        <v>1</v>
      </c>
    </row>
    <row r="77" spans="1:10" x14ac:dyDescent="0.25">
      <c r="A77" s="1">
        <v>74</v>
      </c>
      <c r="B77" s="1" t="s">
        <v>143</v>
      </c>
      <c r="C77" s="1" t="s">
        <v>144</v>
      </c>
      <c r="D77" s="1">
        <v>8000</v>
      </c>
      <c r="E77" s="1">
        <v>13.08</v>
      </c>
      <c r="F77" s="1">
        <v>56.584362140000003</v>
      </c>
      <c r="G77" s="1">
        <v>0.82527509200000004</v>
      </c>
      <c r="H77" s="1">
        <v>400363.71370000002</v>
      </c>
      <c r="I77" s="1">
        <v>0.40036370999999998</v>
      </c>
      <c r="J77" s="1">
        <v>1</v>
      </c>
    </row>
    <row r="78" spans="1:10" x14ac:dyDescent="0.25">
      <c r="A78" s="1">
        <v>84</v>
      </c>
      <c r="B78" s="1" t="s">
        <v>163</v>
      </c>
      <c r="C78" s="1" t="s">
        <v>164</v>
      </c>
      <c r="D78" s="1">
        <v>12930</v>
      </c>
      <c r="E78" s="1">
        <v>21.44</v>
      </c>
      <c r="F78" s="1">
        <v>59.156378599999996</v>
      </c>
      <c r="G78" s="1">
        <v>0.76845640400000004</v>
      </c>
      <c r="H78" s="1">
        <v>399863.77289999998</v>
      </c>
      <c r="I78" s="1">
        <v>0.39986377000000001</v>
      </c>
      <c r="J78" s="1">
        <v>1</v>
      </c>
    </row>
    <row r="79" spans="1:10" x14ac:dyDescent="0.25">
      <c r="A79" s="1">
        <v>79</v>
      </c>
      <c r="B79" s="1" t="s">
        <v>153</v>
      </c>
      <c r="C79" s="1" t="s">
        <v>154</v>
      </c>
      <c r="D79" s="1">
        <v>10590</v>
      </c>
      <c r="E79" s="1">
        <v>16.600000000000001</v>
      </c>
      <c r="F79" s="1">
        <v>64.300411519999997</v>
      </c>
      <c r="G79" s="1">
        <v>0.82941047099999998</v>
      </c>
      <c r="H79" s="1">
        <v>381397.51850000001</v>
      </c>
      <c r="I79" s="1">
        <v>0.38139751999999999</v>
      </c>
      <c r="J79" s="1">
        <v>1</v>
      </c>
    </row>
    <row r="80" spans="1:10" x14ac:dyDescent="0.25">
      <c r="A80" s="1">
        <v>77</v>
      </c>
      <c r="B80" s="1" t="s">
        <v>149</v>
      </c>
      <c r="C80" s="1" t="s">
        <v>150</v>
      </c>
      <c r="D80" s="1">
        <v>11700</v>
      </c>
      <c r="E80" s="1">
        <v>19.78</v>
      </c>
      <c r="F80" s="1">
        <v>64.814814810000001</v>
      </c>
      <c r="G80" s="1">
        <v>0.76211101800000003</v>
      </c>
      <c r="H80" s="1">
        <v>354007.13030000002</v>
      </c>
      <c r="I80" s="1">
        <v>0.35400713</v>
      </c>
      <c r="J80" s="1">
        <v>1</v>
      </c>
    </row>
    <row r="81" spans="1:10" x14ac:dyDescent="0.25">
      <c r="A81" s="1">
        <v>81</v>
      </c>
      <c r="B81" s="1" t="s">
        <v>157</v>
      </c>
      <c r="C81" s="1" t="s">
        <v>158</v>
      </c>
      <c r="D81" s="1">
        <v>10569</v>
      </c>
      <c r="E81" s="1">
        <v>18.420000000000002</v>
      </c>
      <c r="F81" s="1">
        <v>61.728395059999997</v>
      </c>
      <c r="G81" s="1">
        <v>0.76748366599999995</v>
      </c>
      <c r="H81" s="1">
        <v>347312.011</v>
      </c>
      <c r="I81" s="1">
        <v>0.34731201</v>
      </c>
      <c r="J81" s="1">
        <v>1</v>
      </c>
    </row>
    <row r="82" spans="1:10" x14ac:dyDescent="0.25">
      <c r="A82" s="1">
        <v>83</v>
      </c>
      <c r="B82" s="1" t="s">
        <v>161</v>
      </c>
      <c r="C82" s="1" t="s">
        <v>162</v>
      </c>
      <c r="D82" s="1">
        <v>8845</v>
      </c>
      <c r="E82" s="1">
        <v>13.4</v>
      </c>
      <c r="F82" s="1">
        <v>72.016460910000006</v>
      </c>
      <c r="G82" s="1">
        <v>0.91605639699999997</v>
      </c>
      <c r="H82" s="1">
        <v>330078.68170000002</v>
      </c>
      <c r="I82" s="1">
        <v>0.33007868000000001</v>
      </c>
      <c r="J82" s="1">
        <v>1</v>
      </c>
    </row>
    <row r="83" spans="1:10" x14ac:dyDescent="0.25">
      <c r="A83" s="1">
        <v>82</v>
      </c>
      <c r="B83" s="1" t="s">
        <v>159</v>
      </c>
      <c r="C83" s="1" t="s">
        <v>160</v>
      </c>
      <c r="D83" s="1">
        <v>6940</v>
      </c>
      <c r="E83" s="1">
        <v>12.04</v>
      </c>
      <c r="F83" s="1">
        <v>64.300411519999997</v>
      </c>
      <c r="G83" s="1">
        <v>0.80968059800000003</v>
      </c>
      <c r="H83" s="1">
        <v>318950.92619999999</v>
      </c>
      <c r="I83" s="1">
        <v>0.31895093000000002</v>
      </c>
      <c r="J83" s="1">
        <v>1</v>
      </c>
    </row>
    <row r="84" spans="1:10" x14ac:dyDescent="0.25">
      <c r="A84" s="1">
        <v>78</v>
      </c>
      <c r="B84" s="1" t="s">
        <v>151</v>
      </c>
      <c r="C84" s="1" t="s">
        <v>216</v>
      </c>
      <c r="D84" s="1">
        <v>7120</v>
      </c>
      <c r="E84" s="1">
        <v>13.3</v>
      </c>
      <c r="F84" s="1">
        <v>61.728395059999997</v>
      </c>
      <c r="G84" s="1">
        <v>0.81639261600000002</v>
      </c>
      <c r="H84" s="1">
        <v>284222.22659999999</v>
      </c>
      <c r="I84" s="1">
        <v>0.28422223000000002</v>
      </c>
      <c r="J84" s="1">
        <v>1</v>
      </c>
    </row>
    <row r="85" spans="1:10" x14ac:dyDescent="0.25">
      <c r="A85" s="1">
        <v>86</v>
      </c>
      <c r="B85" s="1" t="s">
        <v>167</v>
      </c>
      <c r="C85" s="1" t="s">
        <v>168</v>
      </c>
      <c r="D85" s="1">
        <v>8618</v>
      </c>
      <c r="E85" s="1">
        <v>16.309999999999999</v>
      </c>
      <c r="F85" s="1">
        <v>66.872427979999998</v>
      </c>
      <c r="G85" s="1">
        <v>0.82732662899999998</v>
      </c>
      <c r="H85" s="1">
        <v>252212.34959999999</v>
      </c>
      <c r="I85" s="1">
        <v>0.25221234999999997</v>
      </c>
      <c r="J85" s="1">
        <v>1</v>
      </c>
    </row>
    <row r="86" spans="1:10" x14ac:dyDescent="0.25">
      <c r="A86" s="1">
        <v>80</v>
      </c>
      <c r="B86" s="1" t="s">
        <v>155</v>
      </c>
      <c r="C86" s="1" t="s">
        <v>156</v>
      </c>
      <c r="D86" s="1">
        <v>7080</v>
      </c>
      <c r="E86" s="1">
        <v>15.85</v>
      </c>
      <c r="F86" s="1">
        <v>59.156378599999996</v>
      </c>
      <c r="G86" s="1">
        <v>0.75990311399999999</v>
      </c>
      <c r="H86" s="1">
        <v>221836.7856</v>
      </c>
      <c r="I86" s="1">
        <v>0.22183679000000001</v>
      </c>
      <c r="J86" s="1">
        <v>1</v>
      </c>
    </row>
    <row r="87" spans="1:10" x14ac:dyDescent="0.25">
      <c r="A87" s="1">
        <v>85</v>
      </c>
      <c r="B87" s="1" t="s">
        <v>165</v>
      </c>
      <c r="C87" s="1" t="s">
        <v>166</v>
      </c>
      <c r="D87" s="1">
        <v>4965</v>
      </c>
      <c r="E87" s="1">
        <v>14.03</v>
      </c>
      <c r="F87" s="1">
        <v>61.728395059999997</v>
      </c>
      <c r="G87" s="1">
        <v>0.81140819600000003</v>
      </c>
      <c r="H87" s="1">
        <v>124963.78569999999</v>
      </c>
      <c r="I87" s="1">
        <v>0.12496379000000001</v>
      </c>
      <c r="J87" s="1">
        <v>1</v>
      </c>
    </row>
    <row r="88" spans="1:10" x14ac:dyDescent="0.25">
      <c r="A88" s="1">
        <v>87</v>
      </c>
      <c r="B88" s="1" t="s">
        <v>169</v>
      </c>
      <c r="C88" s="1" t="s">
        <v>170</v>
      </c>
      <c r="D88" s="1">
        <v>4445</v>
      </c>
      <c r="E88" s="1">
        <v>14.3</v>
      </c>
      <c r="F88" s="1">
        <v>56.584362140000003</v>
      </c>
      <c r="G88" s="1">
        <v>0.82971465099999997</v>
      </c>
      <c r="H88" s="1">
        <v>102856.48</v>
      </c>
      <c r="I88" s="1">
        <v>0.10285648</v>
      </c>
      <c r="J88" s="1">
        <v>1</v>
      </c>
    </row>
    <row r="89" spans="1:10" x14ac:dyDescent="0.25">
      <c r="A89" s="1">
        <v>88</v>
      </c>
      <c r="B89" s="1" t="s">
        <v>171</v>
      </c>
      <c r="C89" s="1" t="s">
        <v>172</v>
      </c>
      <c r="D89" s="1">
        <v>1275</v>
      </c>
      <c r="E89" s="1">
        <v>11</v>
      </c>
      <c r="F89" s="1">
        <v>33.436213989999999</v>
      </c>
      <c r="G89" s="1">
        <v>0.77107938399999998</v>
      </c>
      <c r="H89" s="1">
        <v>26043.790730000001</v>
      </c>
      <c r="I89" s="1">
        <v>2.6043790000000001E-2</v>
      </c>
      <c r="J89" s="1">
        <v>1</v>
      </c>
    </row>
    <row r="90" spans="1:10" x14ac:dyDescent="0.25">
      <c r="A90" s="1">
        <v>89</v>
      </c>
      <c r="B90" s="1" t="s">
        <v>173</v>
      </c>
      <c r="C90" s="1" t="s">
        <v>174</v>
      </c>
      <c r="D90" s="1">
        <v>760</v>
      </c>
      <c r="E90" s="1">
        <v>10.199999999999999</v>
      </c>
      <c r="F90" s="1">
        <v>28.292181070000002</v>
      </c>
      <c r="G90" s="1">
        <v>0.76796819500000002</v>
      </c>
      <c r="H90" s="1">
        <v>12770.34303</v>
      </c>
      <c r="I90" s="1">
        <v>1.277034E-2</v>
      </c>
      <c r="J90" s="1">
        <v>1</v>
      </c>
    </row>
  </sheetData>
  <autoFilter ref="A1:J1" xr:uid="{00000000-0009-0000-0000-000003000000}"/>
  <pageMargins left="0.7" right="0.7" top="0.78740157499999996" bottom="0.78740157499999996" header="0.3" footer="0.3"/>
  <pageSetup paperSize="9" orientation="portrait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showGridLines="0" zoomScale="44" zoomScaleNormal="177" workbookViewId="0">
      <selection activeCell="AI4" sqref="AI4"/>
    </sheetView>
  </sheetViews>
  <sheetFormatPr baseColWidth="10" defaultRowHeight="15.75" x14ac:dyDescent="0.25"/>
  <sheetData/>
  <pageMargins left="0.7" right="0.7" top="0.78740157499999996" bottom="0.78740157499999996" header="0.3" footer="0.3"/>
  <pageSetup paperSize="9" orientation="portrait" horizontalDpi="0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3"/>
  <sheetViews>
    <sheetView workbookViewId="0">
      <selection activeCell="A2" sqref="A2"/>
    </sheetView>
  </sheetViews>
  <sheetFormatPr baseColWidth="10" defaultRowHeight="15.75" x14ac:dyDescent="0.25"/>
  <cols>
    <col min="1" max="1" width="6.375" customWidth="1"/>
    <col min="2" max="2" width="26.875" bestFit="1" customWidth="1"/>
    <col min="3" max="3" width="10.5" customWidth="1"/>
    <col min="4" max="4" width="8.125" customWidth="1"/>
    <col min="5" max="5" width="15.125" customWidth="1"/>
    <col min="6" max="6" width="13.375" customWidth="1"/>
    <col min="7" max="7" width="4.625" customWidth="1"/>
    <col min="8" max="8" width="12.125" customWidth="1"/>
    <col min="9" max="9" width="5" customWidth="1"/>
    <col min="10" max="10" width="10.125" customWidth="1"/>
    <col min="11" max="11" width="9.375" customWidth="1"/>
    <col min="12" max="12" width="21" customWidth="1"/>
    <col min="13" max="13" width="20.5" customWidth="1"/>
    <col min="14" max="14" width="16" customWidth="1"/>
    <col min="16" max="16" width="4.375" customWidth="1"/>
  </cols>
  <sheetData>
    <row r="1" spans="1:17" ht="18.75" x14ac:dyDescent="0.25">
      <c r="A1" s="8" t="s">
        <v>196</v>
      </c>
      <c r="B1" s="8" t="s">
        <v>1</v>
      </c>
      <c r="C1" s="8" t="s">
        <v>532</v>
      </c>
      <c r="D1" s="8" t="s">
        <v>535</v>
      </c>
      <c r="E1" s="8" t="s">
        <v>544</v>
      </c>
      <c r="F1" s="8" t="s">
        <v>533</v>
      </c>
      <c r="G1" s="9" t="s">
        <v>234</v>
      </c>
      <c r="H1" s="8" t="s">
        <v>534</v>
      </c>
      <c r="I1" s="9" t="s">
        <v>234</v>
      </c>
      <c r="J1" s="8" t="s">
        <v>536</v>
      </c>
      <c r="K1" s="8" t="s">
        <v>537</v>
      </c>
      <c r="L1" s="8" t="s">
        <v>545</v>
      </c>
      <c r="M1" s="8" t="s">
        <v>546</v>
      </c>
      <c r="N1" t="s">
        <v>547</v>
      </c>
      <c r="P1" t="s">
        <v>236</v>
      </c>
    </row>
    <row r="2" spans="1:17" ht="18.75" x14ac:dyDescent="0.25">
      <c r="A2" s="8">
        <v>1</v>
      </c>
      <c r="B2" s="8" t="s">
        <v>36</v>
      </c>
      <c r="C2" s="8">
        <f>VLOOKUP(B2,'Calculation Oswald-factor'!B:P,15,0)</f>
        <v>0.98081841220876398</v>
      </c>
      <c r="D2" s="8">
        <f>VLOOKUP(B2,'Calculation Oswald-factor'!B:N,13,0)</f>
        <v>0.96835850493498143</v>
      </c>
      <c r="E2" s="8">
        <f>VLOOKUP(B2,'Calculation Oswald-factor'!B:L,11,0)</f>
        <v>7.73</v>
      </c>
      <c r="F2" s="8">
        <v>1569.11</v>
      </c>
      <c r="G2" s="9" t="str">
        <f>P2</f>
        <v>[1]</v>
      </c>
      <c r="H2" s="8">
        <v>260</v>
      </c>
      <c r="I2" s="9" t="str">
        <f>$P$2</f>
        <v>[1]</v>
      </c>
      <c r="J2" s="8">
        <f t="shared" ref="J2:J13" si="0">0.003*(F2/H2)</f>
        <v>1.8105115384615383E-2</v>
      </c>
      <c r="K2" s="8">
        <f t="shared" ref="K2:K13" si="1">1/(C2*D2)</f>
        <v>1.0528711334418295</v>
      </c>
      <c r="L2" s="8">
        <f t="shared" ref="L2:L13" si="2">1/(K2+(0.38*J2*PI()*E2))</f>
        <v>0.81970760237249296</v>
      </c>
      <c r="M2" s="8">
        <f>VLOOKUP(B2,'Calculation Oswald-factor'!B:Q,16,0)</f>
        <v>0.82916130214926509</v>
      </c>
      <c r="N2" s="6">
        <f>((M2-L2)/M2)*100</f>
        <v>1.1401520732175077</v>
      </c>
      <c r="P2" t="s">
        <v>237</v>
      </c>
      <c r="Q2" s="7" t="s">
        <v>538</v>
      </c>
    </row>
    <row r="3" spans="1:17" ht="18.75" x14ac:dyDescent="0.25">
      <c r="A3" s="8">
        <v>2</v>
      </c>
      <c r="B3" s="8" t="s">
        <v>38</v>
      </c>
      <c r="C3" s="8">
        <f>VLOOKUP(B3,'Calculation Oswald-factor'!B:P,15,0)</f>
        <v>0.97890387027998238</v>
      </c>
      <c r="D3" s="8">
        <f>VLOOKUP(B3,'Calculation Oswald-factor'!B:N,13,0)</f>
        <v>0.96698896332003259</v>
      </c>
      <c r="E3" s="8">
        <f>VLOOKUP(B3,'Calculation Oswald-factor'!B:L,11,0)</f>
        <v>8.8000000000000007</v>
      </c>
      <c r="F3" s="8">
        <v>1342.81</v>
      </c>
      <c r="G3" s="9" t="str">
        <f>P2</f>
        <v>[1]</v>
      </c>
      <c r="H3" s="8">
        <v>219</v>
      </c>
      <c r="I3" s="9" t="str">
        <f t="shared" ref="I3:I13" si="3">$P$2</f>
        <v>[1]</v>
      </c>
      <c r="J3" s="8">
        <f t="shared" si="0"/>
        <v>1.8394657534246576E-2</v>
      </c>
      <c r="K3" s="8">
        <f t="shared" si="1"/>
        <v>1.0564244332216013</v>
      </c>
      <c r="L3" s="8">
        <f t="shared" si="2"/>
        <v>0.80021173771480258</v>
      </c>
      <c r="M3" s="8">
        <f>VLOOKUP(B3,'Calculation Oswald-factor'!B:Q,16,0)</f>
        <v>0.82637240539558288</v>
      </c>
      <c r="N3" s="6">
        <f t="shared" ref="N3:N13" si="4">((M3-L3)/M3)*100</f>
        <v>3.1657237717487954</v>
      </c>
    </row>
    <row r="4" spans="1:17" ht="18.75" x14ac:dyDescent="0.25">
      <c r="A4" s="8">
        <v>3</v>
      </c>
      <c r="B4" s="8" t="s">
        <v>63</v>
      </c>
      <c r="C4" s="8">
        <f>VLOOKUP(B4,'Calculation Oswald-factor'!B:P,15,0)</f>
        <v>0.97459470123428471</v>
      </c>
      <c r="D4" s="8">
        <f>VLOOKUP(B4,'Calculation Oswald-factor'!B:N,13,0)</f>
        <v>0.97565228925439285</v>
      </c>
      <c r="E4" s="8">
        <f>VLOOKUP(B4,'Calculation Oswald-factor'!B:L,11,0)</f>
        <v>12.816399999999998</v>
      </c>
      <c r="F4" s="8">
        <v>791.13</v>
      </c>
      <c r="G4" s="9" t="str">
        <f>P2</f>
        <v>[1]</v>
      </c>
      <c r="H4" s="8">
        <v>122.4</v>
      </c>
      <c r="I4" s="9" t="str">
        <f t="shared" si="3"/>
        <v>[1]</v>
      </c>
      <c r="J4" s="8">
        <f t="shared" si="0"/>
        <v>1.9390441176470586E-2</v>
      </c>
      <c r="K4" s="8">
        <f t="shared" si="1"/>
        <v>1.0516733922851458</v>
      </c>
      <c r="L4" s="8">
        <f t="shared" si="2"/>
        <v>0.74164572984086063</v>
      </c>
      <c r="M4" s="8">
        <f>VLOOKUP(B4,'Calculation Oswald-factor'!B:Q,16,0)</f>
        <v>0.91165557403687425</v>
      </c>
      <c r="N4" s="6">
        <f t="shared" si="4"/>
        <v>18.648473067871258</v>
      </c>
    </row>
    <row r="5" spans="1:17" ht="18.75" x14ac:dyDescent="0.25">
      <c r="A5" s="8">
        <v>4</v>
      </c>
      <c r="B5" s="8" t="s">
        <v>65</v>
      </c>
      <c r="C5" s="8">
        <f>VLOOKUP(B5,'Calculation Oswald-factor'!B:P,15,0)</f>
        <v>0.97715596731704313</v>
      </c>
      <c r="D5" s="8">
        <f>VLOOKUP(B5,'Calculation Oswald-factor'!B:N,13,0)</f>
        <v>0.97316414547518515</v>
      </c>
      <c r="E5" s="8">
        <f>VLOOKUP(B5,'Calculation Oswald-factor'!B:L,11,0)</f>
        <v>11.289417475728158</v>
      </c>
      <c r="F5" s="8">
        <v>874.15</v>
      </c>
      <c r="G5" s="9" t="str">
        <f>P2</f>
        <v>[1]</v>
      </c>
      <c r="H5" s="8">
        <v>122.4</v>
      </c>
      <c r="I5" s="9" t="str">
        <f t="shared" si="3"/>
        <v>[1]</v>
      </c>
      <c r="J5" s="8">
        <f t="shared" si="0"/>
        <v>2.1425245098039215E-2</v>
      </c>
      <c r="K5" s="8">
        <f t="shared" si="1"/>
        <v>1.0515986302195302</v>
      </c>
      <c r="L5" s="8">
        <f t="shared" si="2"/>
        <v>0.74607128923421917</v>
      </c>
      <c r="M5" s="8">
        <f>VLOOKUP(B5,'Calculation Oswald-factor'!B:Q,16,0)</f>
        <v>0.83016464163494952</v>
      </c>
      <c r="N5" s="6">
        <f t="shared" si="4"/>
        <v>10.129719839080902</v>
      </c>
    </row>
    <row r="6" spans="1:17" ht="18.75" x14ac:dyDescent="0.25">
      <c r="A6" s="8">
        <v>5</v>
      </c>
      <c r="B6" s="8" t="s">
        <v>11</v>
      </c>
      <c r="C6" s="8">
        <f>VLOOKUP(B6,'Calculation Oswald-factor'!B:P,15,0)</f>
        <v>0.98014862352666365</v>
      </c>
      <c r="D6" s="8">
        <f>VLOOKUP(B6,'Calculation Oswald-factor'!B:N,13,0)</f>
        <v>0.98250340338110442</v>
      </c>
      <c r="E6" s="8">
        <f>VLOOKUP(B6,'Calculation Oswald-factor'!B:L,11,0)</f>
        <v>9.26</v>
      </c>
      <c r="F6" s="8">
        <v>2033.09</v>
      </c>
      <c r="G6" s="9" t="str">
        <f>P2</f>
        <v>[1]</v>
      </c>
      <c r="H6" s="8">
        <v>363.1</v>
      </c>
      <c r="I6" s="9" t="str">
        <f t="shared" si="3"/>
        <v>[1]</v>
      </c>
      <c r="J6" s="8">
        <f t="shared" si="0"/>
        <v>1.6797769209584135E-2</v>
      </c>
      <c r="K6" s="8">
        <f t="shared" si="1"/>
        <v>1.0384222909825276</v>
      </c>
      <c r="L6" s="8">
        <f t="shared" si="2"/>
        <v>0.81691636486013652</v>
      </c>
      <c r="M6" s="8">
        <f>VLOOKUP(B6,'Calculation Oswald-factor'!B:Q,16,0)</f>
        <v>0.84069843991310189</v>
      </c>
      <c r="N6" s="6">
        <f t="shared" si="4"/>
        <v>2.8288472921900012</v>
      </c>
    </row>
    <row r="7" spans="1:17" ht="18.75" x14ac:dyDescent="0.25">
      <c r="A7" s="8">
        <v>6</v>
      </c>
      <c r="B7" s="8" t="s">
        <v>104</v>
      </c>
      <c r="C7" s="8">
        <f>VLOOKUP(B7,'Calculation Oswald-factor'!B:P,15,0)</f>
        <v>0.98169043184630078</v>
      </c>
      <c r="D7" s="8">
        <f>VLOOKUP(B7,'Calculation Oswald-factor'!B:N,13,0)</f>
        <v>0.96609909377613734</v>
      </c>
      <c r="E7" s="8">
        <f>VLOOKUP(B7,'Calculation Oswald-factor'!B:L,11,0)</f>
        <v>9.17</v>
      </c>
      <c r="F7" s="8">
        <v>645.85</v>
      </c>
      <c r="G7" s="9" t="str">
        <f>P2</f>
        <v>[1]</v>
      </c>
      <c r="H7" s="8">
        <v>105.4</v>
      </c>
      <c r="I7" s="9" t="str">
        <f t="shared" si="3"/>
        <v>[1]</v>
      </c>
      <c r="J7" s="8">
        <f t="shared" si="0"/>
        <v>1.8382827324478181E-2</v>
      </c>
      <c r="K7" s="8">
        <f t="shared" si="1"/>
        <v>1.0543960423823215</v>
      </c>
      <c r="L7" s="8">
        <f t="shared" si="2"/>
        <v>0.79640888721885128</v>
      </c>
      <c r="M7" s="8">
        <f>VLOOKUP(B7,'Calculation Oswald-factor'!B:Q,16,0)</f>
        <v>0.82796213653033823</v>
      </c>
      <c r="N7" s="6">
        <f t="shared" si="4"/>
        <v>3.8109531727760082</v>
      </c>
    </row>
    <row r="8" spans="1:17" ht="18.75" x14ac:dyDescent="0.25">
      <c r="A8" s="8">
        <v>7</v>
      </c>
      <c r="B8" s="8" t="s">
        <v>41</v>
      </c>
      <c r="C8" s="8">
        <f>VLOOKUP(B8,'Calculation Oswald-factor'!B:P,15,0)</f>
        <v>0.98422894501455538</v>
      </c>
      <c r="D8" s="8">
        <f>VLOOKUP(B8,'Calculation Oswald-factor'!B:N,13,0)</f>
        <v>0.98047026441797136</v>
      </c>
      <c r="E8" s="8">
        <f>VLOOKUP(B8,'Calculation Oswald-factor'!B:L,11,0)</f>
        <v>7.82</v>
      </c>
      <c r="F8" s="8">
        <v>1113.79</v>
      </c>
      <c r="G8" s="9" t="str">
        <f>P2</f>
        <v>[1]</v>
      </c>
      <c r="H8" s="8">
        <v>185.25</v>
      </c>
      <c r="I8" s="9" t="str">
        <f t="shared" si="3"/>
        <v>[1]</v>
      </c>
      <c r="J8" s="8">
        <f t="shared" si="0"/>
        <v>1.8037085020242916E-2</v>
      </c>
      <c r="K8" s="8">
        <f t="shared" si="1"/>
        <v>1.0362616833608271</v>
      </c>
      <c r="L8" s="8">
        <f t="shared" si="2"/>
        <v>0.83011806897600304</v>
      </c>
      <c r="M8" s="8">
        <f>VLOOKUP(B8,'Calculation Oswald-factor'!B:Q,16,0)</f>
        <v>0.84245129779252936</v>
      </c>
      <c r="N8" s="6">
        <f t="shared" si="4"/>
        <v>1.4639693533433937</v>
      </c>
    </row>
    <row r="9" spans="1:17" ht="18.75" x14ac:dyDescent="0.25">
      <c r="A9" s="8">
        <v>8</v>
      </c>
      <c r="B9" s="8" t="s">
        <v>47</v>
      </c>
      <c r="C9" s="8">
        <f>VLOOKUP(B9,'Calculation Oswald-factor'!B:P,15,0)</f>
        <v>0.98380614406253997</v>
      </c>
      <c r="D9" s="8">
        <f>VLOOKUP(B9,'Calculation Oswald-factor'!B:N,13,0)</f>
        <v>0.97763856536790383</v>
      </c>
      <c r="E9" s="8">
        <f>VLOOKUP(B9,'Calculation Oswald-factor'!B:L,11,0)</f>
        <v>7.99</v>
      </c>
      <c r="F9" s="8">
        <v>1580.69</v>
      </c>
      <c r="G9" s="9" t="str">
        <f>P2</f>
        <v>[1]</v>
      </c>
      <c r="H9" s="8">
        <v>283.3</v>
      </c>
      <c r="I9" s="9" t="str">
        <f t="shared" si="3"/>
        <v>[1]</v>
      </c>
      <c r="J9" s="8">
        <f t="shared" si="0"/>
        <v>1.6738686904341687E-2</v>
      </c>
      <c r="K9" s="8">
        <f t="shared" si="1"/>
        <v>1.0397098166026988</v>
      </c>
      <c r="L9" s="8">
        <f t="shared" si="2"/>
        <v>0.83376978253022926</v>
      </c>
      <c r="M9" s="8">
        <f>VLOOKUP(B9,'Calculation Oswald-factor'!B:Q,16,0)</f>
        <v>0.83965736021668913</v>
      </c>
      <c r="N9" s="6">
        <f t="shared" si="4"/>
        <v>0.70118812332455083</v>
      </c>
    </row>
    <row r="10" spans="1:17" ht="18.75" x14ac:dyDescent="0.25">
      <c r="A10" s="8">
        <v>9</v>
      </c>
      <c r="B10" s="8" t="s">
        <v>136</v>
      </c>
      <c r="C10" s="8">
        <f>VLOOKUP(B10,'Calculation Oswald-factor'!B:P,15,0)</f>
        <v>0.98451264389048543</v>
      </c>
      <c r="D10" s="8">
        <f>VLOOKUP(B10,'Calculation Oswald-factor'!B:N,13,0)</f>
        <v>0.9723695849993873</v>
      </c>
      <c r="E10" s="8">
        <f>VLOOKUP(B10,'Calculation Oswald-factor'!B:L,11,0)</f>
        <v>8.4306072299465242</v>
      </c>
      <c r="F10" s="8">
        <v>581.47</v>
      </c>
      <c r="G10" s="9" t="str">
        <f>P2</f>
        <v>[1]</v>
      </c>
      <c r="H10" s="8">
        <v>93.5</v>
      </c>
      <c r="I10" s="9" t="str">
        <f t="shared" si="3"/>
        <v>[1]</v>
      </c>
      <c r="J10" s="8">
        <f t="shared" si="0"/>
        <v>1.8656791443850271E-2</v>
      </c>
      <c r="K10" s="8">
        <f t="shared" si="1"/>
        <v>1.0445935405473994</v>
      </c>
      <c r="L10" s="8">
        <f t="shared" si="2"/>
        <v>0.81144799223610797</v>
      </c>
      <c r="M10" s="8">
        <f>VLOOKUP(B10,'Calculation Oswald-factor'!B:Q,16,0)</f>
        <v>0.8357317617937029</v>
      </c>
      <c r="N10" s="6">
        <f t="shared" si="4"/>
        <v>2.9056894410086187</v>
      </c>
    </row>
    <row r="11" spans="1:17" ht="18.75" x14ac:dyDescent="0.25">
      <c r="A11" s="8">
        <v>10</v>
      </c>
      <c r="B11" s="8" t="s">
        <v>57</v>
      </c>
      <c r="C11" s="8">
        <f>VLOOKUP(B11,'Calculation Oswald-factor'!B:P,15,0)</f>
        <v>0.98146876049327381</v>
      </c>
      <c r="D11" s="8">
        <f>VLOOKUP(B11,'Calculation Oswald-factor'!B:N,13,0)</f>
        <v>0.97334203074263659</v>
      </c>
      <c r="E11" s="8">
        <f>VLOOKUP(B11,'Calculation Oswald-factor'!B:L,11,0)</f>
        <v>7.91</v>
      </c>
      <c r="F11" s="8">
        <v>2051.8000000000002</v>
      </c>
      <c r="G11" s="9" t="str">
        <f>P2</f>
        <v>[1]</v>
      </c>
      <c r="H11" s="8">
        <v>338.9</v>
      </c>
      <c r="I11" s="9" t="str">
        <f t="shared" si="3"/>
        <v>[1]</v>
      </c>
      <c r="J11" s="8">
        <f t="shared" si="0"/>
        <v>1.8162879905576867E-2</v>
      </c>
      <c r="K11" s="8">
        <f t="shared" si="1"/>
        <v>1.0467863280045882</v>
      </c>
      <c r="L11" s="8">
        <f t="shared" si="2"/>
        <v>0.8208169768016742</v>
      </c>
      <c r="M11" s="8">
        <f>VLOOKUP(B11,'Calculation Oswald-factor'!B:Q,16,0)</f>
        <v>0.8783313637113529</v>
      </c>
      <c r="N11" s="6">
        <f t="shared" si="4"/>
        <v>6.5481422258057629</v>
      </c>
    </row>
    <row r="12" spans="1:17" ht="18.75" x14ac:dyDescent="0.25">
      <c r="A12" s="8">
        <v>11</v>
      </c>
      <c r="B12" s="8" t="s">
        <v>86</v>
      </c>
      <c r="C12" s="8">
        <f>VLOOKUP(B12,'Calculation Oswald-factor'!B:P,15,0)</f>
        <v>0.98226399695779787</v>
      </c>
      <c r="D12" s="8">
        <f>VLOOKUP(B12,'Calculation Oswald-factor'!B:N,13,0)</f>
        <v>0.97920069315578162</v>
      </c>
      <c r="E12" s="8">
        <f>VLOOKUP(B12,'Calculation Oswald-factor'!B:L,11,0)</f>
        <v>9.6199999999999992</v>
      </c>
      <c r="F12" s="8">
        <v>742.27</v>
      </c>
      <c r="G12" s="9" t="str">
        <f>P2</f>
        <v>[1]</v>
      </c>
      <c r="H12" s="8">
        <v>112.3</v>
      </c>
      <c r="I12" s="9" t="str">
        <f t="shared" si="3"/>
        <v>[1]</v>
      </c>
      <c r="J12" s="8">
        <f t="shared" si="0"/>
        <v>1.9829118432769369E-2</v>
      </c>
      <c r="K12" s="8">
        <f t="shared" si="1"/>
        <v>1.0396808905879191</v>
      </c>
      <c r="L12" s="8">
        <f t="shared" si="2"/>
        <v>0.78901281391710254</v>
      </c>
      <c r="M12" s="8">
        <f>VLOOKUP(B12,'Calculation Oswald-factor'!B:Q,16,0)</f>
        <v>0.8396807211742976</v>
      </c>
      <c r="N12" s="6">
        <f t="shared" si="4"/>
        <v>6.0341872785093527</v>
      </c>
    </row>
    <row r="13" spans="1:17" ht="18.75" x14ac:dyDescent="0.25">
      <c r="A13" s="8">
        <v>12</v>
      </c>
      <c r="B13" s="8" t="s">
        <v>90</v>
      </c>
      <c r="C13" s="8">
        <f>VLOOKUP(B13,'Calculation Oswald-factor'!B:P,15,0)</f>
        <v>0.98226399695779787</v>
      </c>
      <c r="D13" s="8">
        <f>VLOOKUP(B13,'Calculation Oswald-factor'!B:N,13,0)</f>
        <v>0.9792259964464376</v>
      </c>
      <c r="E13" s="8">
        <f>VLOOKUP(B13,'Calculation Oswald-factor'!B:L,11,0)</f>
        <v>9.6199999999999992</v>
      </c>
      <c r="F13" s="8">
        <v>818.79</v>
      </c>
      <c r="G13" s="9" t="str">
        <f>P2</f>
        <v>[1]</v>
      </c>
      <c r="H13" s="8">
        <v>112.3</v>
      </c>
      <c r="I13" s="9" t="str">
        <f t="shared" si="3"/>
        <v>[1]</v>
      </c>
      <c r="J13" s="8">
        <f t="shared" si="0"/>
        <v>2.187328584149599E-2</v>
      </c>
      <c r="K13" s="8">
        <f t="shared" si="1"/>
        <v>1.0396540251371862</v>
      </c>
      <c r="L13" s="8">
        <f t="shared" si="2"/>
        <v>0.77467991388021662</v>
      </c>
      <c r="M13" s="8">
        <f>VLOOKUP(B13,'Calculation Oswald-factor'!B:Q,16,0)</f>
        <v>0.83970241916276378</v>
      </c>
      <c r="N13" s="6">
        <f t="shared" si="4"/>
        <v>7.7435176794391865</v>
      </c>
    </row>
  </sheetData>
  <autoFilter ref="A1:N1" xr:uid="{00000000-0009-0000-0000-000005000000}"/>
  <hyperlinks>
    <hyperlink ref="Q2" r:id="rId1" xr:uid="{00000000-0004-0000-0500-000000000000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1"/>
  <sheetViews>
    <sheetView workbookViewId="0">
      <selection activeCell="A20" sqref="A20"/>
    </sheetView>
  </sheetViews>
  <sheetFormatPr baseColWidth="10" defaultRowHeight="15" x14ac:dyDescent="0.25"/>
  <cols>
    <col min="1" max="16384" width="11" style="14"/>
  </cols>
  <sheetData>
    <row r="1" spans="1:7" x14ac:dyDescent="0.25">
      <c r="A1" s="12" t="s">
        <v>575</v>
      </c>
      <c r="B1" s="13"/>
      <c r="C1" s="13"/>
      <c r="D1" s="13"/>
      <c r="E1" s="13"/>
      <c r="F1" s="13"/>
      <c r="G1" s="13"/>
    </row>
    <row r="2" spans="1:7" x14ac:dyDescent="0.25">
      <c r="A2" s="12" t="s">
        <v>571</v>
      </c>
      <c r="B2" s="13"/>
      <c r="C2" s="13"/>
      <c r="D2" s="13"/>
      <c r="E2" s="13"/>
      <c r="F2" s="13"/>
      <c r="G2" s="13"/>
    </row>
    <row r="3" spans="1:7" x14ac:dyDescent="0.25">
      <c r="A3" s="13"/>
      <c r="B3" s="13"/>
      <c r="C3" s="13"/>
      <c r="D3" s="13"/>
      <c r="E3" s="13"/>
      <c r="F3" s="13"/>
      <c r="G3" s="13"/>
    </row>
    <row r="4" spans="1:7" x14ac:dyDescent="0.25">
      <c r="A4" s="13"/>
      <c r="B4" s="13"/>
      <c r="C4" s="13"/>
      <c r="D4" s="13"/>
      <c r="E4" s="13"/>
      <c r="F4" s="13"/>
      <c r="G4" s="13"/>
    </row>
    <row r="5" spans="1:7" x14ac:dyDescent="0.25">
      <c r="A5" s="13"/>
      <c r="B5" s="13"/>
      <c r="C5" s="13"/>
      <c r="D5" s="13"/>
      <c r="E5" s="13"/>
      <c r="F5" s="13"/>
      <c r="G5" s="13"/>
    </row>
    <row r="6" spans="1:7" x14ac:dyDescent="0.25">
      <c r="A6" s="13"/>
      <c r="B6" s="13"/>
      <c r="C6" s="13"/>
      <c r="D6" s="13"/>
      <c r="E6" s="13"/>
      <c r="F6" s="13"/>
      <c r="G6" s="13"/>
    </row>
    <row r="7" spans="1:7" x14ac:dyDescent="0.25">
      <c r="A7" s="13"/>
      <c r="B7" s="13"/>
      <c r="C7" s="13"/>
      <c r="D7" s="13"/>
      <c r="E7" s="13"/>
      <c r="F7" s="13"/>
      <c r="G7" s="13"/>
    </row>
    <row r="8" spans="1:7" x14ac:dyDescent="0.25">
      <c r="A8" s="13"/>
      <c r="B8" s="13"/>
      <c r="C8" s="13"/>
      <c r="D8" s="13"/>
      <c r="E8" s="13"/>
      <c r="F8" s="13"/>
      <c r="G8" s="13"/>
    </row>
    <row r="9" spans="1:7" ht="15.75" x14ac:dyDescent="0.3">
      <c r="A9" s="15" t="s">
        <v>573</v>
      </c>
      <c r="B9" s="13"/>
      <c r="C9" s="13"/>
      <c r="D9" s="13"/>
      <c r="E9" s="13"/>
      <c r="F9" s="13"/>
      <c r="G9" s="13"/>
    </row>
    <row r="10" spans="1:7" ht="15.75" x14ac:dyDescent="0.3">
      <c r="A10" s="16" t="s">
        <v>572</v>
      </c>
      <c r="B10" s="13"/>
      <c r="C10" s="13"/>
      <c r="D10" s="13"/>
      <c r="E10" s="13"/>
      <c r="F10" s="13"/>
      <c r="G10" s="13"/>
    </row>
    <row r="11" spans="1:7" ht="15.75" x14ac:dyDescent="0.3">
      <c r="A11" s="15"/>
      <c r="B11" s="13"/>
      <c r="C11" s="13"/>
      <c r="D11" s="13"/>
      <c r="E11" s="13"/>
      <c r="F11" s="13"/>
      <c r="G11" s="13"/>
    </row>
    <row r="12" spans="1:7" ht="15.75" x14ac:dyDescent="0.3">
      <c r="A12" s="15" t="s">
        <v>564</v>
      </c>
      <c r="B12" s="13"/>
      <c r="C12" s="13"/>
      <c r="D12" s="13"/>
      <c r="E12" s="13"/>
      <c r="F12" s="13"/>
      <c r="G12" s="13"/>
    </row>
    <row r="13" spans="1:7" ht="15.75" x14ac:dyDescent="0.3">
      <c r="A13" s="15" t="s">
        <v>565</v>
      </c>
      <c r="B13" s="13"/>
      <c r="C13" s="13"/>
      <c r="D13" s="13"/>
      <c r="E13" s="13"/>
      <c r="F13" s="13"/>
      <c r="G13" s="13"/>
    </row>
    <row r="14" spans="1:7" ht="15.75" x14ac:dyDescent="0.3">
      <c r="A14" s="15" t="s">
        <v>566</v>
      </c>
      <c r="B14" s="13"/>
      <c r="C14" s="13"/>
      <c r="D14" s="13"/>
      <c r="E14" s="13"/>
      <c r="F14" s="13"/>
      <c r="G14" s="13"/>
    </row>
    <row r="15" spans="1:7" ht="15.75" x14ac:dyDescent="0.3">
      <c r="A15" s="15"/>
      <c r="B15" s="13"/>
      <c r="C15" s="13"/>
      <c r="D15" s="13"/>
      <c r="E15" s="13"/>
      <c r="F15" s="13"/>
      <c r="G15" s="13"/>
    </row>
    <row r="16" spans="1:7" ht="15.75" x14ac:dyDescent="0.3">
      <c r="A16" s="15" t="s">
        <v>567</v>
      </c>
      <c r="B16" s="13"/>
      <c r="C16" s="13"/>
      <c r="D16" s="13"/>
      <c r="E16" s="13"/>
      <c r="F16" s="13"/>
      <c r="G16" s="13"/>
    </row>
    <row r="17" spans="1:7" ht="15.75" x14ac:dyDescent="0.3">
      <c r="A17" s="15" t="s">
        <v>568</v>
      </c>
      <c r="B17" s="13"/>
      <c r="C17" s="13"/>
      <c r="D17" s="13"/>
      <c r="E17" s="13"/>
      <c r="F17" s="13"/>
      <c r="G17" s="13"/>
    </row>
    <row r="18" spans="1:7" ht="15.75" x14ac:dyDescent="0.3">
      <c r="A18" s="15" t="s">
        <v>569</v>
      </c>
      <c r="B18" s="13"/>
      <c r="C18" s="13"/>
      <c r="D18" s="13"/>
      <c r="E18" s="13"/>
      <c r="F18" s="13"/>
      <c r="G18" s="13"/>
    </row>
    <row r="19" spans="1:7" ht="15.75" x14ac:dyDescent="0.3">
      <c r="A19" s="15" t="s">
        <v>570</v>
      </c>
      <c r="B19" s="13"/>
      <c r="C19" s="13"/>
      <c r="D19" s="13"/>
      <c r="E19" s="13"/>
      <c r="F19" s="13"/>
      <c r="G19" s="13"/>
    </row>
    <row r="20" spans="1:7" x14ac:dyDescent="0.25">
      <c r="A20" s="13"/>
      <c r="B20" s="13"/>
      <c r="C20" s="13"/>
      <c r="D20" s="13"/>
      <c r="E20" s="13"/>
      <c r="F20" s="13"/>
      <c r="G20" s="13"/>
    </row>
    <row r="21" spans="1:7" ht="15.75" x14ac:dyDescent="0.25">
      <c r="A21" s="17" t="s">
        <v>574</v>
      </c>
      <c r="B21" s="13"/>
      <c r="C21" s="13"/>
      <c r="D21" s="13"/>
      <c r="E21" s="13"/>
      <c r="F21" s="13"/>
      <c r="G21" s="13"/>
    </row>
  </sheetData>
  <hyperlinks>
    <hyperlink ref="A21" r:id="rId1" xr:uid="{00000000-0004-0000-0600-000000000000}"/>
  </hyperlinks>
  <pageMargins left="0.7" right="0.7" top="0.78740157499999996" bottom="0.78740157499999996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Calculation P</vt:lpstr>
      <vt:lpstr>Calculation Oswald-factor</vt:lpstr>
      <vt:lpstr>Evaluation</vt:lpstr>
      <vt:lpstr>Sorted</vt:lpstr>
      <vt:lpstr>Diagrams</vt:lpstr>
      <vt:lpstr>Oswald-factor Method 2</vt:lpstr>
      <vt:lpstr>(c)</vt:lpstr>
      <vt:lpstr>Diagrams!Druckbereich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Comparing Aircraft Wake Turbulence Categories with Induced Power Calculation 　</dc:title>
  <dc:creator>Dennis CAMILO</dc:creator>
  <cp:lastModifiedBy>Scholz, Dieter</cp:lastModifiedBy>
  <dcterms:created xsi:type="dcterms:W3CDTF">2022-07-06T19:40:10Z</dcterms:created>
  <dcterms:modified xsi:type="dcterms:W3CDTF">2025-03-31T18:00:40Z</dcterms:modified>
</cp:coreProperties>
</file>