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charts/colors39.xml" ContentType="application/vnd.ms-office.chartcolorsty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harts/style38.xml" ContentType="application/vnd.ms-office.chartstyle+xml"/>
  <Override PartName="/xl/charts/colors37.xml" ContentType="application/vnd.ms-office.chartcolorstyle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style36.xml" ContentType="application/vnd.ms-office.chartstyle+xml"/>
  <Override PartName="/xl/charts/colors35.xml" ContentType="application/vnd.ms-office.chartcolorstyle+xml"/>
  <Override PartName="/xl/charts/style4.xml" ContentType="application/vnd.ms-office.chartstyle+xml"/>
  <Default Extension="rels" ContentType="application/vnd.openxmlformats-package.relationships+xml"/>
  <Default Extension="wmf" ContentType="image/x-wmf"/>
  <Default Extension="xml" ContentType="application/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harts/style34.xml" ContentType="application/vnd.ms-office.chartstyle+xml"/>
  <Override PartName="/xl/charts/colors33.xml" ContentType="application/vnd.ms-office.chartcolorstyle+xml"/>
  <Override PartName="/xl/charts/colors42.xml" ContentType="application/vnd.ms-office.chartcolorstyle+xml"/>
  <Override PartName="/xl/charts/style43.xml" ContentType="application/vnd.ms-office.chartstyl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olors40.xml" ContentType="application/vnd.ms-office.chartcolorstyle+xml"/>
  <Override PartName="/xl/charts/style40.xml" ContentType="application/vnd.ms-office.chartstyle+xml"/>
  <Override PartName="/xl/charts/style41.xml" ContentType="application/vnd.ms-office.chartstyl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charts/colors5.xml" ContentType="application/vnd.ms-office.chartcolorstyle+xml"/>
  <Override PartName="/xl/charts/colors4.xml" ContentType="application/vnd.ms-office.chartcolorstyle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/chart1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colors38.xml" ContentType="application/vnd.ms-office.chartcolorstyle+xml"/>
  <Override PartName="/xl/charts/style39.xml" ContentType="application/vnd.ms-office.chartstyle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olors36.xml" ContentType="application/vnd.ms-office.chartcolorstyle+xml"/>
  <Override PartName="/xl/charts/style37.xml" ContentType="application/vnd.ms-office.chartstyle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charts/colors34.xml" ContentType="application/vnd.ms-office.chartcolorstyle+xml"/>
  <Override PartName="/xl/charts/style35.xml" ContentType="application/vnd.ms-office.chartstyle+xml"/>
  <Override PartName="/xl/charts/style5.xml" ContentType="application/vnd.ms-office.chartstyle+xml"/>
  <Override PartName="/xl/charts/colors43.xml" ContentType="application/vnd.ms-office.chartcolorstyle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33.xml" ContentType="application/vnd.ms-office.chartstyle+xml"/>
  <Override PartName="/xl/charts/style42.xml" ContentType="application/vnd.ms-office.chartstyle+xml"/>
  <Override PartName="/xl/charts/colors41.xml" ContentType="application/vnd.ms-office.chartcolorstyle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5360" windowHeight="6930" tabRatio="621"/>
  </bookViews>
  <sheets>
    <sheet name="Gesamtuebersicht" sheetId="14" r:id="rId1"/>
    <sheet name="AEA Methode" sheetId="1" r:id="rId2"/>
    <sheet name="Jenkinson Methode" sheetId="3" r:id="rId3"/>
    <sheet name="TUB Methode" sheetId="5" r:id="rId4"/>
    <sheet name="Flugzeugdaten" sheetId="6" r:id="rId5"/>
    <sheet name="Flugzeugwertvergleich" sheetId="18" r:id="rId6"/>
    <sheet name="Inflationsrate" sheetId="4" r:id="rId7"/>
    <sheet name="(c)" sheetId="20" r:id="rId8"/>
    <sheet name="AEA Auswertung" sheetId="9" state="hidden" r:id="rId9"/>
    <sheet name="Jenkinson Auswertung" sheetId="10" state="hidden" r:id="rId10"/>
    <sheet name="TUB Auswertung" sheetId="13" state="hidden" r:id="rId11"/>
  </sheets>
  <calcPr calcId="125725"/>
  <extLs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B4" i="18"/>
  <c r="D4"/>
  <c r="E4"/>
  <c r="F4"/>
  <c r="G4"/>
  <c r="H4"/>
  <c r="I4"/>
  <c r="J4"/>
  <c r="K4"/>
  <c r="C4"/>
  <c r="C3" l="1"/>
  <c r="D3"/>
  <c r="E3"/>
  <c r="F3"/>
  <c r="G3"/>
  <c r="H3"/>
  <c r="I3"/>
  <c r="J3"/>
  <c r="K3"/>
  <c r="B3"/>
  <c r="K61" i="4" l="1"/>
  <c r="B54" i="6" l="1"/>
  <c r="B53"/>
  <c r="B52"/>
  <c r="B51"/>
  <c r="C54"/>
  <c r="C51" s="1"/>
  <c r="B50" l="1"/>
  <c r="B49" s="1"/>
  <c r="C53"/>
  <c r="C52"/>
  <c r="C50" s="1"/>
  <c r="C49" s="1"/>
  <c r="E82" i="14"/>
  <c r="E88" s="1"/>
  <c r="F82"/>
  <c r="F88" s="1"/>
  <c r="G82"/>
  <c r="G88" s="1"/>
  <c r="H82"/>
  <c r="H88" s="1"/>
  <c r="I82"/>
  <c r="I88" s="1"/>
  <c r="J82"/>
  <c r="J88" s="1"/>
  <c r="K82"/>
  <c r="K88" s="1"/>
  <c r="L82"/>
  <c r="L88" s="1"/>
  <c r="M82"/>
  <c r="M88" s="1"/>
  <c r="D82"/>
  <c r="D88" s="1"/>
  <c r="H98" l="1"/>
  <c r="G98"/>
  <c r="F98"/>
  <c r="E98"/>
  <c r="D98"/>
  <c r="M98"/>
  <c r="L98"/>
  <c r="K98"/>
  <c r="J98"/>
  <c r="C35" i="6"/>
  <c r="E116" i="14" s="1"/>
  <c r="E117" s="1"/>
  <c r="D35" i="6"/>
  <c r="F116" i="14" s="1"/>
  <c r="F117" s="1"/>
  <c r="E35" i="6"/>
  <c r="G116" i="14" s="1"/>
  <c r="G117" s="1"/>
  <c r="F35" i="6"/>
  <c r="H116" i="14" s="1"/>
  <c r="H117" s="1"/>
  <c r="G35" i="6"/>
  <c r="I116" i="14" s="1"/>
  <c r="I117" s="1"/>
  <c r="H35" i="6"/>
  <c r="J116" i="14" s="1"/>
  <c r="J117" s="1"/>
  <c r="I35" i="6"/>
  <c r="K116" i="14" s="1"/>
  <c r="K117" s="1"/>
  <c r="J35" i="6"/>
  <c r="L116" i="14" s="1"/>
  <c r="L117" s="1"/>
  <c r="K35" i="6"/>
  <c r="M116" i="14" s="1"/>
  <c r="M117" s="1"/>
  <c r="B35" i="6"/>
  <c r="D116" i="14" s="1"/>
  <c r="D117" s="1"/>
  <c r="E65"/>
  <c r="E66" s="1"/>
  <c r="F65"/>
  <c r="G65"/>
  <c r="H65"/>
  <c r="H66" s="1"/>
  <c r="I65"/>
  <c r="I66" s="1"/>
  <c r="J65"/>
  <c r="J66" s="1"/>
  <c r="K65"/>
  <c r="K66" s="1"/>
  <c r="L65"/>
  <c r="L66" s="1"/>
  <c r="M65"/>
  <c r="M66" s="1"/>
  <c r="F66"/>
  <c r="G66"/>
  <c r="D65"/>
  <c r="E113"/>
  <c r="F113"/>
  <c r="G113"/>
  <c r="H113"/>
  <c r="I113"/>
  <c r="J113"/>
  <c r="K113"/>
  <c r="L113"/>
  <c r="M113"/>
  <c r="K108"/>
  <c r="L108"/>
  <c r="M108"/>
  <c r="J108"/>
  <c r="H108"/>
  <c r="E108"/>
  <c r="F108"/>
  <c r="G108"/>
  <c r="I108"/>
  <c r="D108"/>
  <c r="D93" l="1"/>
  <c r="D111" s="1"/>
  <c r="E93"/>
  <c r="E111" s="1"/>
  <c r="F93"/>
  <c r="F111" s="1"/>
  <c r="G93"/>
  <c r="G111" s="1"/>
  <c r="H93"/>
  <c r="H111" s="1"/>
  <c r="I93"/>
  <c r="I111" s="1"/>
  <c r="J93"/>
  <c r="J111" s="1"/>
  <c r="K93"/>
  <c r="K111" s="1"/>
  <c r="L93"/>
  <c r="L111" s="1"/>
  <c r="M93"/>
  <c r="M111" s="1"/>
  <c r="E91"/>
  <c r="F91"/>
  <c r="G91"/>
  <c r="H91"/>
  <c r="I91"/>
  <c r="J91"/>
  <c r="K91"/>
  <c r="L91"/>
  <c r="M91"/>
  <c r="E94"/>
  <c r="E112" s="1"/>
  <c r="F94"/>
  <c r="F112" s="1"/>
  <c r="G94"/>
  <c r="G112" s="1"/>
  <c r="H94"/>
  <c r="H112" s="1"/>
  <c r="I94"/>
  <c r="I112" s="1"/>
  <c r="J94"/>
  <c r="J112" s="1"/>
  <c r="K94"/>
  <c r="K112" s="1"/>
  <c r="L94"/>
  <c r="L112" s="1"/>
  <c r="M94"/>
  <c r="M112" s="1"/>
  <c r="E95"/>
  <c r="F95"/>
  <c r="G95"/>
  <c r="H95"/>
  <c r="I95"/>
  <c r="J95"/>
  <c r="K95"/>
  <c r="L95"/>
  <c r="M95"/>
  <c r="D94"/>
  <c r="D112" s="1"/>
  <c r="D91"/>
  <c r="E96" l="1"/>
  <c r="J96"/>
  <c r="F96"/>
  <c r="M114"/>
  <c r="M115"/>
  <c r="I114"/>
  <c r="I115"/>
  <c r="E114"/>
  <c r="E115"/>
  <c r="F114"/>
  <c r="F115"/>
  <c r="L115"/>
  <c r="L114"/>
  <c r="H115"/>
  <c r="H114"/>
  <c r="J114"/>
  <c r="J115"/>
  <c r="K92"/>
  <c r="G92"/>
  <c r="F92"/>
  <c r="K114"/>
  <c r="K115"/>
  <c r="G114"/>
  <c r="G115"/>
  <c r="J92"/>
  <c r="M96"/>
  <c r="I96"/>
  <c r="H92"/>
  <c r="L92"/>
  <c r="E92"/>
  <c r="M92"/>
  <c r="I92"/>
  <c r="L96"/>
  <c r="H96"/>
  <c r="K96"/>
  <c r="G96"/>
  <c r="G86"/>
  <c r="I86"/>
  <c r="M86"/>
  <c r="C32" i="6"/>
  <c r="D32"/>
  <c r="E32"/>
  <c r="F32"/>
  <c r="G32"/>
  <c r="H32"/>
  <c r="I32"/>
  <c r="J32"/>
  <c r="K32"/>
  <c r="B32"/>
  <c r="E90" i="14"/>
  <c r="E89" s="1"/>
  <c r="F90"/>
  <c r="F89" s="1"/>
  <c r="G90"/>
  <c r="G89" s="1"/>
  <c r="H90"/>
  <c r="H89" s="1"/>
  <c r="I90"/>
  <c r="I89" s="1"/>
  <c r="J90"/>
  <c r="J89" s="1"/>
  <c r="K90"/>
  <c r="K89" s="1"/>
  <c r="L90"/>
  <c r="L89" s="1"/>
  <c r="M90"/>
  <c r="M89" s="1"/>
  <c r="D90"/>
  <c r="D89" s="1"/>
  <c r="D66" l="1"/>
  <c r="F12" i="6" l="1"/>
  <c r="C12"/>
  <c r="E18" i="14" s="1"/>
  <c r="D12" i="6"/>
  <c r="F18" i="14" s="1"/>
  <c r="E12" i="6"/>
  <c r="B12"/>
  <c r="I12"/>
  <c r="K18" i="14" s="1"/>
  <c r="J12" i="6"/>
  <c r="L18" i="14" s="1"/>
  <c r="K12" i="6"/>
  <c r="H12"/>
  <c r="J18" i="14"/>
  <c r="G18"/>
  <c r="H18"/>
  <c r="I18"/>
  <c r="M18"/>
  <c r="D18"/>
  <c r="J3"/>
  <c r="M33"/>
  <c r="M34"/>
  <c r="M36"/>
  <c r="M35" s="1"/>
  <c r="M109" s="1"/>
  <c r="M48"/>
  <c r="M50"/>
  <c r="M58" s="1"/>
  <c r="M10"/>
  <c r="M9" s="1"/>
  <c r="M5" s="1"/>
  <c r="M13"/>
  <c r="M14"/>
  <c r="M15"/>
  <c r="M37" l="1"/>
  <c r="M7"/>
  <c r="M55"/>
  <c r="M32"/>
  <c r="M8"/>
  <c r="M22" s="1"/>
  <c r="G10"/>
  <c r="E10"/>
  <c r="F10"/>
  <c r="H10"/>
  <c r="I10"/>
  <c r="J10"/>
  <c r="K10"/>
  <c r="L10"/>
  <c r="D10"/>
  <c r="F6" i="4"/>
  <c r="E5"/>
  <c r="D5"/>
  <c r="D6"/>
  <c r="B6"/>
  <c r="C6"/>
  <c r="G6"/>
  <c r="H6"/>
  <c r="I6"/>
  <c r="J6"/>
  <c r="K6"/>
  <c r="L6"/>
  <c r="M6"/>
  <c r="N6"/>
  <c r="O6"/>
  <c r="P6"/>
  <c r="Q6"/>
  <c r="R6"/>
  <c r="S6"/>
  <c r="T6"/>
  <c r="U6"/>
  <c r="V6"/>
  <c r="W6"/>
  <c r="X6"/>
  <c r="Y6"/>
  <c r="Z6"/>
  <c r="AA6"/>
  <c r="AB6"/>
  <c r="AC6"/>
  <c r="AD6"/>
  <c r="AE6"/>
  <c r="AF6"/>
  <c r="AG6"/>
  <c r="AH6"/>
  <c r="AI6"/>
  <c r="AJ6"/>
  <c r="AK6"/>
  <c r="AL6"/>
  <c r="AM6"/>
  <c r="AN6"/>
  <c r="AO6"/>
  <c r="AP6"/>
  <c r="AQ6"/>
  <c r="AR6"/>
  <c r="AS6"/>
  <c r="AT6"/>
  <c r="AU6"/>
  <c r="AV6"/>
  <c r="AW6"/>
  <c r="AX6"/>
  <c r="AY6"/>
  <c r="AZ6"/>
  <c r="BA6"/>
  <c r="BB6"/>
  <c r="BC6"/>
  <c r="BD6"/>
  <c r="BE6"/>
  <c r="BF6"/>
  <c r="BG6"/>
  <c r="BH6"/>
  <c r="BI6"/>
  <c r="BJ6"/>
  <c r="A6"/>
  <c r="C16" l="1"/>
  <c r="C17"/>
  <c r="C20"/>
  <c r="H37" s="1"/>
  <c r="H36" s="1"/>
  <c r="C15"/>
  <c r="D49" s="1"/>
  <c r="D48" s="1"/>
  <c r="H14" i="6" s="1"/>
  <c r="J86" i="14" s="1"/>
  <c r="C19" i="4"/>
  <c r="H31" s="1"/>
  <c r="H30" s="1"/>
  <c r="C18"/>
  <c r="H25" s="1"/>
  <c r="H24" s="1"/>
  <c r="C13"/>
  <c r="D61"/>
  <c r="D60" s="1"/>
  <c r="C14"/>
  <c r="D43" s="1"/>
  <c r="D42" s="1"/>
  <c r="F14" i="6" s="1"/>
  <c r="H86" i="14" s="1"/>
  <c r="C12" i="4"/>
  <c r="D25" s="1"/>
  <c r="D24" s="1"/>
  <c r="D55"/>
  <c r="D54" s="1"/>
  <c r="J14" i="6" s="1"/>
  <c r="L86" i="14" s="1"/>
  <c r="D37" i="4"/>
  <c r="D36" s="1"/>
  <c r="E6"/>
  <c r="C11" s="1"/>
  <c r="D31" l="1"/>
  <c r="D30" s="1"/>
  <c r="D14" i="6" s="1"/>
  <c r="F86" i="14" s="1"/>
  <c r="G61" i="4"/>
  <c r="G62" s="1"/>
  <c r="F66"/>
  <c r="F67" s="1"/>
  <c r="E69" i="14"/>
  <c r="E72" s="1"/>
  <c r="F69"/>
  <c r="F72" s="1"/>
  <c r="G69"/>
  <c r="G72" s="1"/>
  <c r="H69"/>
  <c r="H72" s="1"/>
  <c r="I69"/>
  <c r="I72" s="1"/>
  <c r="J69"/>
  <c r="J72" s="1"/>
  <c r="K69"/>
  <c r="K72" s="1"/>
  <c r="L69"/>
  <c r="L72" s="1"/>
  <c r="M69"/>
  <c r="M72" s="1"/>
  <c r="D69"/>
  <c r="D72" s="1"/>
  <c r="G67"/>
  <c r="G71" s="1"/>
  <c r="F67"/>
  <c r="F71" s="1"/>
  <c r="M67"/>
  <c r="M71" s="1"/>
  <c r="L67"/>
  <c r="L71" s="1"/>
  <c r="K67"/>
  <c r="K71" s="1"/>
  <c r="J67"/>
  <c r="J71" s="1"/>
  <c r="I67"/>
  <c r="I71" s="1"/>
  <c r="H67"/>
  <c r="H71" s="1"/>
  <c r="E67"/>
  <c r="E71" s="1"/>
  <c r="D67"/>
  <c r="D71" s="1"/>
  <c r="G97"/>
  <c r="K97"/>
  <c r="H97"/>
  <c r="L97"/>
  <c r="I97"/>
  <c r="M97"/>
  <c r="F97"/>
  <c r="J97"/>
  <c r="E97"/>
  <c r="G119"/>
  <c r="G118"/>
  <c r="G120" s="1"/>
  <c r="G122" s="1"/>
  <c r="K119"/>
  <c r="K118"/>
  <c r="K120" s="1"/>
  <c r="K122" s="1"/>
  <c r="J119"/>
  <c r="J118"/>
  <c r="J120" s="1"/>
  <c r="J122" s="1"/>
  <c r="H118"/>
  <c r="H119"/>
  <c r="L118"/>
  <c r="L119"/>
  <c r="F119"/>
  <c r="F118"/>
  <c r="F120" s="1"/>
  <c r="F122" s="1"/>
  <c r="E119"/>
  <c r="E118"/>
  <c r="E120" s="1"/>
  <c r="E122" s="1"/>
  <c r="I119"/>
  <c r="I118"/>
  <c r="I120" s="1"/>
  <c r="I122" s="1"/>
  <c r="M119"/>
  <c r="M118"/>
  <c r="M120" s="1"/>
  <c r="M122" s="1"/>
  <c r="M110"/>
  <c r="M121" s="1"/>
  <c r="L85"/>
  <c r="L84" s="1"/>
  <c r="H85"/>
  <c r="H84" s="1"/>
  <c r="M123"/>
  <c r="E17"/>
  <c r="E52" s="1"/>
  <c r="E49" s="1"/>
  <c r="I17"/>
  <c r="I52" s="1"/>
  <c r="I49" s="1"/>
  <c r="M17"/>
  <c r="F17"/>
  <c r="F52" s="1"/>
  <c r="F49" s="1"/>
  <c r="J17"/>
  <c r="J52" s="1"/>
  <c r="J49" s="1"/>
  <c r="D17"/>
  <c r="D52" s="1"/>
  <c r="D49" s="1"/>
  <c r="D56" s="1"/>
  <c r="G17"/>
  <c r="G52" s="1"/>
  <c r="G49" s="1"/>
  <c r="K17"/>
  <c r="K52" s="1"/>
  <c r="K49" s="1"/>
  <c r="H17"/>
  <c r="H52" s="1"/>
  <c r="H49" s="1"/>
  <c r="L17"/>
  <c r="L52" s="1"/>
  <c r="L49" s="1"/>
  <c r="G12"/>
  <c r="K12"/>
  <c r="I5" i="18" s="1"/>
  <c r="H12" i="14"/>
  <c r="L12"/>
  <c r="E12"/>
  <c r="I12"/>
  <c r="M12"/>
  <c r="F12"/>
  <c r="J12"/>
  <c r="D12"/>
  <c r="B5" i="18" s="1"/>
  <c r="M39" i="14"/>
  <c r="M40"/>
  <c r="M41" s="1"/>
  <c r="I14" i="6"/>
  <c r="K86" i="14" s="1"/>
  <c r="C14" i="6"/>
  <c r="E86" i="14" s="1"/>
  <c r="B14" i="6"/>
  <c r="D86" i="14" s="1"/>
  <c r="E50"/>
  <c r="E58" s="1"/>
  <c r="F50"/>
  <c r="F58" s="1"/>
  <c r="G50"/>
  <c r="G58" s="1"/>
  <c r="H50"/>
  <c r="H58" s="1"/>
  <c r="I50"/>
  <c r="I58" s="1"/>
  <c r="J50"/>
  <c r="J58" s="1"/>
  <c r="K50"/>
  <c r="K58" s="1"/>
  <c r="L50"/>
  <c r="L58" s="1"/>
  <c r="E48"/>
  <c r="E55" s="1"/>
  <c r="F48"/>
  <c r="F55" s="1"/>
  <c r="G48"/>
  <c r="G55" s="1"/>
  <c r="H48"/>
  <c r="H55" s="1"/>
  <c r="I48"/>
  <c r="I55" s="1"/>
  <c r="J48"/>
  <c r="J55" s="1"/>
  <c r="K48"/>
  <c r="K55" s="1"/>
  <c r="L48"/>
  <c r="L55" s="1"/>
  <c r="E36"/>
  <c r="F36"/>
  <c r="G36"/>
  <c r="G35" s="1"/>
  <c r="G109" s="1"/>
  <c r="H36"/>
  <c r="H35" s="1"/>
  <c r="H109" s="1"/>
  <c r="I36"/>
  <c r="I35" s="1"/>
  <c r="I109" s="1"/>
  <c r="J36"/>
  <c r="J35" s="1"/>
  <c r="J109" s="1"/>
  <c r="K36"/>
  <c r="K35" s="1"/>
  <c r="K109" s="1"/>
  <c r="L36"/>
  <c r="L35" s="1"/>
  <c r="L109" s="1"/>
  <c r="E35"/>
  <c r="E109" s="1"/>
  <c r="F35"/>
  <c r="F109" s="1"/>
  <c r="E34"/>
  <c r="F34"/>
  <c r="G34"/>
  <c r="H34"/>
  <c r="I34"/>
  <c r="J34"/>
  <c r="K34"/>
  <c r="L34"/>
  <c r="E33"/>
  <c r="F33"/>
  <c r="G33"/>
  <c r="H33"/>
  <c r="I33"/>
  <c r="J33"/>
  <c r="K33"/>
  <c r="L33"/>
  <c r="E15"/>
  <c r="F15"/>
  <c r="G15"/>
  <c r="H15"/>
  <c r="I15"/>
  <c r="J15"/>
  <c r="K15"/>
  <c r="L15"/>
  <c r="E14"/>
  <c r="F14"/>
  <c r="G14"/>
  <c r="H14"/>
  <c r="I14"/>
  <c r="J14"/>
  <c r="K14"/>
  <c r="L14"/>
  <c r="E13"/>
  <c r="E7" s="1"/>
  <c r="F13"/>
  <c r="G13"/>
  <c r="G7" s="1"/>
  <c r="H13"/>
  <c r="I13"/>
  <c r="J13"/>
  <c r="K13"/>
  <c r="L13"/>
  <c r="G9"/>
  <c r="G5" s="1"/>
  <c r="H9"/>
  <c r="H5" s="1"/>
  <c r="I9"/>
  <c r="I5" s="1"/>
  <c r="J9"/>
  <c r="J5" s="1"/>
  <c r="E9"/>
  <c r="E5" s="1"/>
  <c r="F9"/>
  <c r="F5" s="1"/>
  <c r="K9"/>
  <c r="K5" s="1"/>
  <c r="L9"/>
  <c r="L5" s="1"/>
  <c r="E8"/>
  <c r="E22" s="1"/>
  <c r="J8"/>
  <c r="J22" s="1"/>
  <c r="D50"/>
  <c r="D58" s="1"/>
  <c r="D48"/>
  <c r="D55" s="1"/>
  <c r="D34"/>
  <c r="D33"/>
  <c r="D14"/>
  <c r="D13"/>
  <c r="F85" l="1"/>
  <c r="F84" s="1"/>
  <c r="G85"/>
  <c r="G84" s="1"/>
  <c r="G87" s="1"/>
  <c r="M85"/>
  <c r="M84" s="1"/>
  <c r="M87" s="1"/>
  <c r="I85"/>
  <c r="I84" s="1"/>
  <c r="I87" s="1"/>
  <c r="G83"/>
  <c r="G100" s="1"/>
  <c r="M83"/>
  <c r="M100" s="1"/>
  <c r="I83"/>
  <c r="I100" s="1"/>
  <c r="J85"/>
  <c r="J84" s="1"/>
  <c r="L120"/>
  <c r="L122" s="1"/>
  <c r="H120"/>
  <c r="H122" s="1"/>
  <c r="H87"/>
  <c r="H83"/>
  <c r="L87"/>
  <c r="L83"/>
  <c r="F87"/>
  <c r="D85"/>
  <c r="D84" s="1"/>
  <c r="E85"/>
  <c r="E84" s="1"/>
  <c r="K85"/>
  <c r="K84" s="1"/>
  <c r="J70"/>
  <c r="H5" i="18"/>
  <c r="F70" i="14"/>
  <c r="D5" i="18"/>
  <c r="M70" i="14"/>
  <c r="K5" i="18"/>
  <c r="I70" i="14"/>
  <c r="G5" i="18"/>
  <c r="E70" i="14"/>
  <c r="E74" s="1"/>
  <c r="C5" i="18"/>
  <c r="L70" i="14"/>
  <c r="J5" i="18"/>
  <c r="H70" i="14"/>
  <c r="F5" i="18"/>
  <c r="G70" i="14"/>
  <c r="E5" i="18"/>
  <c r="E37" i="14"/>
  <c r="E110"/>
  <c r="E121" s="1"/>
  <c r="I37"/>
  <c r="I110"/>
  <c r="L37"/>
  <c r="L110"/>
  <c r="L121"/>
  <c r="H110"/>
  <c r="H121" s="1"/>
  <c r="K37"/>
  <c r="K110"/>
  <c r="K121" s="1"/>
  <c r="G110"/>
  <c r="F37"/>
  <c r="F110"/>
  <c r="F121" s="1"/>
  <c r="J37"/>
  <c r="J110"/>
  <c r="M124"/>
  <c r="M126"/>
  <c r="E19"/>
  <c r="E99" s="1"/>
  <c r="E101" s="1"/>
  <c r="E20"/>
  <c r="E25" s="1"/>
  <c r="D70"/>
  <c r="D74" s="1"/>
  <c r="K70"/>
  <c r="K74" s="1"/>
  <c r="G20"/>
  <c r="M11"/>
  <c r="M74"/>
  <c r="I11"/>
  <c r="I74"/>
  <c r="J11"/>
  <c r="J74"/>
  <c r="G11"/>
  <c r="G74"/>
  <c r="H11"/>
  <c r="H74"/>
  <c r="F11"/>
  <c r="F74"/>
  <c r="L11"/>
  <c r="L74"/>
  <c r="F39"/>
  <c r="F40"/>
  <c r="F41" s="1"/>
  <c r="H32"/>
  <c r="E11"/>
  <c r="H19"/>
  <c r="H99" s="1"/>
  <c r="H101" s="1"/>
  <c r="J19"/>
  <c r="J99" s="1"/>
  <c r="J101" s="1"/>
  <c r="I19"/>
  <c r="I99" s="1"/>
  <c r="I101" s="1"/>
  <c r="G19"/>
  <c r="G99" s="1"/>
  <c r="G101" s="1"/>
  <c r="L19"/>
  <c r="L99" s="1"/>
  <c r="L101" s="1"/>
  <c r="F32"/>
  <c r="I39"/>
  <c r="E39"/>
  <c r="I40"/>
  <c r="I41" s="1"/>
  <c r="E40"/>
  <c r="E41" s="1"/>
  <c r="M52"/>
  <c r="M49" s="1"/>
  <c r="M19"/>
  <c r="M20"/>
  <c r="M25" s="1"/>
  <c r="K19"/>
  <c r="K99" s="1"/>
  <c r="K101" s="1"/>
  <c r="L32"/>
  <c r="D11"/>
  <c r="K11"/>
  <c r="F19"/>
  <c r="F99" s="1"/>
  <c r="F101" s="1"/>
  <c r="F7"/>
  <c r="F20" s="1"/>
  <c r="K39"/>
  <c r="I7"/>
  <c r="I20" s="1"/>
  <c r="J39"/>
  <c r="L39"/>
  <c r="L40"/>
  <c r="L41" s="1"/>
  <c r="K40"/>
  <c r="K41" s="1"/>
  <c r="J40"/>
  <c r="J41" s="1"/>
  <c r="M42"/>
  <c r="G32"/>
  <c r="G37"/>
  <c r="G39" s="1"/>
  <c r="J51"/>
  <c r="J59" s="1"/>
  <c r="G8"/>
  <c r="G22" s="1"/>
  <c r="G25" s="1"/>
  <c r="E32"/>
  <c r="L51"/>
  <c r="L59" s="1"/>
  <c r="L56"/>
  <c r="L57" s="1"/>
  <c r="I8"/>
  <c r="I22" s="1"/>
  <c r="H8"/>
  <c r="H22" s="1"/>
  <c r="H7"/>
  <c r="H20" s="1"/>
  <c r="K51"/>
  <c r="K59" s="1"/>
  <c r="K60" s="1"/>
  <c r="K56"/>
  <c r="K57" s="1"/>
  <c r="J56"/>
  <c r="J57" s="1"/>
  <c r="I51"/>
  <c r="I59" s="1"/>
  <c r="I60" s="1"/>
  <c r="I56"/>
  <c r="I57" s="1"/>
  <c r="G51"/>
  <c r="G59" s="1"/>
  <c r="G60" s="1"/>
  <c r="G56"/>
  <c r="G57" s="1"/>
  <c r="H37"/>
  <c r="H40" s="1"/>
  <c r="H41" s="1"/>
  <c r="H51"/>
  <c r="H59" s="1"/>
  <c r="H56"/>
  <c r="H57" s="1"/>
  <c r="K7"/>
  <c r="K20" s="1"/>
  <c r="F51"/>
  <c r="F59" s="1"/>
  <c r="F60" s="1"/>
  <c r="F56"/>
  <c r="F57" s="1"/>
  <c r="F8"/>
  <c r="F22" s="1"/>
  <c r="J7"/>
  <c r="J20" s="1"/>
  <c r="J25" s="1"/>
  <c r="E51"/>
  <c r="E59" s="1"/>
  <c r="E60" s="1"/>
  <c r="E56"/>
  <c r="E57" s="1"/>
  <c r="K32"/>
  <c r="J32"/>
  <c r="I32"/>
  <c r="K8"/>
  <c r="K22" s="1"/>
  <c r="L8"/>
  <c r="L22" s="1"/>
  <c r="L7"/>
  <c r="L20" s="1"/>
  <c r="J87" l="1"/>
  <c r="J83"/>
  <c r="J100" s="1"/>
  <c r="K87"/>
  <c r="K83"/>
  <c r="E87"/>
  <c r="E83"/>
  <c r="D87"/>
  <c r="D83"/>
  <c r="K68"/>
  <c r="K73" s="1"/>
  <c r="I6" i="18"/>
  <c r="D68" i="14"/>
  <c r="D73" s="1"/>
  <c r="B6" i="18"/>
  <c r="E68" i="14"/>
  <c r="C6" i="18"/>
  <c r="L68" i="14"/>
  <c r="L73" s="1"/>
  <c r="J6" i="18"/>
  <c r="F68" i="14"/>
  <c r="F73" s="1"/>
  <c r="D6" i="18"/>
  <c r="H68" i="14"/>
  <c r="H73" s="1"/>
  <c r="F6" i="18"/>
  <c r="G68" i="14"/>
  <c r="G73" s="1"/>
  <c r="E6" i="18"/>
  <c r="J68" i="14"/>
  <c r="J73" s="1"/>
  <c r="H6" i="18"/>
  <c r="I68" i="14"/>
  <c r="I73" s="1"/>
  <c r="G6" i="18"/>
  <c r="M68" i="14"/>
  <c r="M73" s="1"/>
  <c r="K6" i="18"/>
  <c r="F83" i="14"/>
  <c r="F100" s="1"/>
  <c r="L100"/>
  <c r="H100"/>
  <c r="M127"/>
  <c r="M99"/>
  <c r="M101" s="1"/>
  <c r="M102" s="1"/>
  <c r="G121"/>
  <c r="F123"/>
  <c r="K123"/>
  <c r="H123"/>
  <c r="E123"/>
  <c r="J121"/>
  <c r="L123"/>
  <c r="I121"/>
  <c r="E73"/>
  <c r="E75" s="1"/>
  <c r="I102"/>
  <c r="G102"/>
  <c r="J102"/>
  <c r="L102"/>
  <c r="H102"/>
  <c r="F42"/>
  <c r="F43" s="1"/>
  <c r="K6"/>
  <c r="K21" s="1"/>
  <c r="K24" s="1"/>
  <c r="F6"/>
  <c r="F21" s="1"/>
  <c r="F24" s="1"/>
  <c r="J6"/>
  <c r="J21" s="1"/>
  <c r="J24" s="1"/>
  <c r="I6"/>
  <c r="I21" s="1"/>
  <c r="I24" s="1"/>
  <c r="M6"/>
  <c r="M21" s="1"/>
  <c r="M24" s="1"/>
  <c r="M26" s="1"/>
  <c r="M27" s="1"/>
  <c r="D6"/>
  <c r="E6"/>
  <c r="E21" s="1"/>
  <c r="E24" s="1"/>
  <c r="G6"/>
  <c r="G21" s="1"/>
  <c r="G24" s="1"/>
  <c r="L6"/>
  <c r="L21" s="1"/>
  <c r="L24" s="1"/>
  <c r="H6"/>
  <c r="H21" s="1"/>
  <c r="H24" s="1"/>
  <c r="F25"/>
  <c r="I25"/>
  <c r="I42"/>
  <c r="I43" s="1"/>
  <c r="M56"/>
  <c r="M57" s="1"/>
  <c r="M51"/>
  <c r="M59" s="1"/>
  <c r="H60"/>
  <c r="J60"/>
  <c r="H25"/>
  <c r="L60"/>
  <c r="L25"/>
  <c r="K25"/>
  <c r="M43"/>
  <c r="H39"/>
  <c r="M45"/>
  <c r="M46" s="1"/>
  <c r="G40"/>
  <c r="G41" s="1"/>
  <c r="G62"/>
  <c r="H62"/>
  <c r="K62"/>
  <c r="E62"/>
  <c r="I62"/>
  <c r="L62"/>
  <c r="F62"/>
  <c r="J62"/>
  <c r="L42"/>
  <c r="K42"/>
  <c r="E42"/>
  <c r="J42"/>
  <c r="D9"/>
  <c r="E3"/>
  <c r="F3"/>
  <c r="G3"/>
  <c r="H3"/>
  <c r="I3"/>
  <c r="K3"/>
  <c r="L3"/>
  <c r="M3"/>
  <c r="D3"/>
  <c r="F102" l="1"/>
  <c r="D100"/>
  <c r="E100"/>
  <c r="K100"/>
  <c r="H103"/>
  <c r="E76"/>
  <c r="L103"/>
  <c r="M103"/>
  <c r="I103"/>
  <c r="J103"/>
  <c r="F103"/>
  <c r="G103"/>
  <c r="J123"/>
  <c r="E124"/>
  <c r="E126"/>
  <c r="K124"/>
  <c r="K126"/>
  <c r="I123"/>
  <c r="F126"/>
  <c r="F124"/>
  <c r="H124"/>
  <c r="H126"/>
  <c r="L124"/>
  <c r="L126"/>
  <c r="G123"/>
  <c r="L105"/>
  <c r="M105"/>
  <c r="F45"/>
  <c r="H105"/>
  <c r="I105"/>
  <c r="J105"/>
  <c r="F105"/>
  <c r="G105"/>
  <c r="I26"/>
  <c r="I27" s="1"/>
  <c r="G26"/>
  <c r="G29" s="1"/>
  <c r="G30" s="1"/>
  <c r="J26"/>
  <c r="J27" s="1"/>
  <c r="L75"/>
  <c r="D75"/>
  <c r="I75"/>
  <c r="F75"/>
  <c r="F26"/>
  <c r="F27" s="1"/>
  <c r="H75"/>
  <c r="G75"/>
  <c r="M75"/>
  <c r="J75"/>
  <c r="E26"/>
  <c r="E27" s="1"/>
  <c r="K75"/>
  <c r="I45"/>
  <c r="I46" s="1"/>
  <c r="H26"/>
  <c r="H27" s="1"/>
  <c r="M29"/>
  <c r="M30" s="1"/>
  <c r="K26"/>
  <c r="L26"/>
  <c r="L27" s="1"/>
  <c r="M60"/>
  <c r="M62"/>
  <c r="I63"/>
  <c r="K63"/>
  <c r="F63"/>
  <c r="H63"/>
  <c r="L63"/>
  <c r="E63"/>
  <c r="J63"/>
  <c r="G63"/>
  <c r="E43"/>
  <c r="J43"/>
  <c r="K43"/>
  <c r="H42"/>
  <c r="K45"/>
  <c r="J45"/>
  <c r="L43"/>
  <c r="L45"/>
  <c r="E45"/>
  <c r="G42"/>
  <c r="C18" i="1"/>
  <c r="C17" s="1"/>
  <c r="K102" i="14" l="1"/>
  <c r="E102"/>
  <c r="F127"/>
  <c r="F106"/>
  <c r="J106"/>
  <c r="I106"/>
  <c r="L127"/>
  <c r="K127"/>
  <c r="H106"/>
  <c r="H127"/>
  <c r="E127"/>
  <c r="M106"/>
  <c r="G106"/>
  <c r="L106"/>
  <c r="G124"/>
  <c r="G126"/>
  <c r="I124"/>
  <c r="I126"/>
  <c r="J126"/>
  <c r="J124"/>
  <c r="F46"/>
  <c r="I29"/>
  <c r="G27"/>
  <c r="E29"/>
  <c r="J29"/>
  <c r="L29"/>
  <c r="F29"/>
  <c r="F30" s="1"/>
  <c r="H76"/>
  <c r="H78"/>
  <c r="F76"/>
  <c r="F78"/>
  <c r="D76"/>
  <c r="D78"/>
  <c r="J76"/>
  <c r="J78"/>
  <c r="G76"/>
  <c r="G78"/>
  <c r="E78"/>
  <c r="I76"/>
  <c r="I78"/>
  <c r="K76"/>
  <c r="K78"/>
  <c r="M76"/>
  <c r="M78"/>
  <c r="L76"/>
  <c r="L78"/>
  <c r="H29"/>
  <c r="H30" s="1"/>
  <c r="K27"/>
  <c r="K29"/>
  <c r="K30" s="1"/>
  <c r="E30"/>
  <c r="M63"/>
  <c r="J30"/>
  <c r="J46"/>
  <c r="E46"/>
  <c r="L46"/>
  <c r="K46"/>
  <c r="H43"/>
  <c r="H45"/>
  <c r="G43"/>
  <c r="G45"/>
  <c r="E6" i="13"/>
  <c r="E12" s="1"/>
  <c r="D6"/>
  <c r="D12" s="1"/>
  <c r="D13" i="5"/>
  <c r="D10" i="10"/>
  <c r="C10"/>
  <c r="B23" i="6"/>
  <c r="D15" i="14" l="1"/>
  <c r="D113"/>
  <c r="D95"/>
  <c r="E103"/>
  <c r="E105"/>
  <c r="K103"/>
  <c r="K105"/>
  <c r="J79"/>
  <c r="K79"/>
  <c r="G127"/>
  <c r="D79"/>
  <c r="I79"/>
  <c r="I30"/>
  <c r="F79"/>
  <c r="L79"/>
  <c r="E79"/>
  <c r="M79"/>
  <c r="I127"/>
  <c r="G79"/>
  <c r="H79"/>
  <c r="J127"/>
  <c r="L30"/>
  <c r="G46"/>
  <c r="H46"/>
  <c r="D8"/>
  <c r="D22" s="1"/>
  <c r="D7"/>
  <c r="D20" s="1"/>
  <c r="D36"/>
  <c r="D35" s="1"/>
  <c r="D109" s="1"/>
  <c r="D21"/>
  <c r="D5"/>
  <c r="D19" s="1"/>
  <c r="E15" i="13"/>
  <c r="E16" s="1"/>
  <c r="D15"/>
  <c r="D16" s="1"/>
  <c r="C12" i="10"/>
  <c r="C15" s="1"/>
  <c r="D12"/>
  <c r="D96" i="14" l="1"/>
  <c r="D97" s="1"/>
  <c r="D92"/>
  <c r="D115"/>
  <c r="D119" s="1"/>
  <c r="D114"/>
  <c r="D118" s="1"/>
  <c r="D120" s="1"/>
  <c r="D122" s="1"/>
  <c r="D99"/>
  <c r="D101" s="1"/>
  <c r="K106"/>
  <c r="E106"/>
  <c r="D110"/>
  <c r="D121"/>
  <c r="D102"/>
  <c r="D37"/>
  <c r="D32"/>
  <c r="D25"/>
  <c r="D57"/>
  <c r="D51"/>
  <c r="D24"/>
  <c r="D15" i="10"/>
  <c r="D16" s="1"/>
  <c r="C16"/>
  <c r="C13"/>
  <c r="D103" i="14" l="1"/>
  <c r="D123"/>
  <c r="D105"/>
  <c r="D39"/>
  <c r="D40"/>
  <c r="D41" s="1"/>
  <c r="D59"/>
  <c r="D60" s="1"/>
  <c r="D26"/>
  <c r="D27" s="1"/>
  <c r="F9" i="9"/>
  <c r="F5"/>
  <c r="F11" s="1"/>
  <c r="E9"/>
  <c r="E5"/>
  <c r="E11" s="1"/>
  <c r="E14" s="1"/>
  <c r="E15" s="1"/>
  <c r="C57" i="1"/>
  <c r="D106" i="14" l="1"/>
  <c r="D124"/>
  <c r="D126"/>
  <c r="D42"/>
  <c r="D43" s="1"/>
  <c r="D62"/>
  <c r="F14" i="9"/>
  <c r="F15" s="1"/>
  <c r="D29" i="14"/>
  <c r="D17" i="5"/>
  <c r="D14"/>
  <c r="D15"/>
  <c r="D4" s="1"/>
  <c r="D9" s="1"/>
  <c r="D16"/>
  <c r="D40" i="1"/>
  <c r="C16"/>
  <c r="C16" i="3"/>
  <c r="C10" s="1"/>
  <c r="C19"/>
  <c r="C20" s="1"/>
  <c r="C18" s="1"/>
  <c r="C8" s="1"/>
  <c r="C17"/>
  <c r="C13" s="1"/>
  <c r="C22"/>
  <c r="C23"/>
  <c r="D127" i="14" l="1"/>
  <c r="D63"/>
  <c r="D30"/>
  <c r="C14" i="3"/>
  <c r="C11"/>
  <c r="D45" i="14"/>
  <c r="C6" i="3"/>
  <c r="D5" i="5"/>
  <c r="D10" s="1"/>
  <c r="D3"/>
  <c r="D8" s="1"/>
  <c r="D46" i="14" l="1"/>
  <c r="E6" i="3"/>
  <c r="C7"/>
  <c r="D6" i="5"/>
  <c r="D11" s="1"/>
  <c r="B64" i="1" l="1"/>
  <c r="C8"/>
  <c r="C6" s="1"/>
  <c r="C4" l="1"/>
  <c r="C34"/>
  <c r="C31"/>
  <c r="C28"/>
  <c r="C21" l="1"/>
  <c r="B63" s="1"/>
  <c r="C48"/>
  <c r="B62"/>
  <c r="B67" s="1"/>
  <c r="C53" l="1"/>
  <c r="B65"/>
  <c r="B68" s="1"/>
  <c r="B70" s="1"/>
  <c r="C59"/>
  <c r="B71" l="1"/>
  <c r="D71" s="1"/>
  <c r="C55"/>
</calcChain>
</file>

<file path=xl/sharedStrings.xml><?xml version="1.0" encoding="utf-8"?>
<sst xmlns="http://schemas.openxmlformats.org/spreadsheetml/2006/main" count="504" uniqueCount="309">
  <si>
    <t>Wartungsstunden Airframe pro Flugstunde</t>
  </si>
  <si>
    <t>t_f [h]</t>
  </si>
  <si>
    <t>Masse Airframe (Zelle)</t>
  </si>
  <si>
    <t>m_AF [kg]</t>
  </si>
  <si>
    <t>Kosten Maintenance Material Airframe per flighthour?</t>
  </si>
  <si>
    <t>C_M,M,AF,f</t>
  </si>
  <si>
    <t>Preis Airframe</t>
  </si>
  <si>
    <t>P_AF</t>
  </si>
  <si>
    <t>Wartungsstunden Engine pro Flugstunde?</t>
  </si>
  <si>
    <t>t_M,E,f</t>
  </si>
  <si>
    <t>n_E</t>
  </si>
  <si>
    <t>N=Newton</t>
  </si>
  <si>
    <t>Startschub eines Triebwerks</t>
  </si>
  <si>
    <t>T_T/O,E</t>
  </si>
  <si>
    <t>k_1</t>
  </si>
  <si>
    <t>POTENZ(Zahl;Potenz)</t>
  </si>
  <si>
    <t>Nebenstromverhältnis</t>
  </si>
  <si>
    <t>BPR</t>
  </si>
  <si>
    <t>k_2</t>
  </si>
  <si>
    <t>Druckverhältnis (overall pressure ratio</t>
  </si>
  <si>
    <t>OAPR</t>
  </si>
  <si>
    <t>k_3</t>
  </si>
  <si>
    <t>Anzahl Verdichterstufen (einschließlich Fan)</t>
  </si>
  <si>
    <t>n_c</t>
  </si>
  <si>
    <t>0,5 für n_s=1 // 0,57 für n_s=2  // 0,64 für n_s=3 (anzahl Wellen)</t>
  </si>
  <si>
    <t>k_4</t>
  </si>
  <si>
    <t>Inflationsausgleich (später Einfügen)</t>
  </si>
  <si>
    <t>k_inf</t>
  </si>
  <si>
    <t>Wartungskosten Material Engine pro Flugstunde?</t>
  </si>
  <si>
    <t>C_M,M,E,f</t>
  </si>
  <si>
    <t>m_OE</t>
  </si>
  <si>
    <t>Masse Operating Empty?</t>
  </si>
  <si>
    <t>m_E,inst</t>
  </si>
  <si>
    <t>Masse Engine Installation</t>
  </si>
  <si>
    <t>k_E</t>
  </si>
  <si>
    <t>k_thr</t>
  </si>
  <si>
    <t>Anzahl Engine</t>
  </si>
  <si>
    <t>Masse eines Triebwerks ohne Anbauteile zur TRW Integration</t>
  </si>
  <si>
    <t>Flugzeit</t>
  </si>
  <si>
    <t>Gesamtwarungskosten Material pro Flugstunde</t>
  </si>
  <si>
    <t xml:space="preserve">Gesamtkosten Personal </t>
  </si>
  <si>
    <t>gesamtwartung = Personal + Material</t>
  </si>
  <si>
    <t>n_t,a</t>
  </si>
  <si>
    <t>Anzahl Flüge pro Jahr</t>
  </si>
  <si>
    <t>Stundensatz bezogen auf Wartungsstunde</t>
  </si>
  <si>
    <t>t_M,f,ges ?</t>
  </si>
  <si>
    <t xml:space="preserve">Gesamtwartungszeit pro Flugstunde </t>
  </si>
  <si>
    <t>US$/h</t>
  </si>
  <si>
    <t>Materialkosten Wartung E pro Flugstunden</t>
  </si>
  <si>
    <t>Materialkosten Wartung AF pro Flugstunde</t>
  </si>
  <si>
    <t>Warungskosten AF pro Flugstunde</t>
  </si>
  <si>
    <t>Wartungskosten E pro Flugstunde</t>
  </si>
  <si>
    <t>Gesamtwartungskosten pro Flugstunde</t>
  </si>
  <si>
    <t>Gesamtwartungskosten pro Jahr</t>
  </si>
  <si>
    <t xml:space="preserve">Diagramme: Verhältnisse Kosten E / AF+E ; Verhältnisse Zeit E / AF+E </t>
  </si>
  <si>
    <t>m_AF</t>
  </si>
  <si>
    <t>US$</t>
  </si>
  <si>
    <t>Mio.US$</t>
  </si>
  <si>
    <t>AEA-Methode</t>
  </si>
  <si>
    <t>C_M,AF,b</t>
  </si>
  <si>
    <t>Wartungskosten AF bezogen auf Blockzeit</t>
  </si>
  <si>
    <t>Wartungskosten Antrieb bezogen auf Blockzeit</t>
  </si>
  <si>
    <t>T_T/O</t>
  </si>
  <si>
    <t>t_b</t>
  </si>
  <si>
    <t>Startschub eines TRWs</t>
  </si>
  <si>
    <t>Masse Operating Empty</t>
  </si>
  <si>
    <t>Blockzeit</t>
  </si>
  <si>
    <t>t_f</t>
  </si>
  <si>
    <t>dt=t_b - t_f</t>
  </si>
  <si>
    <t>Delta t</t>
  </si>
  <si>
    <t>Wartungskosten bezogen auf Blockzeit im Jahr</t>
  </si>
  <si>
    <t>Verhältnis Block Flug Zeit</t>
  </si>
  <si>
    <t>p_inf</t>
  </si>
  <si>
    <t>Jährliche mittlere Inflationsrate</t>
  </si>
  <si>
    <t>n_method</t>
  </si>
  <si>
    <t>Jahr auf das sich Methode bezieht</t>
  </si>
  <si>
    <t>Jahr für die Rechnung durchgeführt wird</t>
  </si>
  <si>
    <t>Inflationsrate</t>
  </si>
  <si>
    <t>???</t>
  </si>
  <si>
    <t>TUB</t>
  </si>
  <si>
    <t>OWE</t>
  </si>
  <si>
    <t>Operating empty weight</t>
  </si>
  <si>
    <t>Flight time</t>
  </si>
  <si>
    <t>Labour rate</t>
  </si>
  <si>
    <t>Number of Engines</t>
  </si>
  <si>
    <t>Sea level static thrust of one engine (to)</t>
  </si>
  <si>
    <t>Burden Cost</t>
  </si>
  <si>
    <t>Burden</t>
  </si>
  <si>
    <t>AF material maintenance cost (repair and replacement) per flight cycle</t>
  </si>
  <si>
    <t>AF personnel maintenace cost (inspection and repair) per flight cycle</t>
  </si>
  <si>
    <t>Engine total maintenace cost per flight cycle</t>
  </si>
  <si>
    <t>Gesamtmaintenance cost per flight cycle</t>
  </si>
  <si>
    <t>m_E [kg]</t>
  </si>
  <si>
    <t>Jenkinson (1999) für TRW mit BPR von ca 5</t>
  </si>
  <si>
    <t xml:space="preserve">BPR </t>
  </si>
  <si>
    <t xml:space="preserve">OAPR </t>
  </si>
  <si>
    <t>Länge</t>
  </si>
  <si>
    <t>Spannweite</t>
  </si>
  <si>
    <t>Reichweite</t>
  </si>
  <si>
    <t>General Electric CF6-80E1A3</t>
  </si>
  <si>
    <t>A340-300</t>
  </si>
  <si>
    <t>Erstflug</t>
  </si>
  <si>
    <t>A330-300</t>
  </si>
  <si>
    <t>CFM Intl. CFM56-5C4/1</t>
  </si>
  <si>
    <t>Pratt &amp; Whitney PW4170</t>
  </si>
  <si>
    <t>311,4 kN</t>
  </si>
  <si>
    <t>P Eng</t>
  </si>
  <si>
    <t>Ergebnisse</t>
  </si>
  <si>
    <t>C_M,P,AF,f</t>
  </si>
  <si>
    <t>C_M,P,E,f</t>
  </si>
  <si>
    <t>C_M,f ges</t>
  </si>
  <si>
    <t>C_M,AF,f ges</t>
  </si>
  <si>
    <t>C_M,E,f ges</t>
  </si>
  <si>
    <t>C_M,a ges</t>
  </si>
  <si>
    <t>in US$</t>
  </si>
  <si>
    <t>10,28 Mio US$</t>
  </si>
  <si>
    <t>mit … p_delivery *0,8*2/3=P_AF</t>
  </si>
  <si>
    <t>11,12 Mio. US$</t>
  </si>
  <si>
    <t>C_M,E,f ges/C_M,f ges</t>
  </si>
  <si>
    <t>1- Verhältnis</t>
  </si>
  <si>
    <t>Wartungskosten bezogen auf Flugstunde pro Jahr</t>
  </si>
  <si>
    <t>DC8-73</t>
  </si>
  <si>
    <t>MD11-ER</t>
  </si>
  <si>
    <t>A318</t>
  </si>
  <si>
    <t>Jak-42</t>
  </si>
  <si>
    <t>CFM56-2C1</t>
  </si>
  <si>
    <t>CF6-80C2</t>
  </si>
  <si>
    <t>RR RB211-524B</t>
  </si>
  <si>
    <t>Lycoming ALF 502</t>
  </si>
  <si>
    <t>Pratt &amp; Whitney PW6122A</t>
  </si>
  <si>
    <t>Iwtschenko Progress D-36</t>
  </si>
  <si>
    <t>Kosten in $ aufs jahr 2018 bezgogen</t>
  </si>
  <si>
    <t>AEA</t>
  </si>
  <si>
    <t>Wartungskosten AF bezogen auf Flugzeit</t>
  </si>
  <si>
    <t>C_M,AF,f</t>
  </si>
  <si>
    <t>Wartungskosten Antrieb bezogen auf Flugzeit</t>
  </si>
  <si>
    <t>Jenkinson</t>
  </si>
  <si>
    <t xml:space="preserve"> </t>
  </si>
  <si>
    <t>P_E</t>
  </si>
  <si>
    <t>Preis Triebwerk nach Jenkinson</t>
  </si>
  <si>
    <t>P_delivery</t>
  </si>
  <si>
    <t>für Jahr 1994 … müssen mit Inflationsfaktor angepasst werden</t>
  </si>
  <si>
    <t>t_M,AF,f</t>
  </si>
  <si>
    <t>C_M,f</t>
  </si>
  <si>
    <t>C_M,AF,a</t>
  </si>
  <si>
    <t>C_M,b,a</t>
  </si>
  <si>
    <t>C_M,E,b</t>
  </si>
  <si>
    <t>t_b/t_f</t>
  </si>
  <si>
    <t>C_M,E,f</t>
  </si>
  <si>
    <t>1-Verhältnis</t>
  </si>
  <si>
    <r>
      <t>m</t>
    </r>
    <r>
      <rPr>
        <b/>
        <vertAlign val="subscript"/>
        <sz val="11"/>
        <rFont val="Calibri"/>
        <family val="2"/>
      </rPr>
      <t>OE</t>
    </r>
    <r>
      <rPr>
        <b/>
        <sz val="11"/>
        <rFont val="Calibri"/>
        <family val="2"/>
      </rPr>
      <t xml:space="preserve"> </t>
    </r>
  </si>
  <si>
    <r>
      <t>m</t>
    </r>
    <r>
      <rPr>
        <b/>
        <vertAlign val="subscript"/>
        <sz val="11"/>
        <rFont val="Calibri"/>
        <family val="2"/>
      </rPr>
      <t>E</t>
    </r>
    <r>
      <rPr>
        <b/>
        <sz val="11"/>
        <rFont val="Calibri"/>
        <family val="2"/>
      </rPr>
      <t xml:space="preserve"> </t>
    </r>
  </si>
  <si>
    <r>
      <t>T</t>
    </r>
    <r>
      <rPr>
        <b/>
        <vertAlign val="subscript"/>
        <sz val="11"/>
        <rFont val="Calibri"/>
        <family val="2"/>
      </rPr>
      <t>T/O, E</t>
    </r>
    <r>
      <rPr>
        <b/>
        <sz val="11"/>
        <rFont val="Calibri"/>
        <family val="2"/>
      </rPr>
      <t xml:space="preserve"> [N]</t>
    </r>
  </si>
  <si>
    <r>
      <t>n</t>
    </r>
    <r>
      <rPr>
        <b/>
        <vertAlign val="subscript"/>
        <sz val="11"/>
        <rFont val="Calibri"/>
        <family val="2"/>
      </rPr>
      <t>E</t>
    </r>
    <r>
      <rPr>
        <b/>
        <sz val="11"/>
        <rFont val="Calibri"/>
        <family val="2"/>
      </rPr>
      <t xml:space="preserve"> </t>
    </r>
  </si>
  <si>
    <r>
      <t>k</t>
    </r>
    <r>
      <rPr>
        <b/>
        <vertAlign val="subscript"/>
        <sz val="11"/>
        <rFont val="Calibri"/>
        <family val="2"/>
      </rPr>
      <t>E</t>
    </r>
    <r>
      <rPr>
        <b/>
        <sz val="11"/>
        <rFont val="Calibri"/>
        <family val="2"/>
      </rPr>
      <t xml:space="preserve"> </t>
    </r>
  </si>
  <si>
    <r>
      <t>k</t>
    </r>
    <r>
      <rPr>
        <b/>
        <vertAlign val="subscript"/>
        <sz val="11"/>
        <rFont val="Calibri"/>
        <family val="2"/>
      </rPr>
      <t>thr</t>
    </r>
    <r>
      <rPr>
        <b/>
        <sz val="11"/>
        <rFont val="Calibri"/>
        <family val="2"/>
      </rPr>
      <t xml:space="preserve"> </t>
    </r>
  </si>
  <si>
    <r>
      <t>n</t>
    </r>
    <r>
      <rPr>
        <b/>
        <vertAlign val="subscript"/>
        <sz val="11"/>
        <rFont val="Calibri"/>
        <family val="2"/>
      </rPr>
      <t>c</t>
    </r>
    <r>
      <rPr>
        <b/>
        <sz val="11"/>
        <rFont val="Calibri"/>
        <family val="2"/>
      </rPr>
      <t xml:space="preserve"> </t>
    </r>
  </si>
  <si>
    <r>
      <t>n</t>
    </r>
    <r>
      <rPr>
        <b/>
        <vertAlign val="subscript"/>
        <sz val="11"/>
        <rFont val="Calibri"/>
        <family val="2"/>
      </rPr>
      <t>s</t>
    </r>
    <r>
      <rPr>
        <b/>
        <sz val="11"/>
        <rFont val="Calibri"/>
        <family val="2"/>
      </rPr>
      <t xml:space="preserve"> </t>
    </r>
  </si>
  <si>
    <r>
      <t>L</t>
    </r>
    <r>
      <rPr>
        <b/>
        <vertAlign val="subscript"/>
        <sz val="11"/>
        <rFont val="Calibri"/>
        <family val="2"/>
      </rPr>
      <t>m</t>
    </r>
    <r>
      <rPr>
        <b/>
        <sz val="11"/>
        <rFont val="Calibri"/>
        <family val="2"/>
      </rPr>
      <t xml:space="preserve"> </t>
    </r>
  </si>
  <si>
    <t>C_MM,E,f</t>
  </si>
  <si>
    <t>C_MM,AF,f</t>
  </si>
  <si>
    <t>n_a</t>
  </si>
  <si>
    <t>C_M,L,t</t>
  </si>
  <si>
    <t>Personalkosten Wartung AF pro Flugstunde = t_M,AF,f * C_M,L,t</t>
  </si>
  <si>
    <t xml:space="preserve">Personalkosten Wartung E pro Flugstunde = t_M,E,f * C_M,L,t
</t>
  </si>
  <si>
    <t>C_M,b</t>
  </si>
  <si>
    <t>n_f,a</t>
  </si>
  <si>
    <t>C_M,AF,L,fl</t>
  </si>
  <si>
    <t>C_M,E,fl</t>
  </si>
  <si>
    <t>C_MM,AF,fl</t>
  </si>
  <si>
    <t>C_M,AF,L,f</t>
  </si>
  <si>
    <t>C_M,fl,ges</t>
  </si>
  <si>
    <t>C_M,f,ges</t>
  </si>
  <si>
    <t>n_ENG</t>
  </si>
  <si>
    <t>B</t>
  </si>
  <si>
    <r>
      <t>t_</t>
    </r>
    <r>
      <rPr>
        <b/>
        <vertAlign val="subscript"/>
        <sz val="11"/>
        <rFont val="Calibri"/>
        <family val="2"/>
      </rPr>
      <t>f</t>
    </r>
    <r>
      <rPr>
        <b/>
        <sz val="11"/>
        <rFont val="Calibri"/>
        <family val="2"/>
      </rPr>
      <t xml:space="preserve"> </t>
    </r>
  </si>
  <si>
    <r>
      <t>n_</t>
    </r>
    <r>
      <rPr>
        <b/>
        <vertAlign val="subscript"/>
        <sz val="11"/>
        <rFont val="Calibri"/>
        <family val="2"/>
      </rPr>
      <t>t,a</t>
    </r>
    <r>
      <rPr>
        <b/>
        <sz val="11"/>
        <rFont val="Calibri"/>
        <family val="2"/>
      </rPr>
      <t xml:space="preserve"> </t>
    </r>
  </si>
  <si>
    <t>C_M,L</t>
  </si>
  <si>
    <t>C_M,E,f,ges/C_M,f,ges</t>
  </si>
  <si>
    <t>n_fl,a</t>
  </si>
  <si>
    <t>d_t</t>
  </si>
  <si>
    <t>C_M,einzelnes E,f</t>
  </si>
  <si>
    <t>C_M,fl</t>
  </si>
  <si>
    <t>C_L,</t>
  </si>
  <si>
    <t>C_M,E,L,b</t>
  </si>
  <si>
    <t xml:space="preserve">C_M,f,a </t>
  </si>
  <si>
    <t>http://fxtop.com/de/historische-wechselkurse.php?A=1&amp;C1=GBP&amp;C2=USD&amp;YA=1&amp;DD1=01&amp;MM1=01&amp;YYYY1=1956&amp;B=1&amp;P=&amp;I=1&amp;DD2=02&amp;MM2=03&amp;YYYY2=1990&amp;btnOK=Gehen</t>
  </si>
  <si>
    <t>Jährliche mittlere Inflationsrate 1956-2017</t>
  </si>
  <si>
    <t>Jährliche mittlere Inflationsrate 1994-2017</t>
  </si>
  <si>
    <t>Umrechnungskurs</t>
  </si>
  <si>
    <r>
      <t>P</t>
    </r>
    <r>
      <rPr>
        <b/>
        <vertAlign val="subscript"/>
        <sz val="11"/>
        <rFont val="Calibri"/>
        <family val="2"/>
      </rPr>
      <t>delivery</t>
    </r>
    <r>
      <rPr>
        <b/>
        <sz val="11"/>
        <rFont val="Calibri"/>
        <family val="2"/>
      </rPr>
      <t xml:space="preserve"> (gerechnet auf 2017 in US$)</t>
    </r>
  </si>
  <si>
    <t>Jährliche mittlere Inflationsrate 2011-2017</t>
  </si>
  <si>
    <t>1956-2017</t>
  </si>
  <si>
    <t>2011-2017</t>
  </si>
  <si>
    <t>Jährliche mittlere Inflationsrate 1972-2017</t>
  </si>
  <si>
    <t>1972-2017</t>
  </si>
  <si>
    <t>Jährliche mittlere Inflationsrate 1981-2017</t>
  </si>
  <si>
    <t>1981-2017</t>
  </si>
  <si>
    <t>223000000 (2011)</t>
  </si>
  <si>
    <t>238000000 (2011)</t>
  </si>
  <si>
    <t>1950000 pound (1956)</t>
  </si>
  <si>
    <t>20000000US$ (1972)</t>
  </si>
  <si>
    <t>Kosten der Quelle</t>
  </si>
  <si>
    <t>65000000US$ (2011)</t>
  </si>
  <si>
    <t>11000000 Pound (1981)</t>
  </si>
  <si>
    <t>angenommener Preis an A330 orientiert</t>
  </si>
  <si>
    <t>B737-800</t>
  </si>
  <si>
    <t>CFM Intl. CFM56-7B27</t>
  </si>
  <si>
    <t>preis 2017 98.100.000 US$</t>
  </si>
  <si>
    <t>BAE 146-300</t>
  </si>
  <si>
    <t>TriStar</t>
  </si>
  <si>
    <t>Jährliche mittlere Inflationsrate 2015-2017</t>
  </si>
  <si>
    <t>2015-2017</t>
  </si>
  <si>
    <t>33000000US$ (2015)</t>
  </si>
  <si>
    <t>C_L,t</t>
  </si>
  <si>
    <t>1994-2017</t>
  </si>
  <si>
    <t>1999-2017</t>
  </si>
  <si>
    <t>Jährliche mittlere Inflationsrate 1999-2017</t>
  </si>
  <si>
    <t>Jährliche mittlere Inflationsrate 1967-2017</t>
  </si>
  <si>
    <t>1967-2017</t>
  </si>
  <si>
    <t>C_M,E,L,fl,ges</t>
  </si>
  <si>
    <t>C_MM,E,fl,ges</t>
  </si>
  <si>
    <t>Ma</t>
  </si>
  <si>
    <t>E</t>
  </si>
  <si>
    <t>Burden_E, fl</t>
  </si>
  <si>
    <t>Burden_AF, fl</t>
  </si>
  <si>
    <t>C_M,AF,L,flm</t>
  </si>
  <si>
    <t>C_MM,AF,flm</t>
  </si>
  <si>
    <t>Jährliche mittlere Inflationsrate 1980-2017</t>
  </si>
  <si>
    <t>1980-2017</t>
  </si>
  <si>
    <t>MPI</t>
  </si>
  <si>
    <t>CSL</t>
  </si>
  <si>
    <t>CSM</t>
  </si>
  <si>
    <t>S</t>
  </si>
  <si>
    <t>CRH/C</t>
  </si>
  <si>
    <t>MZFW</t>
  </si>
  <si>
    <t>MT/OW</t>
  </si>
  <si>
    <t>t_s</t>
  </si>
  <si>
    <t>C_MM,h</t>
  </si>
  <si>
    <t>k_5</t>
  </si>
  <si>
    <t>k_6</t>
  </si>
  <si>
    <t>k_7</t>
  </si>
  <si>
    <t>C_M,E,L,f</t>
  </si>
  <si>
    <t>f_TE</t>
  </si>
  <si>
    <t>C_M,f,a</t>
  </si>
  <si>
    <t>AI-Methode</t>
  </si>
  <si>
    <t>n_PAX</t>
  </si>
  <si>
    <t>Jährliche mittlere Inflationsrate 1989-2017</t>
  </si>
  <si>
    <t>1988-2017</t>
  </si>
  <si>
    <t>SEV</t>
  </si>
  <si>
    <t>RWY lenght at 2000ft</t>
  </si>
  <si>
    <t>SEF</t>
  </si>
  <si>
    <t>RWY lenght at 10000ft</t>
  </si>
  <si>
    <t>MT/OW,Max</t>
  </si>
  <si>
    <t>TM</t>
  </si>
  <si>
    <t>TSY</t>
  </si>
  <si>
    <t>Berechnung für die DLH Methode: f_TE</t>
  </si>
  <si>
    <t>MR</t>
  </si>
  <si>
    <t>LR</t>
  </si>
  <si>
    <t>T_D,tot</t>
  </si>
  <si>
    <t>T_D,T/O</t>
  </si>
  <si>
    <t>T_D,CR</t>
  </si>
  <si>
    <t>T_D,CL</t>
  </si>
  <si>
    <t>T_D delta</t>
  </si>
  <si>
    <t>t_M,AF,L,fl</t>
  </si>
  <si>
    <t>Lohn 2017 auf Basis 69$ 1999</t>
  </si>
  <si>
    <t>b_1</t>
  </si>
  <si>
    <t>b_2</t>
  </si>
  <si>
    <t>b_3</t>
  </si>
  <si>
    <t>CAM</t>
  </si>
  <si>
    <t>DLH Lohn wert 1980</t>
  </si>
  <si>
    <t>DM</t>
  </si>
  <si>
    <t>Umrechnung in US$ 1980</t>
  </si>
  <si>
    <t>Scholz Lohn 1999</t>
  </si>
  <si>
    <t>Lohn in 1980 in DM für DLH</t>
  </si>
  <si>
    <t>Lohn in 1980 in US$ für DLH</t>
  </si>
  <si>
    <t>Lohn für 1980 auf Basis 69$ in US$</t>
  </si>
  <si>
    <t>k_8</t>
  </si>
  <si>
    <t>Gesammtschub</t>
  </si>
  <si>
    <t>Errechneter Preis Triebwerk</t>
  </si>
  <si>
    <t>AEA 1989</t>
  </si>
  <si>
    <t>alle Triebw.</t>
  </si>
  <si>
    <t>ein Triebw.</t>
  </si>
  <si>
    <t>alle Treibw.</t>
  </si>
  <si>
    <t>ATA 1967</t>
  </si>
  <si>
    <t>DLH 1982</t>
  </si>
  <si>
    <t>Triebwerk</t>
  </si>
  <si>
    <t>Pax</t>
  </si>
  <si>
    <t>Flugzeugdaten</t>
  </si>
  <si>
    <t>Oder:</t>
  </si>
  <si>
    <t>TUB Methode</t>
  </si>
  <si>
    <t>Jenkinson Methode</t>
  </si>
  <si>
    <t>AEA Methode</t>
  </si>
  <si>
    <t>Flugzeugwertvergleich</t>
  </si>
  <si>
    <t>Copyright © 2018</t>
  </si>
  <si>
    <t>This is free software: you can redistribute it and/or modify</t>
  </si>
  <si>
    <t>it under the terms of the GNU General Public License as published by</t>
  </si>
  <si>
    <t>the Free Software Foundation, License Version 3.</t>
  </si>
  <si>
    <t>The software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</si>
  <si>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</si>
  <si>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</si>
  <si>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</si>
  <si>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http://www.gnu.org/licenses/gpl.html</t>
  </si>
  <si>
    <t>Dataset:</t>
  </si>
  <si>
    <t>Publication:</t>
  </si>
  <si>
    <t>Niklas Brüge, Felix Kranich</t>
  </si>
  <si>
    <t>http://nbn-resolving.de/urn:nbn:de:gbv:18302-aero2018-04-30.011</t>
  </si>
  <si>
    <t>Gesamtübersicht - Wartungskosten nach DOC-Methoden</t>
  </si>
  <si>
    <t>https://doi.org/10.7910/DVN/5O7CSB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</si>
</sst>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0"/>
    <numFmt numFmtId="166" formatCode="0.000"/>
  </numFmts>
  <fonts count="20"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vertAlign val="subscript"/>
      <sz val="11"/>
      <name val="Calibri"/>
      <family val="2"/>
    </font>
    <font>
      <u/>
      <sz val="11"/>
      <color theme="10"/>
      <name val="Calibri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sz val="11"/>
      <color theme="1"/>
      <name val="Calibri"/>
      <family val="2"/>
    </font>
    <font>
      <b/>
      <sz val="20"/>
      <name val="Calibri"/>
      <family val="2"/>
    </font>
    <font>
      <b/>
      <sz val="20"/>
      <color rgb="FF000000"/>
      <name val="Calibri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u/>
      <sz val="11"/>
      <color indexed="12"/>
      <name val="Calibri"/>
      <family val="2"/>
    </font>
    <font>
      <u/>
      <sz val="11"/>
      <color rgb="FF0000F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indexed="12"/>
      <name val="Calibri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A9D08E"/>
        <bgColor rgb="FFA9D08E"/>
      </patternFill>
    </fill>
    <fill>
      <patternFill patternType="solid">
        <fgColor rgb="FFFF0000"/>
        <bgColor rgb="FFFF0000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12" fillId="0" borderId="0"/>
    <xf numFmtId="0" fontId="14" fillId="0" borderId="0" applyNumberFormat="0" applyFill="0" applyBorder="0" applyAlignment="0" applyProtection="0">
      <alignment vertical="top"/>
      <protection locked="0"/>
    </xf>
  </cellStyleXfs>
  <cellXfs count="90">
    <xf numFmtId="0" fontId="0" fillId="0" borderId="0" xfId="0"/>
    <xf numFmtId="0" fontId="0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1" fillId="7" borderId="0" xfId="0" applyFont="1" applyFill="1"/>
    <xf numFmtId="0" fontId="0" fillId="8" borderId="0" xfId="0" applyFill="1"/>
    <xf numFmtId="0" fontId="0" fillId="7" borderId="0" xfId="0" applyFill="1"/>
    <xf numFmtId="10" fontId="0" fillId="0" borderId="0" xfId="0" applyNumberFormat="1"/>
    <xf numFmtId="0" fontId="1" fillId="0" borderId="0" xfId="0" applyFont="1"/>
    <xf numFmtId="0" fontId="2" fillId="0" borderId="0" xfId="0" applyFont="1"/>
    <xf numFmtId="0" fontId="0" fillId="9" borderId="0" xfId="0" applyFill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0" fillId="4" borderId="0" xfId="0" applyFill="1" applyAlignment="1">
      <alignment wrapText="1"/>
    </xf>
    <xf numFmtId="0" fontId="6" fillId="0" borderId="0" xfId="1"/>
    <xf numFmtId="0" fontId="0" fillId="0" borderId="0" xfId="0" applyFill="1"/>
    <xf numFmtId="0" fontId="7" fillId="0" borderId="0" xfId="0" applyFont="1"/>
    <xf numFmtId="0" fontId="0" fillId="0" borderId="0" xfId="0"/>
    <xf numFmtId="0" fontId="4" fillId="0" borderId="0" xfId="0" applyFont="1"/>
    <xf numFmtId="0" fontId="3" fillId="10" borderId="0" xfId="0" applyFont="1" applyFill="1"/>
    <xf numFmtId="10" fontId="3" fillId="0" borderId="0" xfId="0" applyNumberFormat="1" applyFont="1"/>
    <xf numFmtId="0" fontId="3" fillId="11" borderId="0" xfId="0" applyFont="1" applyFill="1"/>
    <xf numFmtId="0" fontId="3" fillId="12" borderId="0" xfId="0" applyFont="1" applyFill="1"/>
    <xf numFmtId="0" fontId="3" fillId="0" borderId="0" xfId="0" applyFont="1" applyFill="1"/>
    <xf numFmtId="0" fontId="3" fillId="13" borderId="0" xfId="0" applyFont="1" applyFill="1"/>
    <xf numFmtId="0" fontId="3" fillId="14" borderId="0" xfId="0" applyFont="1" applyFill="1"/>
    <xf numFmtId="0" fontId="3" fillId="0" borderId="0" xfId="0" applyFont="1" applyAlignment="1">
      <alignment wrapText="1"/>
    </xf>
    <xf numFmtId="0" fontId="3" fillId="15" borderId="0" xfId="0" applyFont="1" applyFill="1"/>
    <xf numFmtId="0" fontId="8" fillId="15" borderId="0" xfId="0" applyFont="1" applyFill="1"/>
    <xf numFmtId="1" fontId="3" fillId="0" borderId="0" xfId="0" applyNumberFormat="1" applyFont="1"/>
    <xf numFmtId="0" fontId="3" fillId="16" borderId="0" xfId="0" applyFont="1" applyFill="1"/>
    <xf numFmtId="0" fontId="0" fillId="17" borderId="0" xfId="0" applyFill="1"/>
    <xf numFmtId="1" fontId="0" fillId="0" borderId="0" xfId="0" applyNumberFormat="1"/>
    <xf numFmtId="0" fontId="3" fillId="0" borderId="0" xfId="0" applyFont="1" applyAlignment="1">
      <alignment horizontal="right"/>
    </xf>
    <xf numFmtId="0" fontId="3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65" fontId="3" fillId="0" borderId="0" xfId="0" applyNumberFormat="1" applyFont="1"/>
    <xf numFmtId="166" fontId="3" fillId="0" borderId="0" xfId="0" applyNumberFormat="1" applyFont="1"/>
    <xf numFmtId="2" fontId="3" fillId="0" borderId="0" xfId="0" applyNumberFormat="1" applyFont="1"/>
    <xf numFmtId="164" fontId="3" fillId="0" borderId="0" xfId="0" applyNumberFormat="1" applyFont="1"/>
    <xf numFmtId="1" fontId="3" fillId="10" borderId="0" xfId="0" applyNumberFormat="1" applyFont="1" applyFill="1"/>
    <xf numFmtId="164" fontId="3" fillId="11" borderId="0" xfId="0" applyNumberFormat="1" applyFont="1" applyFill="1"/>
    <xf numFmtId="164" fontId="3" fillId="12" borderId="0" xfId="0" applyNumberFormat="1" applyFont="1" applyFill="1"/>
    <xf numFmtId="1" fontId="3" fillId="0" borderId="0" xfId="0" applyNumberFormat="1" applyFont="1" applyFill="1"/>
    <xf numFmtId="0" fontId="4" fillId="10" borderId="0" xfId="0" applyFont="1" applyFill="1"/>
    <xf numFmtId="0" fontId="4" fillId="14" borderId="0" xfId="0" applyFont="1" applyFill="1"/>
    <xf numFmtId="0" fontId="4" fillId="13" borderId="0" xfId="0" applyFont="1" applyFill="1"/>
    <xf numFmtId="0" fontId="4" fillId="12" borderId="0" xfId="0" applyFont="1" applyFill="1"/>
    <xf numFmtId="0" fontId="4" fillId="11" borderId="0" xfId="0" applyFont="1" applyFill="1"/>
    <xf numFmtId="164" fontId="0" fillId="0" borderId="0" xfId="0" applyNumberFormat="1"/>
    <xf numFmtId="1" fontId="0" fillId="0" borderId="0" xfId="0" applyNumberFormat="1" applyFill="1"/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" fontId="3" fillId="13" borderId="0" xfId="0" applyNumberFormat="1" applyFont="1" applyFill="1"/>
    <xf numFmtId="166" fontId="9" fillId="0" borderId="0" xfId="0" applyNumberFormat="1" applyFont="1"/>
    <xf numFmtId="1" fontId="3" fillId="14" borderId="0" xfId="0" applyNumberFormat="1" applyFont="1" applyFill="1"/>
    <xf numFmtId="1" fontId="8" fillId="15" borderId="0" xfId="0" applyNumberFormat="1" applyFont="1" applyFill="1"/>
    <xf numFmtId="2" fontId="0" fillId="17" borderId="0" xfId="0" applyNumberFormat="1" applyFill="1"/>
    <xf numFmtId="0" fontId="1" fillId="0" borderId="1" xfId="0" applyFont="1" applyBorder="1"/>
    <xf numFmtId="0" fontId="0" fillId="0" borderId="1" xfId="0" applyBorder="1"/>
    <xf numFmtId="0" fontId="3" fillId="0" borderId="0" xfId="0" applyFont="1" applyAlignment="1">
      <alignment horizontal="right" vertical="center"/>
    </xf>
    <xf numFmtId="3" fontId="3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10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2" fillId="0" borderId="0" xfId="0" applyFont="1" applyFill="1"/>
    <xf numFmtId="0" fontId="11" fillId="0" borderId="0" xfId="0" applyFont="1"/>
    <xf numFmtId="0" fontId="4" fillId="16" borderId="0" xfId="0" applyFont="1" applyFill="1"/>
    <xf numFmtId="166" fontId="3" fillId="16" borderId="0" xfId="0" applyNumberFormat="1" applyFont="1" applyFill="1"/>
    <xf numFmtId="0" fontId="3" fillId="16" borderId="1" xfId="0" applyFont="1" applyFill="1" applyBorder="1" applyAlignment="1">
      <alignment horizontal="right" vertical="top"/>
    </xf>
    <xf numFmtId="0" fontId="1" fillId="0" borderId="0" xfId="0" applyFont="1" applyBorder="1"/>
    <xf numFmtId="0" fontId="11" fillId="0" borderId="0" xfId="0" applyFont="1" applyBorder="1"/>
    <xf numFmtId="0" fontId="13" fillId="0" borderId="0" xfId="2" applyFont="1"/>
    <xf numFmtId="0" fontId="12" fillId="0" borderId="0" xfId="2"/>
    <xf numFmtId="0" fontId="1" fillId="0" borderId="0" xfId="0" applyFont="1" applyFill="1"/>
    <xf numFmtId="0" fontId="15" fillId="0" borderId="0" xfId="1" applyFont="1" applyAlignment="1" applyProtection="1"/>
    <xf numFmtId="0" fontId="16" fillId="0" borderId="0" xfId="2" applyFont="1" applyFill="1"/>
    <xf numFmtId="0" fontId="17" fillId="0" borderId="0" xfId="2" applyFont="1"/>
    <xf numFmtId="0" fontId="18" fillId="0" borderId="0" xfId="2" applyFont="1" applyFill="1"/>
    <xf numFmtId="0" fontId="19" fillId="0" borderId="0" xfId="3" applyFont="1" applyFill="1" applyAlignment="1" applyProtection="1"/>
    <xf numFmtId="0" fontId="16" fillId="0" borderId="0" xfId="2" applyFont="1"/>
  </cellXfs>
  <cellStyles count="4">
    <cellStyle name="Hyperlink" xfId="1" builtinId="8"/>
    <cellStyle name="Hyperlink 2" xfId="3"/>
    <cellStyle name="Standard" xfId="0" builtinId="0" customBuiltin="1"/>
    <cellStyle name="Standard 2" xfId="2"/>
  </cellStyles>
  <dxfs count="0"/>
  <tableStyles count="0" defaultTableStyle="TableStyleMedium2" defaultPivotStyle="PivotStyleLight16"/>
  <colors>
    <mruColors>
      <color rgb="FF0000FF"/>
      <color rgb="FFCC9900"/>
      <color rgb="FFCC3300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microsoft.com/office/2011/relationships/chartStyle" Target="style4.xml"/><Relationship Id="rId2" Type="http://schemas.microsoft.com/office/2011/relationships/chartColorStyle" Target="colors4.xml"/><Relationship Id="rId1" Type="http://schemas.openxmlformats.org/officeDocument/2006/relationships/chartUserShapes" Target="../drawings/drawing5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2.xml.rels><?xml version="1.0" encoding="UTF-8" standalone="yes"?>
<Relationships xmlns="http://schemas.openxmlformats.org/package/2006/relationships"><Relationship Id="rId3" Type="http://schemas.microsoft.com/office/2011/relationships/chartStyle" Target="style5.xml"/><Relationship Id="rId2" Type="http://schemas.microsoft.com/office/2011/relationships/chartColorStyle" Target="colors5.xml"/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Gesamtschub</a:t>
            </a:r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14299608775318187"/>
          <c:y val="0.17171296296296301"/>
          <c:w val="0.83394311560111611"/>
          <c:h val="0.72088764946048434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Flugzeugwertvergleich!$B$3:$K$3</c:f>
              <c:strCache>
                <c:ptCount val="9"/>
                <c:pt idx="0">
                  <c:v>A330-300</c:v>
                </c:pt>
                <c:pt idx="1">
                  <c:v>A340-300</c:v>
                </c:pt>
                <c:pt idx="2">
                  <c:v>DC8-73</c:v>
                </c:pt>
                <c:pt idx="3">
                  <c:v>MD11-ER</c:v>
                </c:pt>
                <c:pt idx="4">
                  <c:v>TriStar</c:v>
                </c:pt>
                <c:pt idx="5">
                  <c:v>BAE 146-300</c:v>
                </c:pt>
                <c:pt idx="6">
                  <c:v>A318</c:v>
                </c:pt>
                <c:pt idx="7">
                  <c:v>Jak-42</c:v>
                </c:pt>
                <c:pt idx="8">
                  <c:v>B737-800</c:v>
                </c:pt>
              </c:strCache>
            </c:strRef>
          </c:cat>
          <c:val>
            <c:numRef>
              <c:f>Flugzeugwertvergleich!$B$4:$K$4</c:f>
              <c:numCache>
                <c:formatCode>General</c:formatCode>
                <c:ptCount val="9"/>
                <c:pt idx="0">
                  <c:v>609.79999999999995</c:v>
                </c:pt>
                <c:pt idx="1">
                  <c:v>604.79999999999995</c:v>
                </c:pt>
                <c:pt idx="2">
                  <c:v>392</c:v>
                </c:pt>
                <c:pt idx="3">
                  <c:v>822</c:v>
                </c:pt>
                <c:pt idx="4">
                  <c:v>720</c:v>
                </c:pt>
                <c:pt idx="5">
                  <c:v>124.4</c:v>
                </c:pt>
                <c:pt idx="6">
                  <c:v>196.6</c:v>
                </c:pt>
                <c:pt idx="7">
                  <c:v>191.25</c:v>
                </c:pt>
                <c:pt idx="8">
                  <c:v>242.8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D31-48B9-AE6C-83B1D3AEC09A}"/>
            </c:ext>
          </c:extLst>
        </c:ser>
        <c:gapWidth val="61"/>
        <c:overlap val="-27"/>
        <c:axId val="50506752"/>
        <c:axId val="62482304"/>
      </c:barChart>
      <c:catAx>
        <c:axId val="50506752"/>
        <c:scaling>
          <c:orientation val="minMax"/>
        </c:scaling>
        <c:axPos val="b"/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482304"/>
        <c:crosses val="autoZero"/>
        <c:auto val="1"/>
        <c:lblAlgn val="ctr"/>
        <c:lblOffset val="100"/>
      </c:catAx>
      <c:valAx>
        <c:axId val="6248230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050675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A340-300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DA4-4935-B8DA-39A748C3926D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DA4-4935-B8DA-39A748C3926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'Jenkinson Auswertung'!$D$15:$D$16</c:f>
              <c:numCache>
                <c:formatCode>0.00%</c:formatCode>
                <c:ptCount val="2"/>
                <c:pt idx="0">
                  <c:v>0.13844770752172611</c:v>
                </c:pt>
                <c:pt idx="1">
                  <c:v>0.86155229247827392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EDA4-4935-B8DA-39A748C3926D}"/>
            </c:ext>
          </c:extLst>
        </c:ser>
        <c:dLbls>
          <c:showVal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Gesamtwartungskosten pro Flugstunde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v>C_M,AF,f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'TUB Auswertung'!$D$17:$E$17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'TUB Auswertung'!$D$6:$E$6</c:f>
              <c:numCache>
                <c:formatCode>General</c:formatCode>
                <c:ptCount val="2"/>
                <c:pt idx="0">
                  <c:v>886.90000000000009</c:v>
                </c:pt>
                <c:pt idx="1">
                  <c:v>920.90000000000009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0C2-4088-AFE2-6A65F174C477}"/>
            </c:ext>
          </c:extLst>
        </c:ser>
        <c:ser>
          <c:idx val="1"/>
          <c:order val="1"/>
          <c:tx>
            <c:v>C_M.E,f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'TUB Auswertung'!$D$17:$E$17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'TUB Auswertung'!$D$10:$E$10</c:f>
              <c:numCache>
                <c:formatCode>General</c:formatCode>
                <c:ptCount val="2"/>
                <c:pt idx="0">
                  <c:v>178</c:v>
                </c:pt>
                <c:pt idx="1">
                  <c:v>240.7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0C2-4088-AFE2-6A65F174C477}"/>
            </c:ext>
          </c:extLst>
        </c:ser>
        <c:ser>
          <c:idx val="2"/>
          <c:order val="2"/>
          <c:tx>
            <c:v>C_M,f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'TUB Auswertung'!$D$17:$E$17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'TUB Auswertung'!$D$12:$E$12</c:f>
              <c:numCache>
                <c:formatCode>General</c:formatCode>
                <c:ptCount val="2"/>
                <c:pt idx="0">
                  <c:v>1064.9000000000001</c:v>
                </c:pt>
                <c:pt idx="1">
                  <c:v>1161.6000000000001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F0C2-4088-AFE2-6A65F174C477}"/>
            </c:ext>
          </c:extLst>
        </c:ser>
        <c:axId val="221991296"/>
        <c:axId val="221993216"/>
      </c:scatterChart>
      <c:valAx>
        <c:axId val="2219912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Triebwerksanzahl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993216"/>
        <c:crosses val="autoZero"/>
        <c:crossBetween val="midCat"/>
      </c:valAx>
      <c:valAx>
        <c:axId val="22199321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[US$]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199129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A330-300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50B7-47DE-92E5-25E7461F59D7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50B7-47DE-92E5-25E7461F59D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'TUB Auswertung'!$D$15:$D$16</c:f>
              <c:numCache>
                <c:formatCode>0.00%</c:formatCode>
                <c:ptCount val="2"/>
                <c:pt idx="0">
                  <c:v>0.14321345240968703</c:v>
                </c:pt>
                <c:pt idx="1">
                  <c:v>0.85678654759031292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4F-4210-84E9-DF43B615303F}"/>
            </c:ext>
          </c:extLst>
        </c:ser>
        <c:dLbls>
          <c:showVal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A340-300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7E9-4A98-97E4-7B08123B4886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7E9-4A98-97E4-7B08123B488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'TUB Auswertung'!$E$15:$E$16</c:f>
              <c:numCache>
                <c:formatCode>0.00%</c:formatCode>
                <c:ptCount val="2"/>
                <c:pt idx="0">
                  <c:v>0.17164658061755683</c:v>
                </c:pt>
                <c:pt idx="1">
                  <c:v>0.82835341938244311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87E9-4A98-97E4-7B08123B4886}"/>
            </c:ext>
          </c:extLst>
        </c:ser>
        <c:dLbls>
          <c:showVal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2529095640061366"/>
          <c:y val="0.17171296296296301"/>
          <c:w val="0.85235130232306744"/>
          <c:h val="0.65828594342373892"/>
        </c:manualLayout>
      </c:layout>
      <c:barChart>
        <c:barDir val="col"/>
        <c:grouping val="stack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Flugzeugwertvergleich!$B$3:$K$3</c:f>
              <c:strCache>
                <c:ptCount val="9"/>
                <c:pt idx="0">
                  <c:v>A330-300</c:v>
                </c:pt>
                <c:pt idx="1">
                  <c:v>A340-300</c:v>
                </c:pt>
                <c:pt idx="2">
                  <c:v>DC8-73</c:v>
                </c:pt>
                <c:pt idx="3">
                  <c:v>MD11-ER</c:v>
                </c:pt>
                <c:pt idx="4">
                  <c:v>TriStar</c:v>
                </c:pt>
                <c:pt idx="5">
                  <c:v>BAE 146-300</c:v>
                </c:pt>
                <c:pt idx="6">
                  <c:v>A318</c:v>
                </c:pt>
                <c:pt idx="7">
                  <c:v>Jak-42</c:v>
                </c:pt>
                <c:pt idx="8">
                  <c:v>B737-800</c:v>
                </c:pt>
              </c:strCache>
            </c:strRef>
          </c:cat>
          <c:val>
            <c:numRef>
              <c:f>Flugzeugwertvergleich!$B$5:$K$5</c:f>
              <c:numCache>
                <c:formatCode>0</c:formatCode>
                <c:ptCount val="9"/>
                <c:pt idx="0">
                  <c:v>20.460781893869065</c:v>
                </c:pt>
                <c:pt idx="1">
                  <c:v>23.185777223840944</c:v>
                </c:pt>
                <c:pt idx="2">
                  <c:v>16.318409571700446</c:v>
                </c:pt>
                <c:pt idx="3">
                  <c:v>28.146469465057983</c:v>
                </c:pt>
                <c:pt idx="4">
                  <c:v>25.282328914168964</c:v>
                </c:pt>
                <c:pt idx="5">
                  <c:v>6.4405153994827824</c:v>
                </c:pt>
                <c:pt idx="6">
                  <c:v>8.179430406914129</c:v>
                </c:pt>
                <c:pt idx="7">
                  <c:v>8.6392277753539286</c:v>
                </c:pt>
                <c:pt idx="8">
                  <c:v>9.7044705955795809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6CC-4A90-ABED-E54C0D9484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Flugzeugwertvergleich!$B$3:$K$3</c:f>
              <c:strCache>
                <c:ptCount val="9"/>
                <c:pt idx="0">
                  <c:v>A330-300</c:v>
                </c:pt>
                <c:pt idx="1">
                  <c:v>A340-300</c:v>
                </c:pt>
                <c:pt idx="2">
                  <c:v>DC8-73</c:v>
                </c:pt>
                <c:pt idx="3">
                  <c:v>MD11-ER</c:v>
                </c:pt>
                <c:pt idx="4">
                  <c:v>TriStar</c:v>
                </c:pt>
                <c:pt idx="5">
                  <c:v>BAE 146-300</c:v>
                </c:pt>
                <c:pt idx="6">
                  <c:v>A318</c:v>
                </c:pt>
                <c:pt idx="7">
                  <c:v>Jak-42</c:v>
                </c:pt>
                <c:pt idx="8">
                  <c:v>B737-800</c:v>
                </c:pt>
              </c:strCache>
            </c:strRef>
          </c:cat>
          <c:val>
            <c:numRef>
              <c:f>Flugzeugwertvergleich!$B$6:$K$6</c:f>
              <c:numCache>
                <c:formatCode>0</c:formatCode>
                <c:ptCount val="9"/>
                <c:pt idx="0">
                  <c:v>216.4435430791149</c:v>
                </c:pt>
                <c:pt idx="1">
                  <c:v>229.65381624508365</c:v>
                </c:pt>
                <c:pt idx="2">
                  <c:v>-6.218598186459448</c:v>
                </c:pt>
                <c:pt idx="3">
                  <c:v>201.85353053494202</c:v>
                </c:pt>
                <c:pt idx="4">
                  <c:v>6.3776172867359779</c:v>
                </c:pt>
                <c:pt idx="5">
                  <c:v>31.442582532819998</c:v>
                </c:pt>
                <c:pt idx="6">
                  <c:v>60.873399742161929</c:v>
                </c:pt>
                <c:pt idx="7">
                  <c:v>25.032080034208917</c:v>
                </c:pt>
                <c:pt idx="8">
                  <c:v>88.395529404420415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6CC-4A90-ABED-E54C0D94846A}"/>
            </c:ext>
          </c:extLst>
        </c:ser>
        <c:gapWidth val="61"/>
        <c:overlap val="100"/>
        <c:axId val="62961536"/>
        <c:axId val="62963072"/>
      </c:barChart>
      <c:catAx>
        <c:axId val="62961536"/>
        <c:scaling>
          <c:orientation val="minMax"/>
        </c:scaling>
        <c:axPos val="b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963072"/>
        <c:crosses val="autoZero"/>
        <c:auto val="1"/>
        <c:lblAlgn val="ctr"/>
        <c:lblOffset val="100"/>
      </c:catAx>
      <c:valAx>
        <c:axId val="62963072"/>
        <c:scaling>
          <c:orientation val="minMax"/>
          <c:max val="265"/>
          <c:min val="-10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62961536"/>
        <c:crosses val="autoZero"/>
        <c:crossBetween val="between"/>
        <c:majorUnit val="25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Wartungskosten</a:t>
            </a:r>
            <a:r>
              <a:rPr lang="de-DE" baseline="0"/>
              <a:t> AF pro Flugstunde</a:t>
            </a:r>
            <a:endParaRPr lang="de-DE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v>C_M,P,AF,f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Auswertung'!$E$3:$F$3</c:f>
              <c:numCache>
                <c:formatCode>General</c:formatCode>
                <c:ptCount val="2"/>
                <c:pt idx="0">
                  <c:v>1051.2</c:v>
                </c:pt>
                <c:pt idx="1">
                  <c:v>1091.9000000000001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760-4AEA-AC70-98643ED9ACCE}"/>
            </c:ext>
          </c:extLst>
        </c:ser>
        <c:ser>
          <c:idx val="1"/>
          <c:order val="1"/>
          <c:tx>
            <c:v>C_M,M,AF,f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Auswertung'!$E$4:$F$4</c:f>
              <c:numCache>
                <c:formatCode>General</c:formatCode>
                <c:ptCount val="2"/>
                <c:pt idx="0">
                  <c:v>324.10000000000002</c:v>
                </c:pt>
                <c:pt idx="1">
                  <c:v>345.9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760-4AEA-AC70-98643ED9ACCE}"/>
            </c:ext>
          </c:extLst>
        </c:ser>
        <c:axId val="222484736"/>
        <c:axId val="224285056"/>
      </c:scatterChart>
      <c:valAx>
        <c:axId val="2224847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Triebwerksanzahl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4285056"/>
        <c:crosses val="autoZero"/>
        <c:crossBetween val="midCat"/>
      </c:valAx>
      <c:valAx>
        <c:axId val="22428505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[US$]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4847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Wartungskosten</a:t>
            </a:r>
            <a:r>
              <a:rPr lang="de-DE" baseline="0"/>
              <a:t> E pro Flugstunde</a:t>
            </a:r>
            <a:endParaRPr lang="de-DE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v>C_M,P,E,f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Auswertung'!$E$7:$F$7</c:f>
              <c:numCache>
                <c:formatCode>General</c:formatCode>
                <c:ptCount val="2"/>
                <c:pt idx="0">
                  <c:v>157.5</c:v>
                </c:pt>
                <c:pt idx="1">
                  <c:v>205.9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F055-4E38-8B9E-40BBFAA3D886}"/>
            </c:ext>
          </c:extLst>
        </c:ser>
        <c:ser>
          <c:idx val="1"/>
          <c:order val="1"/>
          <c:tx>
            <c:v>C_M,M,E,f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Auswertung'!$E$8:$F$8</c:f>
              <c:numCache>
                <c:formatCode>General</c:formatCode>
                <c:ptCount val="2"/>
                <c:pt idx="0">
                  <c:v>227</c:v>
                </c:pt>
                <c:pt idx="1">
                  <c:v>260.3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F055-4E38-8B9E-40BBFAA3D886}"/>
            </c:ext>
          </c:extLst>
        </c:ser>
        <c:axId val="233473920"/>
        <c:axId val="241511424"/>
      </c:scatterChart>
      <c:valAx>
        <c:axId val="23347392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Triebwerksanzahl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1511424"/>
        <c:crosses val="autoZero"/>
        <c:crossBetween val="midCat"/>
      </c:valAx>
      <c:valAx>
        <c:axId val="24151142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[US$]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347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 baseline="0"/>
              <a:t>Gesamtwartunkskosten pro Flugstunde</a:t>
            </a:r>
            <a:endParaRPr lang="de-DE"/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v>C_M,AF,f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Auswertung'!$E$5:$F$5</c:f>
              <c:numCache>
                <c:formatCode>General</c:formatCode>
                <c:ptCount val="2"/>
                <c:pt idx="0">
                  <c:v>1375.3000000000002</c:v>
                </c:pt>
                <c:pt idx="1">
                  <c:v>1437.8000000000002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96AB-425E-9EDD-5FDB3407499D}"/>
            </c:ext>
          </c:extLst>
        </c:ser>
        <c:ser>
          <c:idx val="1"/>
          <c:order val="1"/>
          <c:tx>
            <c:v>C_M,E,f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Auswertung'!$E$9:$F$9</c:f>
              <c:numCache>
                <c:formatCode>General</c:formatCode>
                <c:ptCount val="2"/>
                <c:pt idx="0">
                  <c:v>384.5</c:v>
                </c:pt>
                <c:pt idx="1">
                  <c:v>466.20000000000005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6AB-425E-9EDD-5FDB3407499D}"/>
            </c:ext>
          </c:extLst>
        </c:ser>
        <c:ser>
          <c:idx val="2"/>
          <c:order val="2"/>
          <c:tx>
            <c:v>C_M,f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'AEA Auswertung'!$E$16:$F$16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'AEA Auswertung'!$E$11:$F$11</c:f>
              <c:numCache>
                <c:formatCode>General</c:formatCode>
                <c:ptCount val="2"/>
                <c:pt idx="0">
                  <c:v>1759.8000000000002</c:v>
                </c:pt>
                <c:pt idx="1">
                  <c:v>1904.0000000000002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96AB-425E-9EDD-5FDB3407499D}"/>
            </c:ext>
          </c:extLst>
        </c:ser>
        <c:axId val="63165952"/>
        <c:axId val="63167488"/>
      </c:scatterChart>
      <c:valAx>
        <c:axId val="631659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Triebwerksanzahl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7488"/>
        <c:crosses val="autoZero"/>
        <c:crossBetween val="midCat"/>
      </c:valAx>
      <c:valAx>
        <c:axId val="6316748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 [US$]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6595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A330-300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70B-49CB-A471-2D5079F6B8DA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70B-49CB-A471-2D5079F6B8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'AEA Auswertung'!$E$14:$E$15</c:f>
              <c:numCache>
                <c:formatCode>0.00%</c:formatCode>
                <c:ptCount val="2"/>
                <c:pt idx="0">
                  <c:v>0.17931259618523526</c:v>
                </c:pt>
                <c:pt idx="1">
                  <c:v>0.82068740381476468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E45-43BC-BCAE-49758FF97B2C}"/>
            </c:ext>
          </c:extLst>
        </c:ser>
        <c:dLbls>
          <c:showVal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A340-300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0C0-4561-9F96-35377DE81114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0C0-4561-9F96-35377DE81114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'AEA Auswertung'!$F$14:$F$15</c:f>
              <c:numCache>
                <c:formatCode>0.00%</c:formatCode>
                <c:ptCount val="2"/>
                <c:pt idx="0">
                  <c:v>0.19669226225634967</c:v>
                </c:pt>
                <c:pt idx="1">
                  <c:v>0.80330773774365039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70C0-4561-9F96-35377DE81114}"/>
            </c:ext>
          </c:extLst>
        </c:ser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Gesamtwartungskosten pro Flugstunde</a:t>
            </a:r>
          </a:p>
        </c:rich>
      </c:tx>
      <c:spPr>
        <a:noFill/>
        <a:ln>
          <a:noFill/>
        </a:ln>
        <a:effectLst/>
      </c:spPr>
    </c:title>
    <c:plotArea>
      <c:layout/>
      <c:scatterChart>
        <c:scatterStyle val="smoothMarker"/>
        <c:ser>
          <c:idx val="0"/>
          <c:order val="0"/>
          <c:tx>
            <c:v>C_M,AF,f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'Jenkinson Auswertung'!$C$17:$D$17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'Jenkinson Auswertung'!$C$6:$D$6</c:f>
              <c:numCache>
                <c:formatCode>General</c:formatCode>
                <c:ptCount val="2"/>
                <c:pt idx="0">
                  <c:v>930.7</c:v>
                </c:pt>
                <c:pt idx="1">
                  <c:v>965.2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B747-4057-B8DF-3B612562F20C}"/>
            </c:ext>
          </c:extLst>
        </c:ser>
        <c:ser>
          <c:idx val="1"/>
          <c:order val="1"/>
          <c:tx>
            <c:v>C_M,E,f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'Jenkinson Auswertung'!$C$17:$D$17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'Jenkinson Auswertung'!$C$10:$D$10</c:f>
              <c:numCache>
                <c:formatCode>General</c:formatCode>
                <c:ptCount val="2"/>
                <c:pt idx="0">
                  <c:v>186.2</c:v>
                </c:pt>
                <c:pt idx="1">
                  <c:v>184.8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B747-4057-B8DF-3B612562F20C}"/>
            </c:ext>
          </c:extLst>
        </c:ser>
        <c:ser>
          <c:idx val="2"/>
          <c:order val="2"/>
          <c:tx>
            <c:v>C_M,f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'Jenkinson Auswertung'!$C$17:$D$17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xVal>
          <c:yVal>
            <c:numRef>
              <c:f>'Jenkinson Auswertung'!$C$12:$D$12</c:f>
              <c:numCache>
                <c:formatCode>General</c:formatCode>
                <c:ptCount val="2"/>
                <c:pt idx="0">
                  <c:v>1116.9000000000001</c:v>
                </c:pt>
                <c:pt idx="1">
                  <c:v>1150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B747-4057-B8DF-3B612562F20C}"/>
            </c:ext>
          </c:extLst>
        </c:ser>
        <c:axId val="115516160"/>
        <c:axId val="115518080"/>
      </c:scatterChart>
      <c:valAx>
        <c:axId val="11551616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Triebwerksanzahl</a:t>
                </a:r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18080"/>
        <c:crosses val="autoZero"/>
        <c:crossBetween val="midCat"/>
      </c:valAx>
      <c:valAx>
        <c:axId val="115518080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Kosten</a:t>
                </a:r>
                <a:r>
                  <a:rPr lang="de-DE" baseline="0"/>
                  <a:t> [US$]</a:t>
                </a:r>
                <a:endParaRPr lang="de-DE"/>
              </a:p>
            </c:rich>
          </c:tx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51616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plotArea>
      <c:layout/>
      <c:pieChart>
        <c:varyColors val="1"/>
        <c:ser>
          <c:idx val="0"/>
          <c:order val="0"/>
          <c:tx>
            <c:v>A330-300</c:v>
          </c:tx>
          <c:dPt>
            <c:idx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AA01-488C-8E40-39475E89D09A}"/>
              </c:ext>
            </c:extLst>
          </c:dPt>
          <c:dPt>
            <c:idx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AA01-488C-8E40-39475E89D09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Val val="1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val>
            <c:numRef>
              <c:f>'Jenkinson Auswertung'!$C$15:$C$16</c:f>
              <c:numCache>
                <c:formatCode>0.00%</c:formatCode>
                <c:ptCount val="2"/>
                <c:pt idx="0">
                  <c:v>0.14289003146343332</c:v>
                </c:pt>
                <c:pt idx="1">
                  <c:v>0.85710996853656662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EC9-42FA-81D8-3FEC625F2FA9}"/>
            </c:ext>
          </c:extLst>
        </c:ser>
        <c:dLbls>
          <c:showVal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zero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8740157499999996" l="0.70000000000000018" r="0.70000000000000018" t="0.78740157499999996" header="0.3000000000000001" footer="0.3000000000000001"/>
    <c:pageSetup/>
  </c:printSettings>
</c:chartSpac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3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3.xml"/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388620</xdr:colOff>
      <xdr:row>2</xdr:row>
      <xdr:rowOff>66675</xdr:rowOff>
    </xdr:from>
    <xdr:ext cx="5022012" cy="624891"/>
    <xdr:pic>
      <xdr:nvPicPr>
        <xdr:cNvPr id="2" name="Grafik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608445" y="447675"/>
          <a:ext cx="5022012" cy="624891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4</xdr:col>
      <xdr:colOff>342900</xdr:colOff>
      <xdr:row>6</xdr:row>
      <xdr:rowOff>0</xdr:rowOff>
    </xdr:from>
    <xdr:ext cx="3642676" cy="502965"/>
    <xdr:pic>
      <xdr:nvPicPr>
        <xdr:cNvPr id="3" name="Grafik 4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6385560" y="914400"/>
          <a:ext cx="3642676" cy="502965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4</xdr:col>
      <xdr:colOff>304796</xdr:colOff>
      <xdr:row>9</xdr:row>
      <xdr:rowOff>60963</xdr:rowOff>
    </xdr:from>
    <xdr:ext cx="4663842" cy="662994"/>
    <xdr:pic>
      <xdr:nvPicPr>
        <xdr:cNvPr id="4" name="Grafik 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6347456" y="1524003"/>
          <a:ext cx="4663842" cy="662994"/>
        </a:xfrm>
        <a:prstGeom prst="rect">
          <a:avLst/>
        </a:prstGeom>
        <a:noFill/>
        <a:ln cap="flat">
          <a:noFill/>
        </a:ln>
      </xdr:spPr>
    </xdr:pic>
    <xdr:clientData/>
  </xdr:oneCellAnchor>
  <xdr:oneCellAnchor>
    <xdr:from>
      <xdr:col>5</xdr:col>
      <xdr:colOff>38100</xdr:colOff>
      <xdr:row>46</xdr:row>
      <xdr:rowOff>0</xdr:rowOff>
    </xdr:from>
    <xdr:ext cx="5898392" cy="739200"/>
    <xdr:pic>
      <xdr:nvPicPr>
        <xdr:cNvPr id="5" name="Grafik 8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903720" y="8229600"/>
          <a:ext cx="5898392" cy="739200"/>
        </a:xfrm>
        <a:prstGeom prst="rect">
          <a:avLst/>
        </a:prstGeom>
        <a:noFill/>
        <a:ln cap="flat">
          <a:noFill/>
        </a:ln>
      </xdr:spPr>
    </xdr:pic>
    <xdr:clientData/>
  </xdr:oneCellAnchor>
  <xdr:twoCellAnchor editAs="oneCell">
    <xdr:from>
      <xdr:col>4</xdr:col>
      <xdr:colOff>251460</xdr:colOff>
      <xdr:row>13</xdr:row>
      <xdr:rowOff>30480</xdr:rowOff>
    </xdr:from>
    <xdr:to>
      <xdr:col>11</xdr:col>
      <xdr:colOff>617878</xdr:colOff>
      <xdr:row>25</xdr:row>
      <xdr:rowOff>127682</xdr:rowOff>
    </xdr:to>
    <xdr:pic>
      <xdr:nvPicPr>
        <xdr:cNvPr id="7" name="Grafik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294120" y="2225040"/>
          <a:ext cx="5944258" cy="2291762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739140</xdr:colOff>
      <xdr:row>5</xdr:row>
      <xdr:rowOff>175260</xdr:rowOff>
    </xdr:from>
    <xdr:to>
      <xdr:col>12</xdr:col>
      <xdr:colOff>556260</xdr:colOff>
      <xdr:row>20</xdr:row>
      <xdr:rowOff>175260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B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769620</xdr:colOff>
      <xdr:row>18</xdr:row>
      <xdr:rowOff>137160</xdr:rowOff>
    </xdr:from>
    <xdr:to>
      <xdr:col>6</xdr:col>
      <xdr:colOff>586740</xdr:colOff>
      <xdr:row>33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B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</xdr:colOff>
      <xdr:row>22</xdr:row>
      <xdr:rowOff>160020</xdr:rowOff>
    </xdr:from>
    <xdr:to>
      <xdr:col>12</xdr:col>
      <xdr:colOff>647700</xdr:colOff>
      <xdr:row>37</xdr:row>
      <xdr:rowOff>160020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83820</xdr:colOff>
      <xdr:row>4</xdr:row>
      <xdr:rowOff>45720</xdr:rowOff>
    </xdr:from>
    <xdr:to>
      <xdr:col>13</xdr:col>
      <xdr:colOff>30956</xdr:colOff>
      <xdr:row>16</xdr:row>
      <xdr:rowOff>45910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31180" y="411480"/>
          <a:ext cx="5494496" cy="2194750"/>
        </a:xfrm>
        <a:prstGeom prst="rect">
          <a:avLst/>
        </a:prstGeom>
      </xdr:spPr>
    </xdr:pic>
    <xdr:clientData/>
  </xdr:twoCellAnchor>
  <xdr:twoCellAnchor editAs="oneCell">
    <xdr:from>
      <xdr:col>5</xdr:col>
      <xdr:colOff>647700</xdr:colOff>
      <xdr:row>17</xdr:row>
      <xdr:rowOff>123974</xdr:rowOff>
    </xdr:from>
    <xdr:to>
      <xdr:col>14</xdr:col>
      <xdr:colOff>473106</xdr:colOff>
      <xdr:row>24</xdr:row>
      <xdr:rowOff>22973</xdr:rowOff>
    </xdr:to>
    <xdr:pic>
      <xdr:nvPicPr>
        <xdr:cNvPr id="5" name="Grafik 4">
          <a:extLst>
            <a:ext uri="{FF2B5EF4-FFF2-40B4-BE49-F238E27FC236}">
              <a16:creationId xmlns=""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99960" y="2867174"/>
          <a:ext cx="6957726" cy="117915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924220</xdr:colOff>
      <xdr:row>11</xdr:row>
      <xdr:rowOff>137160</xdr:rowOff>
    </xdr:from>
    <xdr:to>
      <xdr:col>11</xdr:col>
      <xdr:colOff>662891</xdr:colOff>
      <xdr:row>17</xdr:row>
      <xdr:rowOff>129539</xdr:rowOff>
    </xdr:to>
    <xdr:pic>
      <xdr:nvPicPr>
        <xdr:cNvPr id="3" name="Grafik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30860" y="2179320"/>
          <a:ext cx="5895631" cy="108965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97072</xdr:colOff>
      <xdr:row>7</xdr:row>
      <xdr:rowOff>25676</xdr:rowOff>
    </xdr:from>
    <xdr:to>
      <xdr:col>7</xdr:col>
      <xdr:colOff>370067</xdr:colOff>
      <xdr:row>22</xdr:row>
      <xdr:rowOff>25676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44754309-2A16-4CFF-A6EF-7A36CBA31E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77854</xdr:colOff>
      <xdr:row>23</xdr:row>
      <xdr:rowOff>37933</xdr:rowOff>
    </xdr:from>
    <xdr:to>
      <xdr:col>7</xdr:col>
      <xdr:colOff>358138</xdr:colOff>
      <xdr:row>38</xdr:row>
      <xdr:rowOff>37933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7CD999A4-EB30-4D13-B3FB-00632FBBCA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0.05518</cdr:x>
      <cdr:y>0.03579</cdr:y>
    </cdr:from>
    <cdr:to>
      <cdr:x>0.13569</cdr:x>
      <cdr:y>0.10602</cdr:y>
    </cdr:to>
    <cdr:sp macro="" textlink="">
      <cdr:nvSpPr>
        <cdr:cNvPr id="3" name="TextBox 3">
          <a:extLst xmlns:a="http://schemas.openxmlformats.org/drawingml/2006/main">
            <a:ext uri="{FF2B5EF4-FFF2-40B4-BE49-F238E27FC236}">
              <a16:creationId xmlns="" xmlns:a16="http://schemas.microsoft.com/office/drawing/2014/main" id="{8CF0FF8D-8F89-4844-8A09-07ACE2090FD6}"/>
            </a:ext>
          </a:extLst>
        </cdr:cNvPr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320794" y="102278"/>
          <a:ext cx="468090" cy="2006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00" i="0">
              <a:latin typeface="Times New Roman" panose="02020603050405020304" pitchFamily="18" charset="0"/>
              <a:cs typeface="Times New Roman" panose="02020603050405020304" pitchFamily="18" charset="0"/>
            </a:rPr>
            <a:t>kN</a:t>
          </a:r>
        </a:p>
      </cdr:txBody>
    </cdr:sp>
  </cdr:relSizeAnchor>
  <cdr:relSizeAnchor xmlns:cdr="http://schemas.openxmlformats.org/drawingml/2006/chartDrawing">
    <cdr:from>
      <cdr:x>0.03527</cdr:x>
      <cdr:y>0.37407</cdr:y>
    </cdr:from>
    <cdr:to>
      <cdr:x>0.03563</cdr:x>
      <cdr:y>0.48171</cdr:y>
    </cdr:to>
    <cdr:cxnSp macro="">
      <cdr:nvCxnSpPr>
        <cdr:cNvPr id="5" name="Gerade Verbindung mit Pfeil 4">
          <a:extLst xmlns:a="http://schemas.openxmlformats.org/drawingml/2006/main">
            <a:ext uri="{FF2B5EF4-FFF2-40B4-BE49-F238E27FC236}">
              <a16:creationId xmlns="" xmlns:a16="http://schemas.microsoft.com/office/drawing/2014/main" id="{6EAB9884-08C1-4F4B-B8F8-26E2813D525F}"/>
            </a:ext>
          </a:extLst>
        </cdr:cNvPr>
        <cdr:cNvCxnSpPr/>
      </cdr:nvCxnSpPr>
      <cdr:spPr>
        <a:xfrm xmlns:a="http://schemas.openxmlformats.org/drawingml/2006/main" flipH="1" flipV="1">
          <a:off x="213682" y="1026160"/>
          <a:ext cx="2144" cy="295270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0.0498</cdr:x>
      <cdr:y>0.02437</cdr:y>
    </cdr:from>
    <cdr:to>
      <cdr:x>0.1347</cdr:x>
      <cdr:y>0.0946</cdr:y>
    </cdr:to>
    <cdr:sp macro="" textlink="">
      <cdr:nvSpPr>
        <cdr:cNvPr id="2" name="TextBox 3">
          <a:extLst xmlns:a="http://schemas.openxmlformats.org/drawingml/2006/main">
            <a:ext uri="{FF2B5EF4-FFF2-40B4-BE49-F238E27FC236}">
              <a16:creationId xmlns="" xmlns:a16="http://schemas.microsoft.com/office/drawing/2014/main" id="{458F7836-D2AE-4F98-8E24-2B997C22D202}"/>
            </a:ext>
          </a:extLst>
        </cdr:cNvPr>
        <cdr:cNvSpPr txBox="1">
          <a:spLocks xmlns:a="http://schemas.openxmlformats.org/drawingml/2006/main" noChangeAspect="1"/>
        </cdr:cNvSpPr>
      </cdr:nvSpPr>
      <cdr:spPr>
        <a:xfrm xmlns:a="http://schemas.openxmlformats.org/drawingml/2006/main">
          <a:off x="289891" y="69629"/>
          <a:ext cx="494232" cy="20068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de-DE" sz="800">
              <a:latin typeface="Times New Roman" panose="02020603050405020304" pitchFamily="18" charset="0"/>
              <a:cs typeface="Times New Roman" panose="02020603050405020304" pitchFamily="18" charset="0"/>
            </a:rPr>
            <a:t>10</a:t>
          </a:r>
          <a:r>
            <a:rPr lang="de-DE" sz="800" baseline="30000">
              <a:latin typeface="Times New Roman" panose="02020603050405020304" pitchFamily="18" charset="0"/>
              <a:cs typeface="Times New Roman" panose="02020603050405020304" pitchFamily="18" charset="0"/>
            </a:rPr>
            <a:t>6 </a:t>
          </a:r>
          <a:r>
            <a:rPr lang="de-DE" sz="800" i="0" baseline="0">
              <a:latin typeface="Times New Roman" panose="02020603050405020304" pitchFamily="18" charset="0"/>
              <a:cs typeface="Times New Roman" panose="02020603050405020304" pitchFamily="18" charset="0"/>
            </a:rPr>
            <a:t>US$</a:t>
          </a:r>
          <a:endParaRPr lang="de-DE" sz="800" i="0">
            <a:latin typeface="Times New Roman" panose="02020603050405020304" pitchFamily="18" charset="0"/>
            <a:cs typeface="Times New Roman" panose="02020603050405020304" pitchFamily="18" charset="0"/>
          </a:endParaRPr>
        </a:p>
      </cdr:txBody>
    </cdr:sp>
  </cdr:relSizeAnchor>
  <cdr:relSizeAnchor xmlns:cdr="http://schemas.openxmlformats.org/drawingml/2006/chartDrawing">
    <cdr:from>
      <cdr:x>0.0421</cdr:x>
      <cdr:y>0.37169</cdr:y>
    </cdr:from>
    <cdr:to>
      <cdr:x>0.04243</cdr:x>
      <cdr:y>0.47933</cdr:y>
    </cdr:to>
    <cdr:cxnSp macro="">
      <cdr:nvCxnSpPr>
        <cdr:cNvPr id="4" name="Gerade Verbindung mit Pfeil 3">
          <a:extLst xmlns:a="http://schemas.openxmlformats.org/drawingml/2006/main">
            <a:ext uri="{FF2B5EF4-FFF2-40B4-BE49-F238E27FC236}">
              <a16:creationId xmlns="" xmlns:a16="http://schemas.microsoft.com/office/drawing/2014/main" id="{2DEAE68A-7B2D-4B87-91A4-32F3A1C72F67}"/>
            </a:ext>
          </a:extLst>
        </cdr:cNvPr>
        <cdr:cNvCxnSpPr/>
      </cdr:nvCxnSpPr>
      <cdr:spPr>
        <a:xfrm xmlns:a="http://schemas.openxmlformats.org/drawingml/2006/main" flipH="1" flipV="1">
          <a:off x="256210" y="1034385"/>
          <a:ext cx="2012" cy="299558"/>
        </a:xfrm>
        <a:prstGeom xmlns:a="http://schemas.openxmlformats.org/drawingml/2006/main" prst="straightConnector1">
          <a:avLst/>
        </a:prstGeom>
        <a:ln xmlns:a="http://schemas.openxmlformats.org/drawingml/2006/main" w="9525">
          <a:solidFill>
            <a:schemeClr val="tx1"/>
          </a:solidFill>
          <a:tailEnd type="arrow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4</xdr:row>
      <xdr:rowOff>133350</xdr:rowOff>
    </xdr:from>
    <xdr:to>
      <xdr:col>2</xdr:col>
      <xdr:colOff>514350</xdr:colOff>
      <xdr:row>8</xdr:row>
      <xdr:rowOff>180975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85725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</xdr:colOff>
      <xdr:row>16</xdr:row>
      <xdr:rowOff>160020</xdr:rowOff>
    </xdr:from>
    <xdr:to>
      <xdr:col>7</xdr:col>
      <xdr:colOff>655320</xdr:colOff>
      <xdr:row>31</xdr:row>
      <xdr:rowOff>160020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10886</xdr:colOff>
      <xdr:row>16</xdr:row>
      <xdr:rowOff>174172</xdr:rowOff>
    </xdr:from>
    <xdr:to>
      <xdr:col>13</xdr:col>
      <xdr:colOff>612866</xdr:colOff>
      <xdr:row>31</xdr:row>
      <xdr:rowOff>174172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783771</xdr:colOff>
      <xdr:row>17</xdr:row>
      <xdr:rowOff>1</xdr:rowOff>
    </xdr:from>
    <xdr:to>
      <xdr:col>19</xdr:col>
      <xdr:colOff>591094</xdr:colOff>
      <xdr:row>32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00000000-0008-0000-09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576942</xdr:colOff>
      <xdr:row>33</xdr:row>
      <xdr:rowOff>179614</xdr:rowOff>
    </xdr:from>
    <xdr:to>
      <xdr:col>10</xdr:col>
      <xdr:colOff>174171</xdr:colOff>
      <xdr:row>48</xdr:row>
      <xdr:rowOff>146957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9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772887</xdr:colOff>
      <xdr:row>33</xdr:row>
      <xdr:rowOff>185056</xdr:rowOff>
    </xdr:from>
    <xdr:to>
      <xdr:col>16</xdr:col>
      <xdr:colOff>576944</xdr:colOff>
      <xdr:row>48</xdr:row>
      <xdr:rowOff>152399</xdr:rowOff>
    </xdr:to>
    <xdr:graphicFrame macro="">
      <xdr:nvGraphicFramePr>
        <xdr:cNvPr id="7" name="Diagramm 6">
          <a:extLst>
            <a:ext uri="{FF2B5EF4-FFF2-40B4-BE49-F238E27FC236}">
              <a16:creationId xmlns="" xmlns:a16="http://schemas.microsoft.com/office/drawing/2014/main" id="{00000000-0008-0000-09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243840</xdr:colOff>
      <xdr:row>15</xdr:row>
      <xdr:rowOff>30480</xdr:rowOff>
    </xdr:from>
    <xdr:to>
      <xdr:col>11</xdr:col>
      <xdr:colOff>60960</xdr:colOff>
      <xdr:row>30</xdr:row>
      <xdr:rowOff>30480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00000000-0008-0000-0A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373380</xdr:colOff>
      <xdr:row>30</xdr:row>
      <xdr:rowOff>106680</xdr:rowOff>
    </xdr:from>
    <xdr:to>
      <xdr:col>5</xdr:col>
      <xdr:colOff>388620</xdr:colOff>
      <xdr:row>45</xdr:row>
      <xdr:rowOff>106680</xdr:rowOff>
    </xdr:to>
    <xdr:graphicFrame macro="">
      <xdr:nvGraphicFramePr>
        <xdr:cNvPr id="6" name="Diagramm 5">
          <a:extLst>
            <a:ext uri="{FF2B5EF4-FFF2-40B4-BE49-F238E27FC236}">
              <a16:creationId xmlns="" xmlns:a16="http://schemas.microsoft.com/office/drawing/2014/main" id="{00000000-0008-0000-0A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693420</xdr:colOff>
      <xdr:row>31</xdr:row>
      <xdr:rowOff>60960</xdr:rowOff>
    </xdr:from>
    <xdr:to>
      <xdr:col>11</xdr:col>
      <xdr:colOff>510540</xdr:colOff>
      <xdr:row>46</xdr:row>
      <xdr:rowOff>60960</xdr:rowOff>
    </xdr:to>
    <xdr:graphicFrame macro="">
      <xdr:nvGraphicFramePr>
        <xdr:cNvPr id="7" name="Diagramm 6">
          <a:extLst>
            <a:ext uri="{FF2B5EF4-FFF2-40B4-BE49-F238E27FC236}">
              <a16:creationId xmlns="" xmlns:a16="http://schemas.microsoft.com/office/drawing/2014/main" id="{00000000-0008-0000-0A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fxtop.com/de/historische-wechselkurse.php?A=1&amp;C1=GBP&amp;C2=USD&amp;YA=1&amp;DD1=01&amp;MM1=01&amp;YYYY1=1956&amp;B=1&amp;P=&amp;I=1&amp;DD2=02&amp;MM2=03&amp;YYYY2=1990&amp;btnOK=Gehen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nbn-resolving.de/urn:nbn:de:gbv:18302-aero2018-04-30.011" TargetMode="External"/><Relationship Id="rId2" Type="http://schemas.openxmlformats.org/officeDocument/2006/relationships/hyperlink" Target="https://doi.org/10.7910/DVN/5O7CSB" TargetMode="External"/><Relationship Id="rId1" Type="http://schemas.openxmlformats.org/officeDocument/2006/relationships/hyperlink" Target="http://www.gnu.org/licenses/gpl.html" TargetMode="External"/><Relationship Id="rId4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127"/>
  <sheetViews>
    <sheetView tabSelected="1" topLeftCell="B46" zoomScale="85" zoomScaleNormal="85" workbookViewId="0">
      <selection activeCell="B2" sqref="B2"/>
    </sheetView>
  </sheetViews>
  <sheetFormatPr baseColWidth="10" defaultColWidth="11.42578125" defaultRowHeight="15"/>
  <cols>
    <col min="1" max="1" width="14.5703125" style="14" bestFit="1" customWidth="1"/>
    <col min="2" max="2" width="12.42578125" style="14" bestFit="1" customWidth="1"/>
    <col min="3" max="3" width="21.140625" style="14" bestFit="1" customWidth="1"/>
    <col min="4" max="5" width="18.140625" style="14" bestFit="1" customWidth="1"/>
    <col min="6" max="6" width="17" style="14" bestFit="1" customWidth="1"/>
    <col min="7" max="7" width="16.140625" style="14" customWidth="1"/>
    <col min="8" max="8" width="17" style="14" bestFit="1" customWidth="1"/>
    <col min="9" max="9" width="17" style="14" hidden="1" customWidth="1"/>
    <col min="10" max="10" width="17.42578125" style="14" bestFit="1" customWidth="1"/>
    <col min="11" max="13" width="17.140625" style="14" bestFit="1" customWidth="1"/>
    <col min="14" max="16384" width="11.42578125" style="14"/>
  </cols>
  <sheetData>
    <row r="1" spans="2:13" ht="26.25">
      <c r="B1" s="71" t="s">
        <v>307</v>
      </c>
    </row>
    <row r="3" spans="2:13">
      <c r="B3" s="37"/>
      <c r="C3" s="38"/>
      <c r="D3" s="39" t="str">
        <f>Flugzeugdaten!B3</f>
        <v>A330-300</v>
      </c>
      <c r="E3" s="39" t="str">
        <f>Flugzeugdaten!C3</f>
        <v>A340-300</v>
      </c>
      <c r="F3" s="39" t="str">
        <f>Flugzeugdaten!D3</f>
        <v>DC8-73</v>
      </c>
      <c r="G3" s="39" t="str">
        <f>Flugzeugdaten!E3</f>
        <v>MD11-ER</v>
      </c>
      <c r="H3" s="39" t="str">
        <f>Flugzeugdaten!F3</f>
        <v>TriStar</v>
      </c>
      <c r="I3" s="39">
        <f>Flugzeugdaten!G3</f>
        <v>0</v>
      </c>
      <c r="J3" s="39" t="str">
        <f>Flugzeugdaten!H3</f>
        <v>BAE 146-300</v>
      </c>
      <c r="K3" s="39" t="str">
        <f>Flugzeugdaten!I3</f>
        <v>A318</v>
      </c>
      <c r="L3" s="39" t="str">
        <f>Flugzeugdaten!J3</f>
        <v>Jak-42</v>
      </c>
      <c r="M3" s="39" t="str">
        <f>Flugzeugdaten!K3</f>
        <v>B737-800</v>
      </c>
    </row>
    <row r="5" spans="2:13">
      <c r="B5" s="48" t="s">
        <v>280</v>
      </c>
      <c r="C5" s="14" t="s">
        <v>142</v>
      </c>
      <c r="D5" s="41">
        <f>(1/Flugzeugdaten!B11)*(9*0.00001*D9+6.7-(350000/(D9+75000)))*(0.8+0.68*Flugzeugdaten!B11)</f>
        <v>15.234689534989167</v>
      </c>
      <c r="E5" s="41">
        <f>(1/Flugzeugdaten!C11)*(9*0.00001*E9+6.7-(350000/(E9+75000)))*(0.8+0.68*Flugzeugdaten!C11)</f>
        <v>15.824234172510215</v>
      </c>
      <c r="F5" s="41">
        <f>(1/Flugzeugdaten!D11)*(9*0.00001*F9+6.7-(350000/(F9+75000)))*(0.8+0.68*Flugzeugdaten!D11)</f>
        <v>7.7491982721351365</v>
      </c>
      <c r="G5" s="41">
        <f>(1/Flugzeugdaten!E11)*(9*0.00001*G9+6.7-(350000/(G9+75000)))*(0.8+0.68*Flugzeugdaten!E11)</f>
        <v>11.772249124138304</v>
      </c>
      <c r="H5" s="41">
        <f>(1/Flugzeugdaten!F11)*(9*0.00001*H9+6.7-(350000/(H9+75000)))*(0.8+0.68*Flugzeugdaten!F11)</f>
        <v>10.119687559712723</v>
      </c>
      <c r="I5" s="41" t="e">
        <f>(1/Flugzeugdaten!G11)*(9*0.00001*I9+6.7-(350000/(I9+75000)))*(0.8+0.68*Flugzeugdaten!G11)</f>
        <v>#DIV/0!</v>
      </c>
      <c r="J5" s="41">
        <f>(1/Flugzeugdaten!H11)*(9*0.00001*J9+6.7-(350000/(J9+75000)))*(0.8+0.68*Flugzeugdaten!H11)</f>
        <v>5.1694191402480936</v>
      </c>
      <c r="K5" s="41">
        <f>(1/Flugzeugdaten!I11)*(9*0.00001*K9+6.7-(350000/(K9+75000)))*(0.8+0.68*Flugzeugdaten!I11)</f>
        <v>6.4116619556520096</v>
      </c>
      <c r="L5" s="41">
        <f>(1/Flugzeugdaten!J11)*(9*0.00001*L9+6.7-(350000/(L9+75000)))*(0.8+0.68*Flugzeugdaten!J11)</f>
        <v>4.9327031124160605</v>
      </c>
      <c r="M5" s="41">
        <f>(1/Flugzeugdaten!K11)*(9*0.00001*M9+6.7-(350000/(M9+75000)))*(0.8+0.68*Flugzeugdaten!K11)</f>
        <v>6.6659007280407279</v>
      </c>
    </row>
    <row r="6" spans="2:13">
      <c r="B6" s="22"/>
      <c r="C6" s="14" t="s">
        <v>160</v>
      </c>
      <c r="D6" s="41">
        <f>(1/Flugzeugdaten!B11)*(4.2*0.000001+2.2*0.000001*Flugzeugdaten!B11)*Gesamtuebersicht!D11</f>
        <v>589.80865489058817</v>
      </c>
      <c r="E6" s="41">
        <f>(1/Flugzeugdaten!C11)*(4.2*0.000001+2.2*0.000001*Flugzeugdaten!C11)*Gesamtuebersicht!E11</f>
        <v>625.806649267853</v>
      </c>
      <c r="F6" s="41">
        <f>(1/Flugzeugdaten!D11)*(4.2*0.000001+2.2*0.000001*Flugzeugdaten!D11)*Gesamtuebersicht!F11</f>
        <v>-16.945680058101999</v>
      </c>
      <c r="G6" s="41">
        <f>(1/Flugzeugdaten!E11)*(4.2*0.000001+2.2*0.000001*Flugzeugdaten!E11)*Gesamtuebersicht!G11</f>
        <v>550.05087070771708</v>
      </c>
      <c r="H6" s="41">
        <f>(1/Flugzeugdaten!F11)*(4.2*0.000001+2.2*0.000001*Flugzeugdaten!F11)*Gesamtuebersicht!H11</f>
        <v>17.379007106355541</v>
      </c>
      <c r="I6" s="41" t="e">
        <f>(1/Flugzeugdaten!G11)*(4.2*0.000001+2.2*0.000001*Flugzeugdaten!G11)*Gesamtuebersicht!I11</f>
        <v>#DIV/0!</v>
      </c>
      <c r="J6" s="41">
        <f>(1/Flugzeugdaten!H11)*(4.2*0.000001+2.2*0.000001*Flugzeugdaten!H11)*Gesamtuebersicht!J11</f>
        <v>121.99722022734157</v>
      </c>
      <c r="K6" s="41">
        <f>(1/Flugzeugdaten!I11)*(4.2*0.000001+2.2*0.000001*Flugzeugdaten!I11)*Gesamtuebersicht!K11</f>
        <v>236.18879099958824</v>
      </c>
      <c r="L6" s="41">
        <f>(1/Flugzeugdaten!J11)*(4.2*0.000001+2.2*0.000001*Flugzeugdaten!J11)*Gesamtuebersicht!L11</f>
        <v>97.12447053273057</v>
      </c>
      <c r="M6" s="41">
        <f>(1/Flugzeugdaten!K11)*(4.2*0.000001+2.2*0.000001*Flugzeugdaten!K11)*Gesamtuebersicht!M11</f>
        <v>342.97465408915116</v>
      </c>
    </row>
    <row r="7" spans="2:13">
      <c r="B7" s="22"/>
      <c r="C7" s="14" t="s">
        <v>9</v>
      </c>
      <c r="D7" s="41">
        <f>Flugzeugdaten!B18*0.21*Gesamtuebersicht!D13*Gesamtuebersicht!D15*POWER((1+1.02*0.0001*Flugzeugdaten!B17),0.4)*(1+(1.3/Flugzeugdaten!B11))</f>
        <v>2.2823539342661783</v>
      </c>
      <c r="E7" s="41">
        <f>Flugzeugdaten!C18*0.21*Gesamtuebersicht!E13*Gesamtuebersicht!E15*POWER((1+1.02*0.0001*Flugzeugdaten!C17),0.4)*(1+(1.3/Flugzeugdaten!C11))</f>
        <v>2.9844190772495836</v>
      </c>
      <c r="F7" s="41">
        <f>Flugzeugdaten!D18*0.21*Gesamtuebersicht!F13*Gesamtuebersicht!F15*POWER((1+1.02*0.0001*Flugzeugdaten!D17),0.4)*(1+(1.3/Flugzeugdaten!D11))</f>
        <v>2.471454406871985</v>
      </c>
      <c r="G7" s="41">
        <f>Flugzeugdaten!E18*0.21*Gesamtuebersicht!G13*Gesamtuebersicht!G15*POWER((1+1.02*0.0001*Flugzeugdaten!E17),0.4)*(1+(1.3/Flugzeugdaten!E11))</f>
        <v>3.2845403556785198</v>
      </c>
      <c r="H7" s="41">
        <f>Flugzeugdaten!F18*0.21*Gesamtuebersicht!H13*Gesamtuebersicht!H15*POWER((1+1.02*0.0001*Flugzeugdaten!F17),0.4)*(1+(1.3/Flugzeugdaten!F11))</f>
        <v>2.7062696387629623</v>
      </c>
      <c r="I7" s="41" t="e">
        <f>Flugzeugdaten!G18*0.21*Gesamtuebersicht!I13*Gesamtuebersicht!I15*POWER((1+1.02*0.0001*Flugzeugdaten!G17),0.4)*(1+(1.3/Flugzeugdaten!G11))</f>
        <v>#DIV/0!</v>
      </c>
      <c r="J7" s="41">
        <f>Flugzeugdaten!H18*0.21*Gesamtuebersicht!J13*Gesamtuebersicht!J15*POWER((1+1.02*0.0001*Flugzeugdaten!H17),0.4)*(1+(1.3/Flugzeugdaten!H11))</f>
        <v>1.9854365015516178</v>
      </c>
      <c r="K7" s="41">
        <f>Flugzeugdaten!I18*0.21*Gesamtuebersicht!K13*Gesamtuebersicht!K15*POWER((1+1.02*0.0001*Flugzeugdaten!I17),0.4)*(1+(1.3/Flugzeugdaten!I11))</f>
        <v>1.5283064794731906</v>
      </c>
      <c r="L7" s="41">
        <f>Flugzeugdaten!J18*0.21*Gesamtuebersicht!L13*Gesamtuebersicht!L15*POWER((1+1.02*0.0001*Flugzeugdaten!J17),0.4)*(1+(1.3/Flugzeugdaten!J11))</f>
        <v>2.3042672992738154</v>
      </c>
      <c r="M7" s="41">
        <f>Flugzeugdaten!K18*0.21*Gesamtuebersicht!M13*Gesamtuebersicht!M15*POWER((1+1.02*0.0001*Flugzeugdaten!K17),0.4)*(1+(1.3/Flugzeugdaten!K11))</f>
        <v>1.7640866327678866</v>
      </c>
    </row>
    <row r="8" spans="2:13">
      <c r="B8" s="22"/>
      <c r="C8" s="14" t="s">
        <v>159</v>
      </c>
      <c r="D8" s="41">
        <f>Flugzeugdaten!B18*2.56*Gesamtuebersicht!D13*(Gesamtuebersicht!D14+Gesamtuebersicht!D15)*POWER((1+1.02*0.0001*Flugzeugdaten!B17),0.8)*(1+(1.3/Flugzeugdaten!$B$11))*Gesamtuebersicht!D16</f>
        <v>227.00585063166557</v>
      </c>
      <c r="E8" s="41">
        <f>Flugzeugdaten!C18*2.56*Gesamtuebersicht!E13*(Gesamtuebersicht!E14+Gesamtuebersicht!E15)*POWER((1+1.02*0.0001*Flugzeugdaten!C17),0.8)*(1+(1.3/Flugzeugdaten!$B$11))*Gesamtuebersicht!E16</f>
        <v>260.25965668752542</v>
      </c>
      <c r="F8" s="41">
        <f>Flugzeugdaten!D18*2.56*Gesamtuebersicht!F13*(Gesamtuebersicht!F14+Gesamtuebersicht!F15)*POWER((1+1.02*0.0001*Flugzeugdaten!D17),0.8)*(1+(1.3/Flugzeugdaten!$B$11))*Gesamtuebersicht!F16</f>
        <v>167.58235195892172</v>
      </c>
      <c r="G8" s="41">
        <f>Flugzeugdaten!E18*2.56*Gesamtuebersicht!G13*(Gesamtuebersicht!G14+Gesamtuebersicht!G15)*POWER((1+1.02*0.0001*Flugzeugdaten!E17),0.8)*(1+(1.3/Flugzeugdaten!$B$11))*Gesamtuebersicht!G16</f>
        <v>302.36533700674823</v>
      </c>
      <c r="H8" s="41">
        <f>Flugzeugdaten!F18*2.56*Gesamtuebersicht!H13*(Gesamtuebersicht!H14+Gesamtuebersicht!H15)*POWER((1+1.02*0.0001*Flugzeugdaten!F17),0.8)*(1+(1.3/Flugzeugdaten!$B$11))*Gesamtuebersicht!H16</f>
        <v>244.53254809614677</v>
      </c>
      <c r="I8" s="41">
        <f>Flugzeugdaten!G18*2.56*Gesamtuebersicht!I13*(Gesamtuebersicht!I14+Gesamtuebersicht!I15)*POWER((1+1.02*0.0001*Flugzeugdaten!G17),0.8)*(1+(1.3/Flugzeugdaten!$B$11))*Gesamtuebersicht!I16</f>
        <v>0</v>
      </c>
      <c r="J8" s="41">
        <f>Flugzeugdaten!H18*2.56*Gesamtuebersicht!J13*(Gesamtuebersicht!J14+Gesamtuebersicht!J15)*POWER((1+1.02*0.0001*Flugzeugdaten!H17),0.8)*(1+(1.3/Flugzeugdaten!$B$11))*Gesamtuebersicht!J16</f>
        <v>56.602362798629578</v>
      </c>
      <c r="K8" s="41">
        <f>Flugzeugdaten!I18*2.56*Gesamtuebersicht!K13*(Gesamtuebersicht!K14+Gesamtuebersicht!K15)*POWER((1+1.02*0.0001*Flugzeugdaten!I17),0.8)*(1+(1.3/Flugzeugdaten!$B$11))*Gesamtuebersicht!K16</f>
        <v>76.188519257312677</v>
      </c>
      <c r="L8" s="41">
        <f>Flugzeugdaten!J18*2.56*Gesamtuebersicht!L13*(Gesamtuebersicht!L14+Gesamtuebersicht!L15)*POWER((1+1.02*0.0001*Flugzeugdaten!J17),0.8)*(1+(1.3/Flugzeugdaten!$B$11))*Gesamtuebersicht!L16</f>
        <v>83.475378525284981</v>
      </c>
      <c r="M8" s="41">
        <f>Flugzeugdaten!K18*2.56*Gesamtuebersicht!M13*(Gesamtuebersicht!M14+Gesamtuebersicht!M15)*POWER((1+1.02*0.0001*Flugzeugdaten!K17),0.8)*(1+(1.3/Flugzeugdaten!$B$11))*Gesamtuebersicht!M16</f>
        <v>100.93547733412792</v>
      </c>
    </row>
    <row r="9" spans="2:13">
      <c r="B9" s="22"/>
      <c r="C9" s="14" t="s">
        <v>55</v>
      </c>
      <c r="D9" s="32">
        <f>Flugzeugdaten!B13-Gesamtuebersicht!D10</f>
        <v>159180.31200000001</v>
      </c>
      <c r="E9" s="32">
        <f>Flugzeugdaten!C13-Gesamtuebersicht!E10</f>
        <v>167039.18400000001</v>
      </c>
      <c r="F9" s="32">
        <f>Flugzeugdaten!D13-Gesamtuebersicht!F10</f>
        <v>63933.919999999998</v>
      </c>
      <c r="G9" s="32">
        <f>Flugzeugdaten!E13-Gesamtuebersicht!G10</f>
        <v>113844.488</v>
      </c>
      <c r="H9" s="32">
        <f>Flugzeugdaten!F13-Gesamtuebersicht!H10</f>
        <v>92875.907999999996</v>
      </c>
      <c r="I9" s="32">
        <f>Flugzeugdaten!G13-Gesamtuebersicht!I10</f>
        <v>0</v>
      </c>
      <c r="J9" s="32">
        <f>Flugzeugdaten!H13-Gesamtuebersicht!J10</f>
        <v>22769.599999999999</v>
      </c>
      <c r="K9" s="32">
        <f>Flugzeugdaten!I13-Gesamtuebersicht!K10</f>
        <v>32853.414000000004</v>
      </c>
      <c r="L9" s="32">
        <f>Flugzeugdaten!J13-Gesamtuebersicht!L10</f>
        <v>20910.45</v>
      </c>
      <c r="M9" s="32">
        <f>Flugzeugdaten!K13-Gesamtuebersicht!M10</f>
        <v>34980.82</v>
      </c>
    </row>
    <row r="10" spans="2:13">
      <c r="B10" s="22"/>
      <c r="C10" s="14" t="s">
        <v>32</v>
      </c>
      <c r="D10" s="32">
        <f>Flugzeugdaten!B19*Flugzeugdaten!B20*Flugzeugdaten!B18*Flugzeugdaten!B16</f>
        <v>13819.687999999998</v>
      </c>
      <c r="E10" s="32">
        <f>Flugzeugdaten!C19*Flugzeugdaten!C20*Flugzeugdaten!C18*Flugzeugdaten!C16</f>
        <v>13960.815999999997</v>
      </c>
      <c r="F10" s="32">
        <f>Flugzeugdaten!D19*Flugzeugdaten!D20*Flugzeugdaten!D18*Flugzeugdaten!D16</f>
        <v>11453.079999999998</v>
      </c>
      <c r="G10" s="32">
        <f>Flugzeugdaten!E19*Flugzeugdaten!E20*Flugzeugdaten!E18*Flugzeugdaten!E16</f>
        <v>18205.511999999999</v>
      </c>
      <c r="H10" s="32">
        <f>Flugzeugdaten!F19*Flugzeugdaten!F20*Flugzeugdaten!F18*Flugzeugdaten!F16</f>
        <v>18124.092000000001</v>
      </c>
      <c r="I10" s="32">
        <f>Flugzeugdaten!G19*Flugzeugdaten!G20*Flugzeugdaten!G18*Flugzeugdaten!G16</f>
        <v>0</v>
      </c>
      <c r="J10" s="32">
        <f>Flugzeugdaten!H19*Flugzeugdaten!H20*Flugzeugdaten!H18*Flugzeugdaten!H16</f>
        <v>2870.3999999999996</v>
      </c>
      <c r="K10" s="32">
        <f>Flugzeugdaten!I19*Flugzeugdaten!I20*Flugzeugdaten!I18*Flugzeugdaten!I16</f>
        <v>6646.5859999999984</v>
      </c>
      <c r="L10" s="32">
        <f>Flugzeugdaten!J19*Flugzeugdaten!J20*Flugzeugdaten!J18*Flugzeugdaten!J16</f>
        <v>13589.55</v>
      </c>
      <c r="M10" s="32">
        <f>Flugzeugdaten!K19*Flugzeugdaten!K20*Flugzeugdaten!K18*Flugzeugdaten!K16</f>
        <v>6432.1799999999985</v>
      </c>
    </row>
    <row r="11" spans="2:13">
      <c r="B11" s="22"/>
      <c r="C11" s="14" t="s">
        <v>7</v>
      </c>
      <c r="D11" s="32">
        <f>Flugzeugdaten!B14-(Gesamtuebersicht!D12*Flugzeugdaten!B18)</f>
        <v>216443543.07911491</v>
      </c>
      <c r="E11" s="32">
        <f>Flugzeugdaten!C14-(Gesamtuebersicht!E12*Flugzeugdaten!C18)</f>
        <v>229653816.24508366</v>
      </c>
      <c r="F11" s="32">
        <f>Flugzeugdaten!D14-(Gesamtuebersicht!F12*Flugzeugdaten!D18)</f>
        <v>-6218598.1864594482</v>
      </c>
      <c r="G11" s="32">
        <f>Flugzeugdaten!E14-(Gesamtuebersicht!G12*Flugzeugdaten!E18)</f>
        <v>201853530.53494203</v>
      </c>
      <c r="H11" s="32">
        <f>Flugzeugdaten!F14-(Gesamtuebersicht!H12*Flugzeugdaten!F18)</f>
        <v>6377617.286735978</v>
      </c>
      <c r="I11" s="32">
        <f>Flugzeugdaten!G14-(Gesamtuebersicht!I12*Flugzeugdaten!G18)</f>
        <v>0</v>
      </c>
      <c r="J11" s="32">
        <f>Flugzeugdaten!H14-(Gesamtuebersicht!J12*Flugzeugdaten!H18)</f>
        <v>31442582.532819998</v>
      </c>
      <c r="K11" s="32">
        <f>Flugzeugdaten!I14-(Gesamtuebersicht!K12*Flugzeugdaten!I18)</f>
        <v>60873399.74216193</v>
      </c>
      <c r="L11" s="32">
        <f>Flugzeugdaten!J14-(Gesamtuebersicht!L12*Flugzeugdaten!J18)</f>
        <v>25032080.034208916</v>
      </c>
      <c r="M11" s="32">
        <f>Flugzeugdaten!K14-(Gesamtuebersicht!M12*Flugzeugdaten!K18)</f>
        <v>88395529.404420421</v>
      </c>
    </row>
    <row r="12" spans="2:13">
      <c r="B12" s="22"/>
      <c r="C12" s="14" t="s">
        <v>138</v>
      </c>
      <c r="D12" s="32">
        <f>293*POWER(Flugzeugdaten!B17,0.81)*Inflationsrate!$D$24</f>
        <v>10230390.946934532</v>
      </c>
      <c r="E12" s="32">
        <f>293*POWER(Flugzeugdaten!C17,0.81)*Inflationsrate!$D$24</f>
        <v>5796444.3059602361</v>
      </c>
      <c r="F12" s="32">
        <f>293*POWER(Flugzeugdaten!D17,0.81)*Inflationsrate!$D$24</f>
        <v>4079602.3929251116</v>
      </c>
      <c r="G12" s="32">
        <f>293*POWER(Flugzeugdaten!E17,0.81)*Inflationsrate!$D$24</f>
        <v>9382156.488352662</v>
      </c>
      <c r="H12" s="32">
        <f>293*POWER(Flugzeugdaten!F17,0.81)*Inflationsrate!$D$24</f>
        <v>8427442.971389655</v>
      </c>
      <c r="I12" s="32">
        <f>293*POWER(Flugzeugdaten!G17,0.81)*Inflationsrate!$D$24</f>
        <v>0</v>
      </c>
      <c r="J12" s="32">
        <f>293*POWER(Flugzeugdaten!H17,0.81)*Inflationsrate!$D$24</f>
        <v>1610128.8498706955</v>
      </c>
      <c r="K12" s="32">
        <f>293*POWER(Flugzeugdaten!I17,0.81)*Inflationsrate!$D$24</f>
        <v>4089715.2034570649</v>
      </c>
      <c r="L12" s="32">
        <f>293*POWER(Flugzeugdaten!J17,0.81)*Inflationsrate!$D$24</f>
        <v>2879742.591784643</v>
      </c>
      <c r="M12" s="32">
        <f>293*POWER(Flugzeugdaten!K17,0.81)*Inflationsrate!$D$24</f>
        <v>4852235.2977897907</v>
      </c>
    </row>
    <row r="13" spans="2:13">
      <c r="B13" s="22"/>
      <c r="C13" s="14" t="s">
        <v>14</v>
      </c>
      <c r="D13" s="41">
        <f>1.27-0.2*POWER(Flugzeugdaten!B21,0.2)</f>
        <v>0.9908194428748045</v>
      </c>
      <c r="E13" s="41">
        <f>1.27-0.2*POWER(Flugzeugdaten!C21,0.2)</f>
        <v>0.98008813452892185</v>
      </c>
      <c r="F13" s="41">
        <f>1.27-0.2*POWER(Flugzeugdaten!D21,0.2)</f>
        <v>0.98380618377894891</v>
      </c>
      <c r="G13" s="41">
        <f>1.27-0.2*POWER(Flugzeugdaten!E21,0.2)</f>
        <v>0.99071417114158411</v>
      </c>
      <c r="H13" s="41">
        <f>1.27-0.2*POWER(Flugzeugdaten!F21,0.2)</f>
        <v>0.99405406770775695</v>
      </c>
      <c r="I13" s="41">
        <f>1.27-0.2*POWER(Flugzeugdaten!G21,0.2)</f>
        <v>1.27</v>
      </c>
      <c r="J13" s="41">
        <f>1.27-0.2*POWER(Flugzeugdaten!H21,0.2)</f>
        <v>0.98672714034713482</v>
      </c>
      <c r="K13" s="41">
        <f>1.27-0.2*POWER(Flugzeugdaten!I21,0.2)</f>
        <v>0.99405406770775695</v>
      </c>
      <c r="L13" s="41">
        <f>1.27-0.2*POWER(Flugzeugdaten!J21,0.2)</f>
        <v>0.9877281295572008</v>
      </c>
      <c r="M13" s="41">
        <f>1.27-0.2*POWER(Flugzeugdaten!K21,0.2)</f>
        <v>0.99295900974647466</v>
      </c>
    </row>
    <row r="14" spans="2:13">
      <c r="B14" s="22"/>
      <c r="C14" s="14" t="s">
        <v>18</v>
      </c>
      <c r="D14" s="41">
        <f>0.4*POWER((Flugzeugdaten!B22/20),1.3)+0.4</f>
        <v>1.2218149058228089</v>
      </c>
      <c r="E14" s="41">
        <f>0.4*POWER((Flugzeugdaten!C22/20),1.3)+0.4</f>
        <v>1.3593849118796562</v>
      </c>
      <c r="F14" s="41">
        <f>0.4*POWER((Flugzeugdaten!D22/20),1.3)+0.4</f>
        <v>1.116025741620075</v>
      </c>
      <c r="G14" s="41">
        <f>0.4*POWER((Flugzeugdaten!E22/20),1.3)+0.4</f>
        <v>1.1369125770408479</v>
      </c>
      <c r="H14" s="41">
        <f>0.4*POWER((Flugzeugdaten!F22/20),1.3)+0.4</f>
        <v>1.0483931144232344</v>
      </c>
      <c r="I14" s="41">
        <f>0.4*POWER((Flugzeugdaten!G22/20),1.3)+0.4</f>
        <v>0.4</v>
      </c>
      <c r="J14" s="41">
        <f>0.4*POWER((Flugzeugdaten!H22/20),1.3)+0.4</f>
        <v>0.64692428750035036</v>
      </c>
      <c r="K14" s="41">
        <f>0.4*POWER((Flugzeugdaten!I22/20),1.3)+0.4</f>
        <v>0.96539720402223894</v>
      </c>
      <c r="L14" s="41">
        <f>0.4*POWER((Flugzeugdaten!J22/20),1.3)+0.4</f>
        <v>0.8</v>
      </c>
      <c r="M14" s="41">
        <f>0.4*POWER((Flugzeugdaten!K22/20),1.3)+0.4</f>
        <v>1.1579369424196582</v>
      </c>
    </row>
    <row r="15" spans="2:13">
      <c r="B15" s="22"/>
      <c r="C15" s="14" t="s">
        <v>21</v>
      </c>
      <c r="D15" s="41">
        <f>(IF(Flugzeugdaten!B24=1,0.5,IF(Flugzeugdaten!B24=2,0.57,IF(Flugzeugdaten!B24=3,0.64))))+0.032*Flugzeugdaten!B23</f>
        <v>1.1779999999999999</v>
      </c>
      <c r="E15" s="41">
        <f>(IF(Flugzeugdaten!C24=1,0.5,IF(Flugzeugdaten!C24=2,0.57,IF(Flugzeugdaten!C24=3,0.64))))+0.032*Flugzeugdaten!C23</f>
        <v>1.018</v>
      </c>
      <c r="F15" s="41">
        <f>(IF(Flugzeugdaten!D24=1,0.5,IF(Flugzeugdaten!D24=2,0.57,IF(Flugzeugdaten!D24=3,0.64))))+0.032*Flugzeugdaten!D23</f>
        <v>0.98599999999999999</v>
      </c>
      <c r="G15" s="41">
        <f>(IF(Flugzeugdaten!E24=1,0.5,IF(Flugzeugdaten!E24=2,0.57,IF(Flugzeugdaten!E24=3,0.64))))+0.032*Flugzeugdaten!E23</f>
        <v>1.1779999999999999</v>
      </c>
      <c r="H15" s="41">
        <f>(IF(Flugzeugdaten!F24=1,0.5,IF(Flugzeugdaten!F24=2,0.57,IF(Flugzeugdaten!F24=3,0.64))))+0.032*Flugzeugdaten!F23</f>
        <v>1.018</v>
      </c>
      <c r="I15" s="41">
        <f>(IF(Flugzeugdaten!G24=1,0.5,IF(Flugzeugdaten!G24=2,0.57,IF(Flugzeugdaten!G24=3,0.64))))+0.032*Flugzeugdaten!G23</f>
        <v>0</v>
      </c>
      <c r="J15" s="41">
        <f>(IF(Flugzeugdaten!H24=1,0.5,IF(Flugzeugdaten!H24=2,0.57,IF(Flugzeugdaten!H24=3,0.64))))+0.032*Flugzeugdaten!H23</f>
        <v>0.8899999999999999</v>
      </c>
      <c r="K15" s="41">
        <f>(IF(Flugzeugdaten!I24=1,0.5,IF(Flugzeugdaten!I24=2,0.57,IF(Flugzeugdaten!I24=3,0.64))))+0.032*Flugzeugdaten!I23</f>
        <v>0.92199999999999993</v>
      </c>
      <c r="L15" s="41">
        <f>(IF(Flugzeugdaten!J24=1,0.5,IF(Flugzeugdaten!J24=2,0.57,IF(Flugzeugdaten!J24=3,0.64))))+0.032*Flugzeugdaten!J23</f>
        <v>1.0880000000000001</v>
      </c>
      <c r="M15" s="41">
        <f>(IF(Flugzeugdaten!K24=1,0.5,IF(Flugzeugdaten!K24=2,0.57,IF(Flugzeugdaten!K24=3,0.64))))+0.032*Flugzeugdaten!K23</f>
        <v>0.98599999999999999</v>
      </c>
    </row>
    <row r="16" spans="2:13">
      <c r="B16" s="22"/>
      <c r="C16" s="14" t="s">
        <v>27</v>
      </c>
      <c r="D16" s="14">
        <v>1</v>
      </c>
      <c r="E16" s="14">
        <v>1</v>
      </c>
      <c r="F16" s="14">
        <v>1</v>
      </c>
      <c r="G16" s="14">
        <v>1</v>
      </c>
      <c r="H16" s="14">
        <v>1</v>
      </c>
      <c r="I16" s="14">
        <v>1</v>
      </c>
      <c r="J16" s="14">
        <v>1</v>
      </c>
      <c r="K16" s="14">
        <v>1</v>
      </c>
      <c r="L16" s="14">
        <v>1</v>
      </c>
      <c r="M16" s="14">
        <v>1</v>
      </c>
    </row>
    <row r="17" spans="2:13">
      <c r="B17" s="22"/>
      <c r="C17" s="26" t="s">
        <v>177</v>
      </c>
      <c r="D17" s="42">
        <f>69*Inflationsrate!$D$60</f>
        <v>82.748872665974119</v>
      </c>
      <c r="E17" s="42">
        <f>69*Inflationsrate!$D$60</f>
        <v>82.748872665974119</v>
      </c>
      <c r="F17" s="42">
        <f>69*Inflationsrate!$D$60</f>
        <v>82.748872665974119</v>
      </c>
      <c r="G17" s="42">
        <f>69*Inflationsrate!$D$60</f>
        <v>82.748872665974119</v>
      </c>
      <c r="H17" s="42">
        <f>69*Inflationsrate!$D$60</f>
        <v>82.748872665974119</v>
      </c>
      <c r="I17" s="42">
        <f>69*Inflationsrate!$D$60</f>
        <v>82.748872665974119</v>
      </c>
      <c r="J17" s="42">
        <f>69*Inflationsrate!$D$60</f>
        <v>82.748872665974119</v>
      </c>
      <c r="K17" s="42">
        <f>69*Inflationsrate!$D$60</f>
        <v>82.748872665974119</v>
      </c>
      <c r="L17" s="42">
        <f>69*Inflationsrate!$D$60</f>
        <v>82.748872665974119</v>
      </c>
      <c r="M17" s="42">
        <f>69*Inflationsrate!$D$60</f>
        <v>82.748872665974119</v>
      </c>
    </row>
    <row r="18" spans="2:13">
      <c r="B18" s="22"/>
      <c r="C18" s="26" t="s">
        <v>179</v>
      </c>
      <c r="D18" s="14">
        <f>Flugzeugdaten!B12</f>
        <v>730</v>
      </c>
      <c r="E18" s="14">
        <f>Flugzeugdaten!C12</f>
        <v>730</v>
      </c>
      <c r="F18" s="14">
        <f>Flugzeugdaten!D12</f>
        <v>730</v>
      </c>
      <c r="G18" s="14">
        <f>Flugzeugdaten!E12</f>
        <v>730</v>
      </c>
      <c r="H18" s="14">
        <f>Flugzeugdaten!F12</f>
        <v>730</v>
      </c>
      <c r="I18" s="14">
        <f>Flugzeugdaten!G12</f>
        <v>0</v>
      </c>
      <c r="J18" s="14">
        <f>Flugzeugdaten!H12</f>
        <v>1825</v>
      </c>
      <c r="K18" s="14">
        <f>Flugzeugdaten!I12</f>
        <v>1825</v>
      </c>
      <c r="L18" s="14">
        <f>Flugzeugdaten!J12</f>
        <v>1825</v>
      </c>
      <c r="M18" s="14">
        <f>Flugzeugdaten!K12</f>
        <v>1825</v>
      </c>
    </row>
    <row r="19" spans="2:13">
      <c r="B19" s="22"/>
      <c r="C19" s="14" t="s">
        <v>108</v>
      </c>
      <c r="D19" s="43">
        <f>D5*D17</f>
        <v>1260.6533844364671</v>
      </c>
      <c r="E19" s="43">
        <f t="shared" ref="E19:L19" si="0">E5*E17</f>
        <v>1309.4375385776041</v>
      </c>
      <c r="F19" s="43">
        <f t="shared" si="0"/>
        <v>641.23742108429701</v>
      </c>
      <c r="G19" s="43">
        <f t="shared" si="0"/>
        <v>974.14034376544578</v>
      </c>
      <c r="H19" s="43">
        <f t="shared" si="0"/>
        <v>837.39273729811055</v>
      </c>
      <c r="I19" s="43" t="e">
        <f t="shared" si="0"/>
        <v>#DIV/0!</v>
      </c>
      <c r="J19" s="43">
        <f t="shared" si="0"/>
        <v>427.76360619343887</v>
      </c>
      <c r="K19" s="43">
        <f t="shared" si="0"/>
        <v>530.55779874551877</v>
      </c>
      <c r="L19" s="43">
        <f t="shared" si="0"/>
        <v>408.17562174837082</v>
      </c>
      <c r="M19" s="43">
        <f t="shared" ref="M19" si="1">M5*M17</f>
        <v>551.59577054866634</v>
      </c>
    </row>
    <row r="20" spans="2:13">
      <c r="B20" s="22"/>
      <c r="C20" s="14" t="s">
        <v>109</v>
      </c>
      <c r="D20" s="43">
        <f>D7*D17</f>
        <v>188.86221508527706</v>
      </c>
      <c r="E20" s="43">
        <f t="shared" ref="E20:L20" si="2">E7*E17</f>
        <v>246.95731420522978</v>
      </c>
      <c r="F20" s="43">
        <f t="shared" si="2"/>
        <v>204.51006601401048</v>
      </c>
      <c r="G20" s="43">
        <f t="shared" si="2"/>
        <v>271.79201165829517</v>
      </c>
      <c r="H20" s="43">
        <f t="shared" si="2"/>
        <v>223.94076173778814</v>
      </c>
      <c r="I20" s="43" t="e">
        <f t="shared" si="2"/>
        <v>#DIV/0!</v>
      </c>
      <c r="J20" s="43">
        <f t="shared" si="2"/>
        <v>164.29263225327193</v>
      </c>
      <c r="K20" s="43">
        <f t="shared" si="2"/>
        <v>126.46563826451025</v>
      </c>
      <c r="L20" s="43">
        <f t="shared" si="2"/>
        <v>190.67552133597704</v>
      </c>
      <c r="M20" s="43">
        <f t="shared" ref="M20" si="3">M7*M17</f>
        <v>145.9761801466569</v>
      </c>
    </row>
    <row r="21" spans="2:13">
      <c r="B21" s="22"/>
      <c r="C21" s="14" t="s">
        <v>160</v>
      </c>
      <c r="D21" s="43">
        <f>D6</f>
        <v>589.80865489058817</v>
      </c>
      <c r="E21" s="43">
        <f t="shared" ref="E21:L21" si="4">E6</f>
        <v>625.806649267853</v>
      </c>
      <c r="F21" s="43">
        <f t="shared" si="4"/>
        <v>-16.945680058101999</v>
      </c>
      <c r="G21" s="43">
        <f t="shared" si="4"/>
        <v>550.05087070771708</v>
      </c>
      <c r="H21" s="43">
        <f t="shared" si="4"/>
        <v>17.379007106355541</v>
      </c>
      <c r="I21" s="43" t="e">
        <f t="shared" si="4"/>
        <v>#DIV/0!</v>
      </c>
      <c r="J21" s="43">
        <f t="shared" si="4"/>
        <v>121.99722022734157</v>
      </c>
      <c r="K21" s="43">
        <f t="shared" si="4"/>
        <v>236.18879099958824</v>
      </c>
      <c r="L21" s="43">
        <f t="shared" si="4"/>
        <v>97.12447053273057</v>
      </c>
      <c r="M21" s="43">
        <f t="shared" ref="M21" si="5">M6</f>
        <v>342.97465408915116</v>
      </c>
    </row>
    <row r="22" spans="2:13">
      <c r="B22" s="22"/>
      <c r="C22" s="14" t="s">
        <v>159</v>
      </c>
      <c r="D22" s="43">
        <f>D8</f>
        <v>227.00585063166557</v>
      </c>
      <c r="E22" s="43">
        <f t="shared" ref="E22:L22" si="6">E8</f>
        <v>260.25965668752542</v>
      </c>
      <c r="F22" s="43">
        <f t="shared" si="6"/>
        <v>167.58235195892172</v>
      </c>
      <c r="G22" s="43">
        <f t="shared" si="6"/>
        <v>302.36533700674823</v>
      </c>
      <c r="H22" s="43">
        <f t="shared" si="6"/>
        <v>244.53254809614677</v>
      </c>
      <c r="I22" s="43">
        <f t="shared" si="6"/>
        <v>0</v>
      </c>
      <c r="J22" s="43">
        <f t="shared" si="6"/>
        <v>56.602362798629578</v>
      </c>
      <c r="K22" s="43">
        <f t="shared" si="6"/>
        <v>76.188519257312677</v>
      </c>
      <c r="L22" s="43">
        <f t="shared" si="6"/>
        <v>83.475378525284981</v>
      </c>
      <c r="M22" s="43">
        <f t="shared" ref="M22" si="7">M8</f>
        <v>100.93547733412792</v>
      </c>
    </row>
    <row r="23" spans="2:13">
      <c r="B23" s="22"/>
    </row>
    <row r="24" spans="2:13">
      <c r="B24" s="22"/>
      <c r="C24" s="22" t="s">
        <v>134</v>
      </c>
      <c r="D24" s="44">
        <f>D19+D21</f>
        <v>1850.4620393270552</v>
      </c>
      <c r="E24" s="44">
        <f t="shared" ref="E24:L24" si="8">E19+E21</f>
        <v>1935.244187845457</v>
      </c>
      <c r="F24" s="44">
        <f t="shared" si="8"/>
        <v>624.29174102619504</v>
      </c>
      <c r="G24" s="44">
        <f t="shared" si="8"/>
        <v>1524.1912144731627</v>
      </c>
      <c r="H24" s="44">
        <f t="shared" si="8"/>
        <v>854.77174440446606</v>
      </c>
      <c r="I24" s="44" t="e">
        <f t="shared" si="8"/>
        <v>#DIV/0!</v>
      </c>
      <c r="J24" s="44">
        <f t="shared" si="8"/>
        <v>549.7608264207804</v>
      </c>
      <c r="K24" s="44">
        <f t="shared" si="8"/>
        <v>766.74658974510703</v>
      </c>
      <c r="L24" s="44">
        <f t="shared" si="8"/>
        <v>505.3000922811014</v>
      </c>
      <c r="M24" s="44">
        <f t="shared" ref="M24" si="9">M19+M21</f>
        <v>894.5704246378175</v>
      </c>
    </row>
    <row r="25" spans="2:13">
      <c r="B25" s="22" t="s">
        <v>281</v>
      </c>
      <c r="C25" s="22" t="s">
        <v>148</v>
      </c>
      <c r="D25" s="44">
        <f>D20+D22</f>
        <v>415.86806571694262</v>
      </c>
      <c r="E25" s="44">
        <f t="shared" ref="E25:L25" si="10">E20+E22</f>
        <v>507.21697089275517</v>
      </c>
      <c r="F25" s="44">
        <f t="shared" si="10"/>
        <v>372.0924179729322</v>
      </c>
      <c r="G25" s="44">
        <f t="shared" si="10"/>
        <v>574.1573486650434</v>
      </c>
      <c r="H25" s="44">
        <f t="shared" si="10"/>
        <v>468.47330983393488</v>
      </c>
      <c r="I25" s="44" t="e">
        <f t="shared" si="10"/>
        <v>#DIV/0!</v>
      </c>
      <c r="J25" s="44">
        <f t="shared" si="10"/>
        <v>220.8949950519015</v>
      </c>
      <c r="K25" s="44">
        <f t="shared" si="10"/>
        <v>202.65415752182292</v>
      </c>
      <c r="L25" s="44">
        <f t="shared" si="10"/>
        <v>274.15089986126202</v>
      </c>
      <c r="M25" s="44">
        <f t="shared" ref="M25" si="11">M20+M22</f>
        <v>246.91165748078481</v>
      </c>
    </row>
    <row r="26" spans="2:13">
      <c r="B26" s="22"/>
      <c r="C26" s="22" t="s">
        <v>143</v>
      </c>
      <c r="D26" s="44">
        <f>D24+D25</f>
        <v>2266.3301050439977</v>
      </c>
      <c r="E26" s="44">
        <f t="shared" ref="E26:L26" si="12">E24+E25</f>
        <v>2442.4611587382124</v>
      </c>
      <c r="F26" s="44">
        <f t="shared" si="12"/>
        <v>996.38415899912729</v>
      </c>
      <c r="G26" s="44">
        <f t="shared" si="12"/>
        <v>2098.3485631382064</v>
      </c>
      <c r="H26" s="44">
        <f t="shared" si="12"/>
        <v>1323.2450542384008</v>
      </c>
      <c r="I26" s="44" t="e">
        <f t="shared" si="12"/>
        <v>#DIV/0!</v>
      </c>
      <c r="J26" s="44">
        <f t="shared" si="12"/>
        <v>770.65582147268196</v>
      </c>
      <c r="K26" s="44">
        <f t="shared" si="12"/>
        <v>969.40074726693001</v>
      </c>
      <c r="L26" s="44">
        <f t="shared" si="12"/>
        <v>779.45099214236348</v>
      </c>
      <c r="M26" s="44">
        <f t="shared" ref="M26" si="13">M24+M25</f>
        <v>1141.4820821186022</v>
      </c>
    </row>
    <row r="27" spans="2:13">
      <c r="B27" s="22"/>
      <c r="C27" s="14" t="s">
        <v>144</v>
      </c>
      <c r="D27" s="32">
        <f>D26*D18*Flugzeugdaten!B11</f>
        <v>13235367.813456947</v>
      </c>
      <c r="E27" s="32">
        <f>E26*E18*Flugzeugdaten!C11</f>
        <v>14263973.16703116</v>
      </c>
      <c r="F27" s="32">
        <f>F26*F18*Flugzeugdaten!D11</f>
        <v>5818883.4885549033</v>
      </c>
      <c r="G27" s="32">
        <f>G26*G18*Flugzeugdaten!E11</f>
        <v>12254355.608727125</v>
      </c>
      <c r="H27" s="32">
        <f>H26*H18*Flugzeugdaten!F11</f>
        <v>7727751.1167522604</v>
      </c>
      <c r="I27" s="32" t="e">
        <f>I26*I18*Flugzeugdaten!G11</f>
        <v>#DIV/0!</v>
      </c>
      <c r="J27" s="32">
        <f>J26*J18*Flugzeugdaten!H11</f>
        <v>3516117.1854691114</v>
      </c>
      <c r="K27" s="32">
        <f>K26*K18*Flugzeugdaten!I11</f>
        <v>4422890.9094053684</v>
      </c>
      <c r="L27" s="32">
        <f>L26*L18*Flugzeugdaten!J11</f>
        <v>3556245.1516495328</v>
      </c>
      <c r="M27" s="32">
        <f>M26*M18*Flugzeugdaten!K11</f>
        <v>5208011.9996661227</v>
      </c>
    </row>
    <row r="28" spans="2:13">
      <c r="B28" s="22"/>
    </row>
    <row r="29" spans="2:13">
      <c r="B29" s="22"/>
      <c r="C29" s="14" t="s">
        <v>178</v>
      </c>
      <c r="D29" s="23">
        <f>D25/(D26)</f>
        <v>0.18349845187661623</v>
      </c>
      <c r="E29" s="23">
        <f t="shared" ref="E29:L29" si="14">E25/(E26)</f>
        <v>0.20766634059998154</v>
      </c>
      <c r="F29" s="23">
        <f t="shared" si="14"/>
        <v>0.37344272749849899</v>
      </c>
      <c r="G29" s="23">
        <f t="shared" si="14"/>
        <v>0.27362343833207414</v>
      </c>
      <c r="H29" s="23">
        <f t="shared" si="14"/>
        <v>0.35403367526929214</v>
      </c>
      <c r="I29" s="23" t="e">
        <f t="shared" si="14"/>
        <v>#DIV/0!</v>
      </c>
      <c r="J29" s="23">
        <f>J25/(J26)</f>
        <v>0.28663248741803182</v>
      </c>
      <c r="K29" s="23">
        <f t="shared" si="14"/>
        <v>0.20905096070244822</v>
      </c>
      <c r="L29" s="23">
        <f t="shared" si="14"/>
        <v>0.35172307511950601</v>
      </c>
      <c r="M29" s="23">
        <f t="shared" ref="M29" si="15">M25/(M26)</f>
        <v>0.21630795730276756</v>
      </c>
    </row>
    <row r="30" spans="2:13">
      <c r="B30" s="22"/>
      <c r="C30" s="14" t="s">
        <v>149</v>
      </c>
      <c r="D30" s="23">
        <f>1-D29</f>
        <v>0.81650154812338371</v>
      </c>
      <c r="E30" s="23">
        <f t="shared" ref="E30:L30" si="16">1-E29</f>
        <v>0.79233365940001843</v>
      </c>
      <c r="F30" s="23">
        <f t="shared" si="16"/>
        <v>0.62655727250150095</v>
      </c>
      <c r="G30" s="23">
        <f t="shared" si="16"/>
        <v>0.72637656166792586</v>
      </c>
      <c r="H30" s="23">
        <f t="shared" si="16"/>
        <v>0.64596632473070792</v>
      </c>
      <c r="I30" s="23" t="e">
        <f t="shared" si="16"/>
        <v>#DIV/0!</v>
      </c>
      <c r="J30" s="23">
        <f t="shared" si="16"/>
        <v>0.71336751258196818</v>
      </c>
      <c r="K30" s="23">
        <f t="shared" si="16"/>
        <v>0.79094903929755178</v>
      </c>
      <c r="L30" s="23">
        <f t="shared" si="16"/>
        <v>0.64827692488049404</v>
      </c>
      <c r="M30" s="23">
        <f t="shared" ref="M30" si="17">1-M29</f>
        <v>0.78369204269723247</v>
      </c>
    </row>
    <row r="32" spans="2:13">
      <c r="B32" s="52" t="s">
        <v>136</v>
      </c>
      <c r="C32" s="14" t="s">
        <v>145</v>
      </c>
      <c r="D32" s="32">
        <f>(D33+Flugzeugdaten!$B$18*Gesamtuebersicht!D34)*Gesamtuebersicht!D35*Gesamtuebersicht!D18</f>
        <v>6522415.417200001</v>
      </c>
      <c r="E32" s="32">
        <f>(E33+Flugzeugdaten!$B$18*Gesamtuebersicht!E34)*Gesamtuebersicht!E35*Gesamtuebersicht!E18</f>
        <v>6176079.0936000003</v>
      </c>
      <c r="F32" s="32">
        <f>(F33+Flugzeugdaten!$B$18*Gesamtuebersicht!F34)*Gesamtuebersicht!F35*Gesamtuebersicht!F18</f>
        <v>3324860.0542199998</v>
      </c>
      <c r="G32" s="32">
        <f>(G33+Flugzeugdaten!$B$18*Gesamtuebersicht!G34)*Gesamtuebersicht!G35*Gesamtuebersicht!G18</f>
        <v>5380272.6449999996</v>
      </c>
      <c r="H32" s="32">
        <f>(H33+Flugzeugdaten!$B$18*Gesamtuebersicht!H34)*Gesamtuebersicht!H35*Gesamtuebersicht!H18</f>
        <v>4728579.38</v>
      </c>
      <c r="I32" s="32">
        <f>(I33+Flugzeugdaten!$B$18*Gesamtuebersicht!I34)*Gesamtuebersicht!I35*Gesamtuebersicht!I18</f>
        <v>0</v>
      </c>
      <c r="J32" s="32">
        <f>(J33+Flugzeugdaten!$B$18*Gesamtuebersicht!J34)*Gesamtuebersicht!J35*Gesamtuebersicht!J18</f>
        <v>1588905.2980000002</v>
      </c>
      <c r="K32" s="32">
        <f>(K33+Flugzeugdaten!$B$18*Gesamtuebersicht!K34)*Gesamtuebersicht!K35*Gesamtuebersicht!K18</f>
        <v>2099434.156</v>
      </c>
      <c r="L32" s="32">
        <f>(L33+Flugzeugdaten!$B$18*Gesamtuebersicht!L34)*Gesamtuebersicht!L35*Gesamtuebersicht!L18</f>
        <v>1883401.8250000004</v>
      </c>
      <c r="M32" s="32">
        <f>(M33+Flugzeugdaten!$B$18*Gesamtuebersicht!M34)*Gesamtuebersicht!M35*Gesamtuebersicht!M18</f>
        <v>2212629.0437000007</v>
      </c>
    </row>
    <row r="33" spans="2:13">
      <c r="B33" s="24"/>
      <c r="C33" s="14" t="s">
        <v>59</v>
      </c>
      <c r="D33" s="32">
        <f>175+0.0041*Flugzeugdaten!B13</f>
        <v>884.30000000000007</v>
      </c>
      <c r="E33" s="32">
        <f>175+0.0041*Flugzeugdaten!C13</f>
        <v>917.1</v>
      </c>
      <c r="F33" s="32">
        <f>175+0.0041*Flugzeugdaten!D13</f>
        <v>484.08670000000001</v>
      </c>
      <c r="G33" s="32">
        <f>175+0.0041*Flugzeugdaten!E13</f>
        <v>716.40500000000009</v>
      </c>
      <c r="H33" s="32">
        <f>175+0.0041*Flugzeugdaten!F13</f>
        <v>630.1</v>
      </c>
      <c r="I33" s="32">
        <f>175+0.0041*Flugzeugdaten!G13</f>
        <v>175</v>
      </c>
      <c r="J33" s="32">
        <f>175+0.0041*Flugzeugdaten!H13</f>
        <v>280.12400000000002</v>
      </c>
      <c r="K33" s="32">
        <f>175+0.0041*Flugzeugdaten!I13</f>
        <v>336.95000000000005</v>
      </c>
      <c r="L33" s="32">
        <f>175+0.0041*Flugzeugdaten!J13</f>
        <v>316.45000000000005</v>
      </c>
      <c r="M33" s="32">
        <f>175+0.0041*Flugzeugdaten!K13</f>
        <v>344.79330000000004</v>
      </c>
    </row>
    <row r="34" spans="2:13">
      <c r="B34" s="24"/>
      <c r="C34" s="14" t="s">
        <v>184</v>
      </c>
      <c r="D34" s="42">
        <f>0.00029*Flugzeugdaten!B17</f>
        <v>88.421000000000006</v>
      </c>
      <c r="E34" s="42">
        <f>0.00029*Flugzeugdaten!C17</f>
        <v>43.847999999999999</v>
      </c>
      <c r="F34" s="42">
        <f>0.00029*Flugzeugdaten!D17</f>
        <v>28.42</v>
      </c>
      <c r="G34" s="42">
        <f>0.00029*Flugzeugdaten!E17</f>
        <v>79.459999999999994</v>
      </c>
      <c r="H34" s="42">
        <f>0.00029*Flugzeugdaten!F17</f>
        <v>69.599999999999994</v>
      </c>
      <c r="I34" s="42">
        <f>0.00029*Flugzeugdaten!G17</f>
        <v>0</v>
      </c>
      <c r="J34" s="42">
        <f>0.00029*Flugzeugdaten!H17</f>
        <v>9.0190000000000001</v>
      </c>
      <c r="K34" s="42">
        <f>0.00029*Flugzeugdaten!I17</f>
        <v>28.507000000000001</v>
      </c>
      <c r="L34" s="42">
        <f>0.00029*Flugzeugdaten!J17</f>
        <v>18.487500000000001</v>
      </c>
      <c r="M34" s="42">
        <f>0.00029*Flugzeugdaten!K17</f>
        <v>35.206000000000003</v>
      </c>
    </row>
    <row r="35" spans="2:13">
      <c r="B35" s="24"/>
      <c r="C35" s="14" t="s">
        <v>63</v>
      </c>
      <c r="D35" s="42">
        <f>Flugzeugdaten!B11+Gesamtuebersicht!D36</f>
        <v>8.42</v>
      </c>
      <c r="E35" s="42">
        <f>Flugzeugdaten!C11+Gesamtuebersicht!E36</f>
        <v>8.42</v>
      </c>
      <c r="F35" s="42">
        <f>Flugzeugdaten!D11+Gesamtuebersicht!F36</f>
        <v>8.42</v>
      </c>
      <c r="G35" s="42">
        <f>Flugzeugdaten!E11+Gesamtuebersicht!G36</f>
        <v>8.42</v>
      </c>
      <c r="H35" s="42">
        <f>Flugzeugdaten!F11+Gesamtuebersicht!H36</f>
        <v>8.42</v>
      </c>
      <c r="I35" s="42">
        <f>Flugzeugdaten!G11+Gesamtuebersicht!I36</f>
        <v>0.42</v>
      </c>
      <c r="J35" s="42">
        <f>Flugzeugdaten!H11+Gesamtuebersicht!J36</f>
        <v>2.92</v>
      </c>
      <c r="K35" s="42">
        <f>Flugzeugdaten!I11+Gesamtuebersicht!K36</f>
        <v>2.92</v>
      </c>
      <c r="L35" s="42">
        <f>Flugzeugdaten!J11+Gesamtuebersicht!L36</f>
        <v>2.92</v>
      </c>
      <c r="M35" s="42">
        <f>Flugzeugdaten!K11+Gesamtuebersicht!M36</f>
        <v>2.92</v>
      </c>
    </row>
    <row r="36" spans="2:13">
      <c r="B36" s="24"/>
      <c r="C36" s="14" t="s">
        <v>180</v>
      </c>
      <c r="D36" s="14">
        <f>IF(Flugzeugdaten!$B$11&gt;=7, 0.42,0.25)</f>
        <v>0.42</v>
      </c>
      <c r="E36" s="14">
        <f>IF(Flugzeugdaten!$B$11&gt;=7, 0.42,0.25)</f>
        <v>0.42</v>
      </c>
      <c r="F36" s="14">
        <f>IF(Flugzeugdaten!$B$11&gt;=7, 0.42,0.25)</f>
        <v>0.42</v>
      </c>
      <c r="G36" s="14">
        <f>IF(Flugzeugdaten!$B$11&gt;=7, 0.42,0.25)</f>
        <v>0.42</v>
      </c>
      <c r="H36" s="14">
        <f>IF(Flugzeugdaten!$B$11&gt;=7, 0.42,0.25)</f>
        <v>0.42</v>
      </c>
      <c r="I36" s="14">
        <f>IF(Flugzeugdaten!$B$11&gt;=7, 0.42,0.25)</f>
        <v>0.42</v>
      </c>
      <c r="J36" s="14">
        <f>IF(Flugzeugdaten!$B$11&gt;=7, 0.42,0.25)</f>
        <v>0.42</v>
      </c>
      <c r="K36" s="14">
        <f>IF(Flugzeugdaten!$B$11&gt;=7, 0.42,0.25)</f>
        <v>0.42</v>
      </c>
      <c r="L36" s="14">
        <f>IF(Flugzeugdaten!$B$11&gt;=7, 0.42,0.25)</f>
        <v>0.42</v>
      </c>
      <c r="M36" s="14">
        <f>IF(Flugzeugdaten!$B$11&gt;=7, 0.42,0.25)</f>
        <v>0.42</v>
      </c>
    </row>
    <row r="37" spans="2:13">
      <c r="B37" s="24"/>
      <c r="C37" s="14" t="s">
        <v>147</v>
      </c>
      <c r="D37" s="14">
        <f>D35/Flugzeugdaten!B11</f>
        <v>1.0525</v>
      </c>
      <c r="E37" s="14">
        <f>E35/Flugzeugdaten!C11</f>
        <v>1.0525</v>
      </c>
      <c r="F37" s="14">
        <f>F35/Flugzeugdaten!D11</f>
        <v>1.0525</v>
      </c>
      <c r="G37" s="14">
        <f>G35/Flugzeugdaten!E11</f>
        <v>1.0525</v>
      </c>
      <c r="H37" s="14">
        <f>H35/Flugzeugdaten!F11</f>
        <v>1.0525</v>
      </c>
      <c r="I37" s="14" t="e">
        <f>I35/Flugzeugdaten!G11</f>
        <v>#DIV/0!</v>
      </c>
      <c r="J37" s="14">
        <f>J35/Flugzeugdaten!H11</f>
        <v>1.1679999999999999</v>
      </c>
      <c r="K37" s="14">
        <f>K35/Flugzeugdaten!I11</f>
        <v>1.1679999999999999</v>
      </c>
      <c r="L37" s="14">
        <f>L35/Flugzeugdaten!J11</f>
        <v>1.1679999999999999</v>
      </c>
      <c r="M37" s="14">
        <f>M35/Flugzeugdaten!K11</f>
        <v>1.1679999999999999</v>
      </c>
    </row>
    <row r="38" spans="2:13">
      <c r="B38" s="24"/>
    </row>
    <row r="39" spans="2:13">
      <c r="B39" s="24"/>
      <c r="C39" s="24" t="s">
        <v>134</v>
      </c>
      <c r="D39" s="45">
        <f>D33*D37*Inflationsrate!$D$24</f>
        <v>1174.0290028182826</v>
      </c>
      <c r="E39" s="45">
        <f>E33*E37*Inflationsrate!$D$24</f>
        <v>1217.5754817196052</v>
      </c>
      <c r="F39" s="45">
        <f>F33*F37*Inflationsrate!$D$24</f>
        <v>642.69119719393086</v>
      </c>
      <c r="G39" s="45">
        <f>G33*G37*Inflationsrate!$D$24</f>
        <v>951.125463942137</v>
      </c>
      <c r="H39" s="45">
        <f>H33*H37*Inflationsrate!$D$24</f>
        <v>836.54379133303155</v>
      </c>
      <c r="I39" s="45" t="e">
        <f>I33*I37*Inflationsrate!$D$24</f>
        <v>#DIV/0!</v>
      </c>
      <c r="J39" s="45">
        <f>J33*J37*Inflationsrate!$D$24</f>
        <v>412.71500444704287</v>
      </c>
      <c r="K39" s="45">
        <f>K33*K37*Inflationsrate!$D$24</f>
        <v>496.43843707940448</v>
      </c>
      <c r="L39" s="45">
        <f>L33*L37*Inflationsrate!$D$24</f>
        <v>466.2351785540215</v>
      </c>
      <c r="M39" s="45">
        <f>M33*M37*Inflationsrate!$D$24</f>
        <v>507.99420379121602</v>
      </c>
    </row>
    <row r="40" spans="2:13">
      <c r="B40" s="24" t="s">
        <v>282</v>
      </c>
      <c r="C40" s="24" t="s">
        <v>181</v>
      </c>
      <c r="D40" s="45">
        <f>D34*D37*Inflationsrate!$D$24</f>
        <v>117.39095155286142</v>
      </c>
      <c r="E40" s="45">
        <f>E34*E37*Inflationsrate!$D$24</f>
        <v>58.214207526377983</v>
      </c>
      <c r="F40" s="45">
        <f>F34*F37*Inflationsrate!$D$24</f>
        <v>37.731430804133879</v>
      </c>
      <c r="G40" s="45">
        <f>G34*G37*Inflationsrate!$D$24</f>
        <v>105.49400041155798</v>
      </c>
      <c r="H40" s="45">
        <f>H34*H37*Inflationsrate!$D$24</f>
        <v>92.403504010123783</v>
      </c>
      <c r="I40" s="45" t="e">
        <f>I34*I37*Inflationsrate!$D$24</f>
        <v>#DIV/0!</v>
      </c>
      <c r="J40" s="45">
        <f>J34*J37*Inflationsrate!$D$24</f>
        <v>13.287960421484341</v>
      </c>
      <c r="K40" s="45">
        <f>K34*K37*Inflationsrate!$D$24</f>
        <v>42.000209306492309</v>
      </c>
      <c r="L40" s="45">
        <f>L34*L37*Inflationsrate!$D$24</f>
        <v>27.23818253600086</v>
      </c>
      <c r="M40" s="45">
        <f>M34*M37*Inflationsrate!$D$24</f>
        <v>51.870044860713797</v>
      </c>
    </row>
    <row r="41" spans="2:13">
      <c r="B41" s="24" t="s">
        <v>283</v>
      </c>
      <c r="C41" s="24" t="s">
        <v>148</v>
      </c>
      <c r="D41" s="45">
        <f>D40*Flugzeugdaten!B18*Inflationsrate!$D$24</f>
        <v>296.15680406713841</v>
      </c>
      <c r="E41" s="45">
        <f>E40*Flugzeugdaten!C18*Inflationsrate!$D$24</f>
        <v>293.72849311217664</v>
      </c>
      <c r="F41" s="45">
        <f>F40*Flugzeugdaten!D18*Inflationsrate!$D$24</f>
        <v>190.37957886900335</v>
      </c>
      <c r="G41" s="45">
        <f>G40*Flugzeugdaten!E18*Inflationsrate!$D$24</f>
        <v>399.21432099571621</v>
      </c>
      <c r="H41" s="45">
        <f>H40*Flugzeugdaten!F18*Inflationsrate!$D$24</f>
        <v>349.67677751449594</v>
      </c>
      <c r="I41" s="45" t="e">
        <f>I40*Flugzeugdaten!G18*Inflationsrate!$D$24</f>
        <v>#DIV/0!</v>
      </c>
      <c r="J41" s="45">
        <f>J40*Flugzeugdaten!H18*Inflationsrate!$D$24</f>
        <v>67.046392229393319</v>
      </c>
      <c r="K41" s="45">
        <f>K40*Flugzeugdaten!I18*Inflationsrate!$D$24</f>
        <v>105.95916971301227</v>
      </c>
      <c r="L41" s="45">
        <f>L40*Flugzeugdaten!J18*Inflationsrate!$D$24</f>
        <v>103.07574368063884</v>
      </c>
      <c r="M41" s="45">
        <f>M40*Flugzeugdaten!K18*Inflationsrate!$D$24</f>
        <v>130.85903563743327</v>
      </c>
    </row>
    <row r="42" spans="2:13">
      <c r="B42" s="24"/>
      <c r="C42" s="24" t="s">
        <v>143</v>
      </c>
      <c r="D42" s="45">
        <f>D39+D41</f>
        <v>1470.185806885421</v>
      </c>
      <c r="E42" s="45">
        <f>E39+E41</f>
        <v>1511.3039748317819</v>
      </c>
      <c r="F42" s="45">
        <f t="shared" ref="F42:L42" si="18">F39+F41</f>
        <v>833.07077606293421</v>
      </c>
      <c r="G42" s="45">
        <f t="shared" si="18"/>
        <v>1350.3397849378532</v>
      </c>
      <c r="H42" s="45">
        <f t="shared" si="18"/>
        <v>1186.2205688475274</v>
      </c>
      <c r="I42" s="45" t="e">
        <f t="shared" si="18"/>
        <v>#DIV/0!</v>
      </c>
      <c r="J42" s="45">
        <f t="shared" si="18"/>
        <v>479.76139667643622</v>
      </c>
      <c r="K42" s="45">
        <f t="shared" si="18"/>
        <v>602.39760679241681</v>
      </c>
      <c r="L42" s="45">
        <f t="shared" si="18"/>
        <v>569.31092223466032</v>
      </c>
      <c r="M42" s="45">
        <f t="shared" ref="M42" si="19">M39+M41</f>
        <v>638.85323942864932</v>
      </c>
    </row>
    <row r="43" spans="2:13">
      <c r="B43" s="24"/>
      <c r="C43" s="14" t="s">
        <v>185</v>
      </c>
      <c r="D43" s="32">
        <f t="shared" ref="D43:M43" si="20">D42*D18*D35</f>
        <v>9036644.0806019288</v>
      </c>
      <c r="E43" s="32">
        <f t="shared" si="20"/>
        <v>9289381.0117010307</v>
      </c>
      <c r="F43" s="32">
        <f t="shared" si="20"/>
        <v>5120552.8321484309</v>
      </c>
      <c r="G43" s="32">
        <f t="shared" si="20"/>
        <v>8299998.5220990079</v>
      </c>
      <c r="H43" s="32">
        <f t="shared" si="20"/>
        <v>7291223.348478212</v>
      </c>
      <c r="I43" s="32" t="e">
        <f t="shared" si="20"/>
        <v>#DIV/0!</v>
      </c>
      <c r="J43" s="32">
        <f t="shared" si="20"/>
        <v>2556648.4828887288</v>
      </c>
      <c r="K43" s="32">
        <f t="shared" si="20"/>
        <v>3210176.8465967891</v>
      </c>
      <c r="L43" s="32">
        <f t="shared" si="20"/>
        <v>3033857.9045885047</v>
      </c>
      <c r="M43" s="32">
        <f t="shared" si="20"/>
        <v>3404448.9129152717</v>
      </c>
    </row>
    <row r="44" spans="2:13">
      <c r="B44" s="24"/>
    </row>
    <row r="45" spans="2:13">
      <c r="B45" s="24"/>
      <c r="C45" s="14" t="s">
        <v>178</v>
      </c>
      <c r="D45" s="23">
        <f>D41/D42</f>
        <v>0.20144175156645314</v>
      </c>
      <c r="E45" s="23">
        <f t="shared" ref="E45:L45" si="21">E41/E42</f>
        <v>0.19435434433027979</v>
      </c>
      <c r="F45" s="23">
        <f t="shared" si="21"/>
        <v>0.22852749650963769</v>
      </c>
      <c r="G45" s="23">
        <f t="shared" si="21"/>
        <v>0.29563990148900876</v>
      </c>
      <c r="H45" s="23">
        <f t="shared" si="21"/>
        <v>0.29478225778383227</v>
      </c>
      <c r="I45" s="23" t="e">
        <f t="shared" si="21"/>
        <v>#DIV/0!</v>
      </c>
      <c r="J45" s="23">
        <f t="shared" si="21"/>
        <v>0.13974945190225713</v>
      </c>
      <c r="K45" s="23">
        <f t="shared" si="21"/>
        <v>0.17589573484066856</v>
      </c>
      <c r="L45" s="23">
        <f t="shared" si="21"/>
        <v>0.18105351514431819</v>
      </c>
      <c r="M45" s="23">
        <f t="shared" ref="M45" si="22">M41/M42</f>
        <v>0.20483426796812593</v>
      </c>
    </row>
    <row r="46" spans="2:13">
      <c r="B46" s="24"/>
      <c r="C46" s="14" t="s">
        <v>149</v>
      </c>
      <c r="D46" s="23">
        <f>1-D45</f>
        <v>0.79855824843354684</v>
      </c>
      <c r="E46" s="23">
        <f t="shared" ref="E46:L46" si="23">1-E45</f>
        <v>0.80564565566972024</v>
      </c>
      <c r="F46" s="23">
        <f t="shared" si="23"/>
        <v>0.77147250349036234</v>
      </c>
      <c r="G46" s="23">
        <f t="shared" si="23"/>
        <v>0.70436009851099124</v>
      </c>
      <c r="H46" s="23">
        <f t="shared" si="23"/>
        <v>0.70521774221616773</v>
      </c>
      <c r="I46" s="23" t="e">
        <f t="shared" si="23"/>
        <v>#DIV/0!</v>
      </c>
      <c r="J46" s="23">
        <f t="shared" si="23"/>
        <v>0.86025054809774293</v>
      </c>
      <c r="K46" s="23">
        <f t="shared" si="23"/>
        <v>0.82410426515933144</v>
      </c>
      <c r="L46" s="23">
        <f t="shared" si="23"/>
        <v>0.81894648485568178</v>
      </c>
      <c r="M46" s="23">
        <f t="shared" ref="M46" si="24">1-M45</f>
        <v>0.79516573203187413</v>
      </c>
    </row>
    <row r="48" spans="2:13">
      <c r="B48" s="51" t="s">
        <v>79</v>
      </c>
      <c r="C48" s="14" t="s">
        <v>169</v>
      </c>
      <c r="D48" s="43">
        <f>(Flugzeugdaten!B13/1000)*(0.21*Flugzeugdaten!B11+13.7)+57.5</f>
        <v>2718.24</v>
      </c>
      <c r="E48" s="43">
        <f>(Flugzeugdaten!C13/1000)*(0.21*Flugzeugdaten!C11+13.7)+57.5</f>
        <v>2841.2799999999997</v>
      </c>
      <c r="F48" s="43">
        <f>(Flugzeugdaten!D13/1000)*(0.21*Flugzeugdaten!D11+13.7)+57.5</f>
        <v>1216.9520599999998</v>
      </c>
      <c r="G48" s="43">
        <f>(Flugzeugdaten!E13/1000)*(0.21*Flugzeugdaten!E11+13.7)+57.5</f>
        <v>2088.4290000000001</v>
      </c>
      <c r="H48" s="43">
        <f>(Flugzeugdaten!F13/1000)*(0.21*Flugzeugdaten!F11+13.7)+57.5</f>
        <v>1764.6799999999998</v>
      </c>
      <c r="I48" s="43">
        <f>(Flugzeugdaten!G13/1000)*(0.21*Flugzeugdaten!G11+13.7)+57.5</f>
        <v>57.5</v>
      </c>
      <c r="J48" s="43">
        <f>(Flugzeugdaten!H13/1000)*(0.21*Flugzeugdaten!H11+13.7)+57.5</f>
        <v>422.22899999999998</v>
      </c>
      <c r="K48" s="43">
        <f>(Flugzeugdaten!I13/1000)*(0.21*Flugzeugdaten!I11+13.7)+57.5</f>
        <v>619.38749999999993</v>
      </c>
      <c r="L48" s="43">
        <f>(Flugzeugdaten!J13/1000)*(0.21*Flugzeugdaten!J11+13.7)+57.5</f>
        <v>548.26250000000005</v>
      </c>
      <c r="M48" s="43">
        <f>(Flugzeugdaten!K13/1000)*(0.21*Flugzeugdaten!K11+13.7)+57.5</f>
        <v>646.59992499999998</v>
      </c>
    </row>
    <row r="49" spans="2:14">
      <c r="B49" s="25"/>
      <c r="C49" s="14" t="s">
        <v>167</v>
      </c>
      <c r="D49" s="43">
        <f>D52*(1+D53)*((0.655+0.01*(Flugzeugdaten!B13/1000))*Flugzeugdaten!B11+0.254+0.01*(Flugzeugdaten!B13/1000))</f>
        <v>5229.0667615082366</v>
      </c>
      <c r="E49" s="43">
        <f>E52*(1+E53)*((0.655+0.01*(Flugzeugdaten!C13/1000))*Flugzeugdaten!C11+0.254+0.01*(Flugzeugdaten!C13/1000))</f>
        <v>5407.8043264667403</v>
      </c>
      <c r="F49" s="43">
        <f>F52*(1+F53)*((0.655+0.01*(Flugzeugdaten!D13/1000))*Flugzeugdaten!D11+0.254+0.01*(Flugzeugdaten!D13/1000))</f>
        <v>3048.1780204714287</v>
      </c>
      <c r="G49" s="43">
        <f>G52*(1+G53)*((0.655+0.01*(Flugzeugdaten!E13/1000))*Flugzeugdaten!E11+0.254+0.01*(Flugzeugdaten!E13/1000))</f>
        <v>4314.1538508768945</v>
      </c>
      <c r="H49" s="43">
        <f>H52*(1+H53)*((0.655+0.01*(Flugzeugdaten!F13/1000))*Flugzeugdaten!F11+0.254+0.01*(Flugzeugdaten!F13/1000))</f>
        <v>3843.8506330798295</v>
      </c>
      <c r="I49" s="43">
        <f>I52*(1+I53)*((0.655+0.01*(Flugzeugdaten!G13/1000))*Flugzeugdaten!G11+0.254+0.01*(Flugzeugdaten!G13/1000))</f>
        <v>63.054640971472281</v>
      </c>
      <c r="J49" s="43">
        <f>J52*(1+J53)*((0.655+0.01*(Flugzeugdaten!H13/1000))*Flugzeugdaten!H11+0.254+0.01*(Flugzeugdaten!H13/1000))</f>
        <v>692.3349929344057</v>
      </c>
      <c r="K49" s="43">
        <f>K52*(1+K53)*((0.655+0.01*(Flugzeugdaten!I13/1000))*Flugzeugdaten!I11+0.254+0.01*(Flugzeugdaten!I13/1000))</f>
        <v>812.75942732519775</v>
      </c>
      <c r="L49" s="43">
        <f>L52*(1+L53)*((0.655+0.01*(Flugzeugdaten!J13/1000))*Flugzeugdaten!J11+0.254+0.01*(Flugzeugdaten!J13/1000))</f>
        <v>769.31626917556139</v>
      </c>
      <c r="M49" s="43">
        <f>M52*(1+M53)*((0.655+0.01*(Flugzeugdaten!K13/1000))*Flugzeugdaten!K11+0.254+0.01*(Flugzeugdaten!K13/1000))</f>
        <v>829.38077963324861</v>
      </c>
    </row>
    <row r="50" spans="2:14">
      <c r="B50" s="25"/>
      <c r="C50" s="14" t="s">
        <v>168</v>
      </c>
      <c r="D50" s="43">
        <f>Flugzeugdaten!B18*(1.5*(Flugzeugdaten!B17/1000)+30.5*Flugzeugdaten!B11+10.6)</f>
        <v>1423.8999999999999</v>
      </c>
      <c r="E50" s="43">
        <f>Flugzeugdaten!C18*(1.5*(Flugzeugdaten!C17/1000)+30.5*Flugzeugdaten!C11+10.6)</f>
        <v>1925.6</v>
      </c>
      <c r="F50" s="43">
        <f>Flugzeugdaten!D18*(1.5*(Flugzeugdaten!D17/1000)+30.5*Flugzeugdaten!D11+10.6)</f>
        <v>1606.4</v>
      </c>
      <c r="G50" s="43">
        <f>Flugzeugdaten!E18*(1.5*(Flugzeugdaten!E17/1000)+30.5*Flugzeugdaten!E11+10.6)</f>
        <v>1996.8000000000002</v>
      </c>
      <c r="H50" s="43">
        <f>Flugzeugdaten!F18*(1.5*(Flugzeugdaten!F17/1000)+30.5*Flugzeugdaten!F11+10.6)</f>
        <v>1843.8000000000002</v>
      </c>
      <c r="I50" s="43">
        <f>Flugzeugdaten!G18*(1.5*(Flugzeugdaten!G17/1000)+30.5*Flugzeugdaten!G11+10.6)</f>
        <v>0</v>
      </c>
      <c r="J50" s="43">
        <f>Flugzeugdaten!H18*(1.5*(Flugzeugdaten!H17/1000)+30.5*Flugzeugdaten!H11+10.6)</f>
        <v>534</v>
      </c>
      <c r="K50" s="43">
        <f>Flugzeugdaten!I18*(1.5*(Flugzeugdaten!I17/1000)+30.5*Flugzeugdaten!I11+10.6)</f>
        <v>468.59999999999997</v>
      </c>
      <c r="L50" s="43">
        <f>Flugzeugdaten!J18*(1.5*(Flugzeugdaten!J17/1000)+30.5*Flugzeugdaten!J11+10.6)</f>
        <v>547.42499999999995</v>
      </c>
      <c r="M50" s="43">
        <f>Flugzeugdaten!K18*(1.5*(Flugzeugdaten!K17/1000)+30.5*Flugzeugdaten!K11+10.6)</f>
        <v>537.90000000000009</v>
      </c>
    </row>
    <row r="51" spans="2:14">
      <c r="B51" s="25"/>
      <c r="C51" s="14" t="s">
        <v>182</v>
      </c>
      <c r="D51" s="43">
        <f>D48+D49+D50</f>
        <v>9371.206761508236</v>
      </c>
      <c r="E51" s="43">
        <f t="shared" ref="E51:L51" si="25">E48+E49+E50</f>
        <v>10174.68432646674</v>
      </c>
      <c r="F51" s="43">
        <f t="shared" si="25"/>
        <v>5871.5300804714279</v>
      </c>
      <c r="G51" s="43">
        <f t="shared" si="25"/>
        <v>8399.3828508768947</v>
      </c>
      <c r="H51" s="43">
        <f t="shared" si="25"/>
        <v>7452.3306330798296</v>
      </c>
      <c r="I51" s="43">
        <f t="shared" si="25"/>
        <v>120.55464097147228</v>
      </c>
      <c r="J51" s="43">
        <f t="shared" si="25"/>
        <v>1648.5639929344056</v>
      </c>
      <c r="K51" s="43">
        <f t="shared" si="25"/>
        <v>1900.7469273251977</v>
      </c>
      <c r="L51" s="43">
        <f t="shared" si="25"/>
        <v>1865.0037691755613</v>
      </c>
      <c r="M51" s="43">
        <f t="shared" ref="M51" si="26">M48+M49+M50</f>
        <v>2013.8807046332486</v>
      </c>
    </row>
    <row r="52" spans="2:14">
      <c r="B52" s="25"/>
      <c r="C52" s="14" t="s">
        <v>183</v>
      </c>
      <c r="D52" s="43">
        <f>D17</f>
        <v>82.748872665974119</v>
      </c>
      <c r="E52" s="43">
        <f t="shared" ref="E52:M52" si="27">E17</f>
        <v>82.748872665974119</v>
      </c>
      <c r="F52" s="43">
        <f t="shared" si="27"/>
        <v>82.748872665974119</v>
      </c>
      <c r="G52" s="43">
        <f t="shared" si="27"/>
        <v>82.748872665974119</v>
      </c>
      <c r="H52" s="43">
        <f t="shared" si="27"/>
        <v>82.748872665974119</v>
      </c>
      <c r="I52" s="43">
        <f t="shared" si="27"/>
        <v>82.748872665974119</v>
      </c>
      <c r="J52" s="43">
        <f t="shared" si="27"/>
        <v>82.748872665974119</v>
      </c>
      <c r="K52" s="43">
        <f t="shared" si="27"/>
        <v>82.748872665974119</v>
      </c>
      <c r="L52" s="43">
        <f t="shared" si="27"/>
        <v>82.748872665974119</v>
      </c>
      <c r="M52" s="43">
        <f t="shared" si="27"/>
        <v>82.748872665974119</v>
      </c>
    </row>
    <row r="53" spans="2:14">
      <c r="B53" s="25"/>
      <c r="C53" s="14" t="s">
        <v>87</v>
      </c>
      <c r="D53" s="42">
        <v>2</v>
      </c>
      <c r="E53" s="42">
        <v>2</v>
      </c>
      <c r="F53" s="42">
        <v>2</v>
      </c>
      <c r="G53" s="42">
        <v>2</v>
      </c>
      <c r="H53" s="42">
        <v>2</v>
      </c>
      <c r="I53" s="42">
        <v>2</v>
      </c>
      <c r="J53" s="42">
        <v>2</v>
      </c>
      <c r="K53" s="42">
        <v>2</v>
      </c>
      <c r="L53" s="42">
        <v>2</v>
      </c>
      <c r="M53" s="42">
        <v>2</v>
      </c>
    </row>
    <row r="54" spans="2:14">
      <c r="B54" s="25"/>
    </row>
    <row r="55" spans="2:14">
      <c r="B55" s="25"/>
      <c r="C55" s="14" t="s">
        <v>160</v>
      </c>
      <c r="D55" s="43">
        <f>D48/Flugzeugdaten!B11</f>
        <v>339.78</v>
      </c>
      <c r="E55" s="43">
        <f>E48/Flugzeugdaten!C11</f>
        <v>355.15999999999997</v>
      </c>
      <c r="F55" s="43">
        <f>F48/Flugzeugdaten!D11</f>
        <v>152.11900749999998</v>
      </c>
      <c r="G55" s="43">
        <f>G48/Flugzeugdaten!E11</f>
        <v>261.05362500000001</v>
      </c>
      <c r="H55" s="43">
        <f>H48/Flugzeugdaten!F11</f>
        <v>220.58499999999998</v>
      </c>
      <c r="I55" s="43" t="e">
        <f>I48/Flugzeugdaten!G11</f>
        <v>#DIV/0!</v>
      </c>
      <c r="J55" s="43">
        <f>J48/Flugzeugdaten!H11</f>
        <v>168.89159999999998</v>
      </c>
      <c r="K55" s="43">
        <f>K48/Flugzeugdaten!I11</f>
        <v>247.75499999999997</v>
      </c>
      <c r="L55" s="43">
        <f>L48/Flugzeugdaten!J11</f>
        <v>219.30500000000001</v>
      </c>
      <c r="M55" s="43">
        <f>M48/Flugzeugdaten!K11</f>
        <v>258.63997000000001</v>
      </c>
    </row>
    <row r="56" spans="2:14">
      <c r="B56" s="25"/>
      <c r="C56" s="14" t="s">
        <v>108</v>
      </c>
      <c r="D56" s="43">
        <f>D49/Flugzeugdaten!B11</f>
        <v>653.63334518852957</v>
      </c>
      <c r="E56" s="43">
        <f>E49/Flugzeugdaten!C11</f>
        <v>675.97554080834254</v>
      </c>
      <c r="F56" s="43">
        <f>F49/Flugzeugdaten!D11</f>
        <v>381.02225255892859</v>
      </c>
      <c r="G56" s="43">
        <f>G49/Flugzeugdaten!E11</f>
        <v>539.26923135961181</v>
      </c>
      <c r="H56" s="43">
        <f>H49/Flugzeugdaten!F11</f>
        <v>480.48132913497869</v>
      </c>
      <c r="I56" s="43" t="e">
        <f>I49/Flugzeugdaten!G11</f>
        <v>#DIV/0!</v>
      </c>
      <c r="J56" s="43">
        <f>J49/Flugzeugdaten!H11</f>
        <v>276.93399717376229</v>
      </c>
      <c r="K56" s="43">
        <f>K49/Flugzeugdaten!I11</f>
        <v>325.10377093007912</v>
      </c>
      <c r="L56" s="43">
        <f>L49/Flugzeugdaten!J11</f>
        <v>307.72650767022458</v>
      </c>
      <c r="M56" s="43">
        <f>M49/Flugzeugdaten!K11</f>
        <v>331.75231185329943</v>
      </c>
    </row>
    <row r="57" spans="2:14">
      <c r="B57" s="25"/>
      <c r="C57" s="25" t="s">
        <v>134</v>
      </c>
      <c r="D57" s="46">
        <f>D55+D56</f>
        <v>993.41334518852955</v>
      </c>
      <c r="E57" s="46">
        <f t="shared" ref="E57:L57" si="28">E55+E56</f>
        <v>1031.1355408083425</v>
      </c>
      <c r="F57" s="46">
        <f t="shared" si="28"/>
        <v>533.14126005892854</v>
      </c>
      <c r="G57" s="46">
        <f t="shared" si="28"/>
        <v>800.32285635961182</v>
      </c>
      <c r="H57" s="46">
        <f t="shared" si="28"/>
        <v>701.06632913497867</v>
      </c>
      <c r="I57" s="46" t="e">
        <f t="shared" si="28"/>
        <v>#DIV/0!</v>
      </c>
      <c r="J57" s="46">
        <f t="shared" si="28"/>
        <v>445.82559717376228</v>
      </c>
      <c r="K57" s="46">
        <f t="shared" si="28"/>
        <v>572.85877093007912</v>
      </c>
      <c r="L57" s="46">
        <f t="shared" si="28"/>
        <v>527.03150767022453</v>
      </c>
      <c r="M57" s="46">
        <f t="shared" ref="M57" si="29">M55+M56</f>
        <v>590.39228185329944</v>
      </c>
    </row>
    <row r="58" spans="2:14">
      <c r="B58" s="25" t="s">
        <v>281</v>
      </c>
      <c r="C58" s="25" t="s">
        <v>148</v>
      </c>
      <c r="D58" s="46">
        <f>D50/Flugzeugdaten!B11</f>
        <v>177.98749999999998</v>
      </c>
      <c r="E58" s="46">
        <f>E50/Flugzeugdaten!C11</f>
        <v>240.7</v>
      </c>
      <c r="F58" s="46">
        <f>F50/Flugzeugdaten!D11</f>
        <v>200.8</v>
      </c>
      <c r="G58" s="46">
        <f>G50/Flugzeugdaten!E11</f>
        <v>249.60000000000002</v>
      </c>
      <c r="H58" s="46">
        <f>H50/Flugzeugdaten!F11</f>
        <v>230.47500000000002</v>
      </c>
      <c r="I58" s="46" t="e">
        <f>I50/Flugzeugdaten!G11</f>
        <v>#DIV/0!</v>
      </c>
      <c r="J58" s="46">
        <f>J50/Flugzeugdaten!H11</f>
        <v>213.6</v>
      </c>
      <c r="K58" s="46">
        <f>K50/Flugzeugdaten!I11</f>
        <v>187.44</v>
      </c>
      <c r="L58" s="46">
        <f>L50/Flugzeugdaten!J11</f>
        <v>218.96999999999997</v>
      </c>
      <c r="M58" s="46">
        <f>M50/Flugzeugdaten!K11</f>
        <v>215.16000000000003</v>
      </c>
      <c r="N58" s="19"/>
    </row>
    <row r="59" spans="2:14">
      <c r="B59" s="25"/>
      <c r="C59" s="25" t="s">
        <v>143</v>
      </c>
      <c r="D59" s="46">
        <f>D51/Flugzeugdaten!B11</f>
        <v>1171.4008451885295</v>
      </c>
      <c r="E59" s="46">
        <f>E51/Flugzeugdaten!C11</f>
        <v>1271.8355408083426</v>
      </c>
      <c r="F59" s="46">
        <f>F51/Flugzeugdaten!D11</f>
        <v>733.94126005892849</v>
      </c>
      <c r="G59" s="46">
        <f>G51/Flugzeugdaten!E11</f>
        <v>1049.9228563596118</v>
      </c>
      <c r="H59" s="46">
        <f>H51/Flugzeugdaten!F11</f>
        <v>931.5413291349787</v>
      </c>
      <c r="I59" s="46" t="e">
        <f>I51/Flugzeugdaten!G11</f>
        <v>#DIV/0!</v>
      </c>
      <c r="J59" s="46">
        <f>J51/Flugzeugdaten!H11</f>
        <v>659.4255971737623</v>
      </c>
      <c r="K59" s="46">
        <f>K51/Flugzeugdaten!I11</f>
        <v>760.29877093007906</v>
      </c>
      <c r="L59" s="46">
        <f>L51/Flugzeugdaten!J11</f>
        <v>746.00150767022456</v>
      </c>
      <c r="M59" s="46">
        <f>M51/Flugzeugdaten!K11</f>
        <v>805.55228185329941</v>
      </c>
    </row>
    <row r="60" spans="2:14">
      <c r="B60" s="25"/>
      <c r="C60" s="26" t="s">
        <v>185</v>
      </c>
      <c r="D60" s="47">
        <f>D59*D18*Flugzeugdaten!B11</f>
        <v>6840980.9359010123</v>
      </c>
      <c r="E60" s="47">
        <f>E59*E18*Flugzeugdaten!C11</f>
        <v>7427519.5583207207</v>
      </c>
      <c r="F60" s="47">
        <f>F59*F18*Flugzeugdaten!D11</f>
        <v>4286216.9587441422</v>
      </c>
      <c r="G60" s="47">
        <f>G59*G18*Flugzeugdaten!E11</f>
        <v>6131549.481140133</v>
      </c>
      <c r="H60" s="47">
        <f>H59*H18*Flugzeugdaten!F11</f>
        <v>5440201.3621482756</v>
      </c>
      <c r="I60" s="47" t="e">
        <f>I59*I18*Flugzeugdaten!G11</f>
        <v>#DIV/0!</v>
      </c>
      <c r="J60" s="47">
        <f>J59*J18*Flugzeugdaten!H11</f>
        <v>3008629.2871052907</v>
      </c>
      <c r="K60" s="47">
        <f>K59*K18*Flugzeugdaten!I11</f>
        <v>3468863.1423684857</v>
      </c>
      <c r="L60" s="47">
        <f>L59*L18*Flugzeugdaten!J11</f>
        <v>3403631.8787453994</v>
      </c>
      <c r="M60" s="47">
        <f>M59*M18*Flugzeugdaten!K11</f>
        <v>3675332.2859556787</v>
      </c>
    </row>
    <row r="61" spans="2:14">
      <c r="B61" s="25"/>
    </row>
    <row r="62" spans="2:14">
      <c r="B62" s="25"/>
      <c r="C62" s="14" t="s">
        <v>178</v>
      </c>
      <c r="D62" s="23">
        <f>D58/D59</f>
        <v>0.15194414510718066</v>
      </c>
      <c r="E62" s="23">
        <f t="shared" ref="E62:L62" si="30">E58/E59</f>
        <v>0.18925402874574326</v>
      </c>
      <c r="F62" s="23">
        <f t="shared" si="30"/>
        <v>0.27359137703183178</v>
      </c>
      <c r="G62" s="23">
        <f t="shared" si="30"/>
        <v>0.23773175189788312</v>
      </c>
      <c r="H62" s="23">
        <f t="shared" si="30"/>
        <v>0.24741253317661938</v>
      </c>
      <c r="I62" s="23" t="e">
        <f t="shared" si="30"/>
        <v>#DIV/0!</v>
      </c>
      <c r="J62" s="23">
        <f t="shared" si="30"/>
        <v>0.32391827207719875</v>
      </c>
      <c r="K62" s="23">
        <f t="shared" si="30"/>
        <v>0.24653466132886584</v>
      </c>
      <c r="L62" s="23">
        <f t="shared" si="30"/>
        <v>0.29352487595346427</v>
      </c>
      <c r="M62" s="23">
        <f t="shared" ref="M62" si="31">M58/M59</f>
        <v>0.26709625786794455</v>
      </c>
    </row>
    <row r="63" spans="2:14">
      <c r="B63" s="25"/>
      <c r="C63" s="14" t="s">
        <v>149</v>
      </c>
      <c r="D63" s="23">
        <f>1-D62</f>
        <v>0.84805585489281932</v>
      </c>
      <c r="E63" s="23">
        <f t="shared" ref="E63:L63" si="32">1-E62</f>
        <v>0.81074597125425674</v>
      </c>
      <c r="F63" s="23">
        <f t="shared" si="32"/>
        <v>0.72640862296816822</v>
      </c>
      <c r="G63" s="23">
        <f t="shared" si="32"/>
        <v>0.76226824810211691</v>
      </c>
      <c r="H63" s="23">
        <f t="shared" si="32"/>
        <v>0.75258746682338062</v>
      </c>
      <c r="I63" s="23" t="e">
        <f t="shared" si="32"/>
        <v>#DIV/0!</v>
      </c>
      <c r="J63" s="23">
        <f t="shared" si="32"/>
        <v>0.6760817279228013</v>
      </c>
      <c r="K63" s="23">
        <f t="shared" si="32"/>
        <v>0.75346533867113419</v>
      </c>
      <c r="L63" s="23">
        <f t="shared" si="32"/>
        <v>0.70647512404653567</v>
      </c>
      <c r="M63" s="23">
        <f t="shared" ref="M63" si="33">1-M62</f>
        <v>0.73290374213205545</v>
      </c>
    </row>
    <row r="65" spans="2:13">
      <c r="B65" s="50" t="s">
        <v>284</v>
      </c>
      <c r="C65" s="14" t="s">
        <v>264</v>
      </c>
      <c r="D65" s="42">
        <f>0.05*(Flugzeugdaten!B13-Flugzeugdaten!B18*Flugzeugdaten!B16)/1000*2.205+6-(630/((Flugzeugdaten!B13-Flugzeugdaten!B18*Flugzeugdaten!B16)*2.205/1000+120))</f>
        <v>22.635249397059532</v>
      </c>
      <c r="E65" s="42">
        <f>0.05*(Flugzeugdaten!C13-Flugzeugdaten!C18*Flugzeugdaten!C16)/1000*2.205+6-(630/((Flugzeugdaten!C13-Flugzeugdaten!C18*Flugzeugdaten!C16)*2.205/1000+120))</f>
        <v>23.551911237251783</v>
      </c>
      <c r="F65" s="42">
        <f>0.05*(Flugzeugdaten!D13-Flugzeugdaten!D18*Flugzeugdaten!D16)/1000*2.205+6-(630/((Flugzeugdaten!D13-Flugzeugdaten!D18*Flugzeugdaten!D16)*2.205/1000+120))</f>
        <v>11.026806195491616</v>
      </c>
      <c r="G65" s="42">
        <f>0.05*(Flugzeugdaten!E13-Flugzeugdaten!E18*Flugzeugdaten!E16)/1000*2.205+6-(630/((Flugzeugdaten!E13-Flugzeugdaten!E18*Flugzeugdaten!E16)*2.205/1000+120))</f>
        <v>17.428403055882622</v>
      </c>
      <c r="H65" s="42">
        <f>0.05*(Flugzeugdaten!F13-Flugzeugdaten!F18*Flugzeugdaten!F16)/1000*2.205+6-(630/((Flugzeugdaten!F13-Flugzeugdaten!F18*Flugzeugdaten!F16)*2.205/1000+120))</f>
        <v>14.886364725049507</v>
      </c>
      <c r="I65" s="42">
        <f>0.05*(Flugzeugdaten!G13-Flugzeugdaten!G18*Flugzeugdaten!G16)/1000*2.205+6-(630/((Flugzeugdaten!G13-Flugzeugdaten!G18*Flugzeugdaten!G16)*2.205/1000+120))</f>
        <v>0.75</v>
      </c>
      <c r="J65" s="42">
        <f>0.05*(Flugzeugdaten!H13-Flugzeugdaten!H18*Flugzeugdaten!H16)/1000*2.205+6-(630/((Flugzeugdaten!H13-Flugzeugdaten!H18*Flugzeugdaten!H16)*2.205/1000+120))</f>
        <v>4.8681159868165427</v>
      </c>
      <c r="K65" s="42">
        <f>0.05*(Flugzeugdaten!I13-Flugzeugdaten!I18*Flugzeugdaten!I16)/1000*2.205+6-(630/((Flugzeugdaten!I13-Flugzeugdaten!I18*Flugzeugdaten!I16)*2.205/1000+120))</f>
        <v>6.6054547466286255</v>
      </c>
      <c r="L65" s="42">
        <f>0.05*(Flugzeugdaten!J13-Flugzeugdaten!J18*Flugzeugdaten!J16)/1000*2.205+6-(630/((Flugzeugdaten!J13-Flugzeugdaten!J18*Flugzeugdaten!J16)*2.205/1000+120))</f>
        <v>4.7952674800901036</v>
      </c>
      <c r="M65" s="42">
        <f>0.05*(Flugzeugdaten!K13-Flugzeugdaten!K18*Flugzeugdaten!K16)/1000*2.205+6-(630/((Flugzeugdaten!K13-Flugzeugdaten!K18*Flugzeugdaten!K16)*2.205/1000+120))</f>
        <v>6.9067471697875789</v>
      </c>
    </row>
    <row r="66" spans="2:13">
      <c r="B66" s="27"/>
      <c r="C66" s="14" t="s">
        <v>170</v>
      </c>
      <c r="D66" s="42">
        <f>D65/Flugzeugdaten!B11</f>
        <v>2.8294061746324415</v>
      </c>
      <c r="E66" s="42">
        <f>E65/Flugzeugdaten!C11</f>
        <v>2.9439889046564729</v>
      </c>
      <c r="F66" s="42">
        <f>F65/Flugzeugdaten!D11</f>
        <v>1.378350774436452</v>
      </c>
      <c r="G66" s="42">
        <f>G65/Flugzeugdaten!E11</f>
        <v>2.1785503819853278</v>
      </c>
      <c r="H66" s="42">
        <f>H65/Flugzeugdaten!F11</f>
        <v>1.8607955906311884</v>
      </c>
      <c r="I66" s="42" t="e">
        <f>I65/Flugzeugdaten!G11</f>
        <v>#DIV/0!</v>
      </c>
      <c r="J66" s="42">
        <f>J65/Flugzeugdaten!H11</f>
        <v>1.947246394726617</v>
      </c>
      <c r="K66" s="42">
        <f>K65/Flugzeugdaten!I11</f>
        <v>2.64218189865145</v>
      </c>
      <c r="L66" s="42">
        <f>L65/Flugzeugdaten!J11</f>
        <v>1.9181069920360414</v>
      </c>
      <c r="M66" s="42">
        <f>M65/Flugzeugdaten!K11</f>
        <v>2.7626988679150317</v>
      </c>
    </row>
    <row r="67" spans="2:13">
      <c r="B67" s="27"/>
      <c r="C67" s="14" t="s">
        <v>226</v>
      </c>
      <c r="D67" s="43">
        <f>(D66*Flugzeugdaten!B11+Gesamtuebersicht!D65)*4*Inflationsrate!$H$24*((Flugzeugdaten!B27)^(0.5))</f>
        <v>278.15361197084917</v>
      </c>
      <c r="E67" s="43">
        <f>(E66*Flugzeugdaten!C11+Gesamtuebersicht!E65)*4*Inflationsrate!$H$24*((Flugzeugdaten!C27)^(0.5))</f>
        <v>289.41802515811639</v>
      </c>
      <c r="F67" s="43">
        <f>(F66*Flugzeugdaten!D11+Gesamtuebersicht!F65)*4*Inflationsrate!$H$24*((Flugzeugdaten!D27)^(0.5))</f>
        <v>135.50307831717433</v>
      </c>
      <c r="G67" s="43">
        <f>(G66*Flugzeugdaten!E11+Gesamtuebersicht!G65)*4*Inflationsrate!$H$24*((Flugzeugdaten!E27)^(0.5))</f>
        <v>214.16920025220904</v>
      </c>
      <c r="H67" s="43">
        <f>(H66*Flugzeugdaten!F11+Gesamtuebersicht!H65)*4*Inflationsrate!$H$24*((Flugzeugdaten!F27)^(0.5))</f>
        <v>182.93132294472801</v>
      </c>
      <c r="I67" s="43" t="e">
        <f>(I66*Flugzeugdaten!G11+Gesamtuebersicht!I65)*4*Inflationsrate!$H$24*((Flugzeugdaten!G27)^(0.5))</f>
        <v>#DIV/0!</v>
      </c>
      <c r="J67" s="43">
        <f>(J66*Flugzeugdaten!H11+Gesamtuebersicht!J65)*4*Inflationsrate!$H$24*((Flugzeugdaten!H27)^(0.5))</f>
        <v>58.035785601424074</v>
      </c>
      <c r="K67" s="43">
        <f>(K66*Flugzeugdaten!I11+Gesamtuebersicht!K65)*4*Inflationsrate!$H$24*((Flugzeugdaten!I27)^(0.5))</f>
        <v>78.747662650892948</v>
      </c>
      <c r="L67" s="43">
        <f>(L66*Flugzeugdaten!J11+Gesamtuebersicht!L65)*4*Inflationsrate!$H$24*((Flugzeugdaten!J27)^(0.5))</f>
        <v>57.167314034762775</v>
      </c>
      <c r="M67" s="43">
        <f>(M66*Flugzeugdaten!K11+Gesamtuebersicht!M65)*4*Inflationsrate!$H$24*((Flugzeugdaten!K27)^(0.5))</f>
        <v>82.339553748216872</v>
      </c>
    </row>
    <row r="68" spans="2:13">
      <c r="B68" s="27"/>
      <c r="C68" s="14" t="s">
        <v>227</v>
      </c>
      <c r="D68" s="32">
        <f>(3.05*D11*10^(-6)*Gesamtuebersicht!D13+6.24*D11*10^(-6))</f>
        <v>2004.6999446545437</v>
      </c>
      <c r="E68" s="32">
        <f>(3.05*E11*10^(-6)*Gesamtuebersicht!E13+6.24*E11*10^(-6))</f>
        <v>2119.5368034401522</v>
      </c>
      <c r="F68" s="32">
        <f>(3.05*F11*10^(-6)*Gesamtuebersicht!F13+6.24*F11*10^(-6))</f>
        <v>-57.463633501846815</v>
      </c>
      <c r="G68" s="32">
        <f>(3.05*G11*10^(-6)*Gesamtuebersicht!G13+6.24*G11*10^(-6))</f>
        <v>1869.5024477856173</v>
      </c>
      <c r="H68" s="32">
        <f>(3.05*H11*10^(-6)*Gesamtuebersicht!H13+6.24*H11*10^(-6))</f>
        <v>59.132405908030279</v>
      </c>
      <c r="I68" s="32">
        <f>(3.05*I11*10^(-6)*Gesamtuebersicht!I13+6.24*I11*10^(-6))</f>
        <v>0</v>
      </c>
      <c r="J68" s="32">
        <f>(3.05*J11*10^(-6)*Gesamtuebersicht!J13+6.24*J11*10^(-6))</f>
        <v>290.82872612539848</v>
      </c>
      <c r="K68" s="32">
        <f>(3.05*K11*10^(-6)*Gesamtuebersicht!K13+6.24*K11*10^(-6))</f>
        <v>564.4099388092244</v>
      </c>
      <c r="L68" s="32">
        <f>(3.05*L11*10^(-6)*Gesamtuebersicht!L13+6.24*L11*10^(-6))</f>
        <v>231.61109266636538</v>
      </c>
      <c r="M68" s="32">
        <f>(3.05*M11*10^(-6)*Gesamtuebersicht!M13+6.24*M11*10^(-6))</f>
        <v>819.29617238104083</v>
      </c>
    </row>
    <row r="69" spans="2:13">
      <c r="B69" s="27"/>
      <c r="C69" s="14" t="s">
        <v>220</v>
      </c>
      <c r="D69" s="32">
        <f>Inflationsrate!$H$24*4*((0.6+0.027*Flugzeugdaten!B17*10^(-3))*Flugzeugdaten!B18*Flugzeugdaten!B11+(0.3+0.03*Flugzeugdaten!B17*10^(-3))*Flugzeugdaten!B18)</f>
        <v>1067.7061651273029</v>
      </c>
      <c r="E69" s="32">
        <f>Inflationsrate!$H$24*4*((0.6+0.027*Flugzeugdaten!C17*10^(-3))*Flugzeugdaten!C18*Flugzeugdaten!C11+(0.3+0.03*Flugzeugdaten!C17*10^(-3))*Flugzeugdaten!C18)</f>
        <v>1127.4856824956196</v>
      </c>
      <c r="F69" s="32">
        <f>Inflationsrate!$H$24*4*((0.6+0.027*Flugzeugdaten!D17*10^(-3))*Flugzeugdaten!D18*Flugzeugdaten!D11+(0.3+0.03*Flugzeugdaten!D17*10^(-3))*Flugzeugdaten!D18)</f>
        <v>778.61321886010842</v>
      </c>
      <c r="G69" s="32">
        <f>Inflationsrate!$H$24*4*((0.6+0.027*Flugzeugdaten!E17*10^(-3))*Flugzeugdaten!E18*Flugzeugdaten!E11+(0.3+0.03*Flugzeugdaten!E17*10^(-3))*Flugzeugdaten!E18)</f>
        <v>1449.583320158004</v>
      </c>
      <c r="H69" s="32">
        <f>Inflationsrate!$H$24*4*((0.6+0.027*Flugzeugdaten!F17*10^(-3))*Flugzeugdaten!F18*Flugzeugdaten!F11+(0.3+0.03*Flugzeugdaten!F17*10^(-3))*Flugzeugdaten!F18)</f>
        <v>1282.3606167236894</v>
      </c>
      <c r="I69" s="32">
        <f>Inflationsrate!$H$24*4*((0.6+0.027*Flugzeugdaten!G17*10^(-3))*Flugzeugdaten!G18*Flugzeugdaten!G11+(0.3+0.03*Flugzeugdaten!G17*10^(-3))*Flugzeugdaten!G18)</f>
        <v>0</v>
      </c>
      <c r="J69" s="32">
        <f>Inflationsrate!$H$24*4*((0.6+0.027*Flugzeugdaten!H17*10^(-3))*Flugzeugdaten!H18*Flugzeugdaten!H11+(0.3+0.03*Flugzeugdaten!H17*10^(-3))*Flugzeugdaten!H18)</f>
        <v>128.81586301139274</v>
      </c>
      <c r="K69" s="32">
        <f>Inflationsrate!$H$24*4*((0.6+0.027*Flugzeugdaten!I17*10^(-3))*Flugzeugdaten!I18*Flugzeugdaten!I11+(0.3+0.03*Flugzeugdaten!I17*10^(-3))*Flugzeugdaten!I18)</f>
        <v>151.73800905245466</v>
      </c>
      <c r="L69" s="32">
        <f>Inflationsrate!$H$24*4*((0.6+0.027*Flugzeugdaten!J17*10^(-3))*Flugzeugdaten!J18*Flugzeugdaten!J11+(0.3+0.03*Flugzeugdaten!J17*10^(-3))*Flugzeugdaten!J18)</f>
        <v>160.25758993492084</v>
      </c>
      <c r="M69" s="32">
        <f>Inflationsrate!$H$24*4*((0.6+0.027*Flugzeugdaten!K17*10^(-3))*Flugzeugdaten!K18*Flugzeugdaten!K11+(0.3+0.03*Flugzeugdaten!K17*10^(-3))*Flugzeugdaten!K18)</f>
        <v>181.7577232091528</v>
      </c>
    </row>
    <row r="70" spans="2:13">
      <c r="B70" s="27"/>
      <c r="C70" s="14" t="s">
        <v>221</v>
      </c>
      <c r="D70" s="32">
        <f>(2.5*Flugzeugdaten!B18*D12*Flugzeugdaten!B11*10^(-5)+2*D12*Flugzeugdaten!B18*10^(-5))</f>
        <v>4501.3720166511948</v>
      </c>
      <c r="E70" s="32">
        <f>(2.5*Flugzeugdaten!C18*E12*Flugzeugdaten!C11*10^(-5)+2*E12*Flugzeugdaten!C18*10^(-5))</f>
        <v>5100.8709892450079</v>
      </c>
      <c r="F70" s="32">
        <f>(2.5*Flugzeugdaten!D18*F12*Flugzeugdaten!D11*10^(-5)+2*F12*Flugzeugdaten!D18*10^(-5))</f>
        <v>3590.0501057740989</v>
      </c>
      <c r="G70" s="32">
        <f>(2.5*Flugzeugdaten!E18*G12*Flugzeugdaten!E11*10^(-5)+2*G12*Flugzeugdaten!E18*10^(-5))</f>
        <v>6192.2232823127579</v>
      </c>
      <c r="H70" s="32">
        <f>(2.5*Flugzeugdaten!F18*H12*Flugzeugdaten!F11*10^(-5)+2*H12*Flugzeugdaten!F18*10^(-5))</f>
        <v>5562.1123611171724</v>
      </c>
      <c r="I70" s="32">
        <f>(2.5*Flugzeugdaten!G18*I12*Flugzeugdaten!G11*10^(-5)+2*I12*Flugzeugdaten!G18*10^(-5))</f>
        <v>0</v>
      </c>
      <c r="J70" s="32">
        <f>(2.5*Flugzeugdaten!H18*J12*Flugzeugdaten!H11*10^(-5)+2*J12*Flugzeugdaten!H18*10^(-5))</f>
        <v>531.34252045732956</v>
      </c>
      <c r="K70" s="32">
        <f>(2.5*Flugzeugdaten!I18*K12*Flugzeugdaten!I11*10^(-5)+2*K12*Flugzeugdaten!I18*10^(-5))</f>
        <v>674.80300857041573</v>
      </c>
      <c r="L70" s="32">
        <f>(2.5*Flugzeugdaten!J18*L12*Flugzeugdaten!J11*10^(-5)+2*L12*Flugzeugdaten!J18*10^(-5))</f>
        <v>712.7362914666993</v>
      </c>
      <c r="M70" s="32">
        <f>(2.5*Flugzeugdaten!K18*M12*Flugzeugdaten!K11*10^(-5)+2*M12*Flugzeugdaten!K18*10^(-5))</f>
        <v>800.61882413531544</v>
      </c>
    </row>
    <row r="71" spans="2:13">
      <c r="B71" s="27"/>
      <c r="C71" s="14" t="s">
        <v>225</v>
      </c>
      <c r="D71" s="32">
        <f>2*D67</f>
        <v>556.30722394169834</v>
      </c>
      <c r="E71" s="32">
        <f t="shared" ref="E71:M71" si="34">2*E67</f>
        <v>578.83605031623279</v>
      </c>
      <c r="F71" s="32">
        <f t="shared" si="34"/>
        <v>271.00615663434866</v>
      </c>
      <c r="G71" s="32">
        <f t="shared" si="34"/>
        <v>428.33840050441808</v>
      </c>
      <c r="H71" s="32">
        <f t="shared" si="34"/>
        <v>365.86264588945602</v>
      </c>
      <c r="I71" s="32" t="e">
        <f t="shared" si="34"/>
        <v>#DIV/0!</v>
      </c>
      <c r="J71" s="32">
        <f t="shared" si="34"/>
        <v>116.07157120284815</v>
      </c>
      <c r="K71" s="32">
        <f t="shared" si="34"/>
        <v>157.4953253017859</v>
      </c>
      <c r="L71" s="32">
        <f t="shared" si="34"/>
        <v>114.33462806952555</v>
      </c>
      <c r="M71" s="32">
        <f t="shared" si="34"/>
        <v>164.67910749643374</v>
      </c>
    </row>
    <row r="72" spans="2:13">
      <c r="B72" s="27"/>
      <c r="C72" s="14" t="s">
        <v>224</v>
      </c>
      <c r="D72" s="32">
        <f>2*D69</f>
        <v>2135.4123302546059</v>
      </c>
      <c r="E72" s="32">
        <f t="shared" ref="E72:M72" si="35">2*E69</f>
        <v>2254.9713649912392</v>
      </c>
      <c r="F72" s="32">
        <f t="shared" si="35"/>
        <v>1557.2264377202168</v>
      </c>
      <c r="G72" s="32">
        <f t="shared" si="35"/>
        <v>2899.1666403160079</v>
      </c>
      <c r="H72" s="32">
        <f t="shared" si="35"/>
        <v>2564.7212334473788</v>
      </c>
      <c r="I72" s="32">
        <f t="shared" si="35"/>
        <v>0</v>
      </c>
      <c r="J72" s="32">
        <f t="shared" si="35"/>
        <v>257.63172602278547</v>
      </c>
      <c r="K72" s="32">
        <f t="shared" si="35"/>
        <v>303.47601810490931</v>
      </c>
      <c r="L72" s="32">
        <f t="shared" si="35"/>
        <v>320.51517986984169</v>
      </c>
      <c r="M72" s="32">
        <f t="shared" si="35"/>
        <v>363.5154464183056</v>
      </c>
    </row>
    <row r="73" spans="2:13">
      <c r="B73" s="27"/>
      <c r="C73" s="27" t="s">
        <v>134</v>
      </c>
      <c r="D73" s="57">
        <f>(D67+D68+D71)/Flugzeugdaten!B11</f>
        <v>354.89509757088643</v>
      </c>
      <c r="E73" s="57">
        <f>(E67+E68+E71)/Flugzeugdaten!C11</f>
        <v>373.47385986431266</v>
      </c>
      <c r="F73" s="57">
        <f>(F67+F68+F71)/Flugzeugdaten!D11</f>
        <v>43.630700181209519</v>
      </c>
      <c r="G73" s="57">
        <f>(G67+G68+G71)/Flugzeugdaten!E11</f>
        <v>314.00125606778056</v>
      </c>
      <c r="H73" s="57">
        <f>(H67+H68+H71)/Flugzeugdaten!F11</f>
        <v>75.990796842776788</v>
      </c>
      <c r="I73" s="57" t="e">
        <f>(I67+I68+I71)/Flugzeugdaten!G11</f>
        <v>#DIV/0!</v>
      </c>
      <c r="J73" s="57">
        <f>(J67+J68+J71)/Flugzeugdaten!H11</f>
        <v>185.97443317186827</v>
      </c>
      <c r="K73" s="57">
        <f>(K67+K68+K71)/Flugzeugdaten!I11</f>
        <v>320.2611707047613</v>
      </c>
      <c r="L73" s="57">
        <f>(L67+L68+L71)/Flugzeugdaten!J11</f>
        <v>161.24521390826149</v>
      </c>
      <c r="M73" s="57">
        <f>(M67+M68+M71)/Flugzeugdaten!K11</f>
        <v>426.52593345027651</v>
      </c>
    </row>
    <row r="74" spans="2:13">
      <c r="B74" s="27"/>
      <c r="C74" s="27" t="s">
        <v>148</v>
      </c>
      <c r="D74" s="57">
        <f>(D69+D70+D72)/Flugzeugdaten!B11</f>
        <v>963.0613140041379</v>
      </c>
      <c r="E74" s="57">
        <f>(E69+E70+E72)/Flugzeugdaten!C11</f>
        <v>1060.4160045914832</v>
      </c>
      <c r="F74" s="57">
        <f>(F69+F70+F72)/Flugzeugdaten!D11</f>
        <v>740.73622029430294</v>
      </c>
      <c r="G74" s="57">
        <f>(G69+G70+G72)/Flugzeugdaten!E11</f>
        <v>1317.6216553483464</v>
      </c>
      <c r="H74" s="57">
        <f>(H69+H70+H72)/Flugzeugdaten!F11</f>
        <v>1176.1492764110301</v>
      </c>
      <c r="I74" s="57" t="e">
        <f>(I69+I70+I72)/Flugzeugdaten!G11</f>
        <v>#DIV/0!</v>
      </c>
      <c r="J74" s="57">
        <f>(J69+J70+J72)/Flugzeugdaten!H11</f>
        <v>367.11604379660309</v>
      </c>
      <c r="K74" s="57">
        <f>(K69+K70+K72)/Flugzeugdaten!I11</f>
        <v>452.00681429111194</v>
      </c>
      <c r="L74" s="57">
        <f>(L69+L70+L72)/Flugzeugdaten!J11</f>
        <v>477.40362450858476</v>
      </c>
      <c r="M74" s="57">
        <f>(M69+M70+M72)/Flugzeugdaten!K11</f>
        <v>538.35679750510951</v>
      </c>
    </row>
    <row r="75" spans="2:13">
      <c r="B75" s="27" t="s">
        <v>283</v>
      </c>
      <c r="C75" s="27" t="s">
        <v>143</v>
      </c>
      <c r="D75" s="57">
        <f t="shared" ref="D75:M75" si="36">D73+D74</f>
        <v>1317.9564115750243</v>
      </c>
      <c r="E75" s="57">
        <f t="shared" si="36"/>
        <v>1433.8898644557958</v>
      </c>
      <c r="F75" s="57">
        <f t="shared" si="36"/>
        <v>784.36692047551242</v>
      </c>
      <c r="G75" s="57">
        <f t="shared" si="36"/>
        <v>1631.622911416127</v>
      </c>
      <c r="H75" s="57">
        <f t="shared" si="36"/>
        <v>1252.1400732538068</v>
      </c>
      <c r="I75" s="57" t="e">
        <f t="shared" si="36"/>
        <v>#DIV/0!</v>
      </c>
      <c r="J75" s="57">
        <f t="shared" si="36"/>
        <v>553.09047696847142</v>
      </c>
      <c r="K75" s="57">
        <f t="shared" si="36"/>
        <v>772.26798499587323</v>
      </c>
      <c r="L75" s="57">
        <f t="shared" si="36"/>
        <v>638.64883841684627</v>
      </c>
      <c r="M75" s="57">
        <f t="shared" si="36"/>
        <v>964.88273095538602</v>
      </c>
    </row>
    <row r="76" spans="2:13">
      <c r="B76" s="27"/>
      <c r="C76" s="26" t="s">
        <v>185</v>
      </c>
      <c r="D76" s="32">
        <f>D75*D18*Flugzeugdaten!B11</f>
        <v>7696865.4435981419</v>
      </c>
      <c r="E76" s="32">
        <f>E75*E18*Flugzeugdaten!C11</f>
        <v>8373916.8084218474</v>
      </c>
      <c r="F76" s="32">
        <f>F75*F18*Flugzeugdaten!D11</f>
        <v>4580702.8155769929</v>
      </c>
      <c r="G76" s="32">
        <f>G75*G18*Flugzeugdaten!E11</f>
        <v>9528677.8026701808</v>
      </c>
      <c r="H76" s="32">
        <f>H75*H18*Flugzeugdaten!F11</f>
        <v>7312498.0278022317</v>
      </c>
      <c r="I76" s="32" t="e">
        <f>I75*I18*Flugzeugdaten!G11</f>
        <v>#DIV/0!</v>
      </c>
      <c r="J76" s="32">
        <f>J75*J18*Flugzeugdaten!H11</f>
        <v>2523475.3011686509</v>
      </c>
      <c r="K76" s="32">
        <f>K75*K18*Flugzeugdaten!I11</f>
        <v>3523472.6815436715</v>
      </c>
      <c r="L76" s="32">
        <f>L75*L18*Flugzeugdaten!J11</f>
        <v>2913835.325276861</v>
      </c>
      <c r="M76" s="32">
        <f>M75*M18*Flugzeugdaten!K11</f>
        <v>4402277.4599839486</v>
      </c>
    </row>
    <row r="77" spans="2:13">
      <c r="B77" s="27"/>
    </row>
    <row r="78" spans="2:13">
      <c r="B78" s="27"/>
      <c r="C78" s="14" t="s">
        <v>178</v>
      </c>
      <c r="D78" s="23">
        <f t="shared" ref="D78:M78" si="37">D74/D75</f>
        <v>0.73072319049856216</v>
      </c>
      <c r="E78" s="23">
        <f t="shared" si="37"/>
        <v>0.739537973506733</v>
      </c>
      <c r="F78" s="23">
        <f t="shared" si="37"/>
        <v>0.94437462998215305</v>
      </c>
      <c r="G78" s="23">
        <f t="shared" si="37"/>
        <v>0.8075528028745006</v>
      </c>
      <c r="H78" s="23">
        <f t="shared" si="37"/>
        <v>0.93931126519630725</v>
      </c>
      <c r="I78" s="23" t="e">
        <f t="shared" si="37"/>
        <v>#DIV/0!</v>
      </c>
      <c r="J78" s="23">
        <f t="shared" si="37"/>
        <v>0.66375404944375915</v>
      </c>
      <c r="K78" s="23">
        <f t="shared" si="37"/>
        <v>0.58529787984610981</v>
      </c>
      <c r="L78" s="23">
        <f t="shared" si="37"/>
        <v>0.74752132281650419</v>
      </c>
      <c r="M78" s="23">
        <f t="shared" si="37"/>
        <v>0.55795049515711759</v>
      </c>
    </row>
    <row r="79" spans="2:13">
      <c r="B79" s="27"/>
      <c r="C79" s="14" t="s">
        <v>149</v>
      </c>
      <c r="D79" s="23">
        <f>1-D78</f>
        <v>0.26927680950143784</v>
      </c>
      <c r="E79" s="23">
        <f t="shared" ref="E79:M79" si="38">1-E78</f>
        <v>0.260462026493267</v>
      </c>
      <c r="F79" s="23">
        <f t="shared" si="38"/>
        <v>5.5625370017846953E-2</v>
      </c>
      <c r="G79" s="23">
        <f t="shared" si="38"/>
        <v>0.1924471971254994</v>
      </c>
      <c r="H79" s="23">
        <f t="shared" si="38"/>
        <v>6.0688734803692745E-2</v>
      </c>
      <c r="I79" s="23" t="e">
        <f t="shared" si="38"/>
        <v>#DIV/0!</v>
      </c>
      <c r="J79" s="23">
        <f t="shared" si="38"/>
        <v>0.33624595055624085</v>
      </c>
      <c r="K79" s="23">
        <f t="shared" si="38"/>
        <v>0.41470212015389019</v>
      </c>
      <c r="L79" s="23">
        <f t="shared" si="38"/>
        <v>0.25247867718349581</v>
      </c>
      <c r="M79" s="23">
        <f t="shared" si="38"/>
        <v>0.44204950484288241</v>
      </c>
    </row>
    <row r="80" spans="2:13">
      <c r="B80" s="27"/>
      <c r="D80" s="23"/>
      <c r="E80" s="23"/>
      <c r="F80" s="23"/>
      <c r="G80" s="23"/>
      <c r="H80" s="23"/>
      <c r="I80" s="23"/>
      <c r="J80" s="23"/>
      <c r="K80" s="23"/>
      <c r="L80" s="23"/>
      <c r="M80" s="23"/>
    </row>
    <row r="82" spans="2:13">
      <c r="B82" s="49" t="s">
        <v>285</v>
      </c>
      <c r="C82" s="14" t="s">
        <v>254</v>
      </c>
      <c r="D82" s="42">
        <f>(2017-Flugzeugdaten!B9)/Flugzeugdaten!B29+ABS(Flugzeugdaten!B29-2)</f>
        <v>10.5</v>
      </c>
      <c r="E82" s="42">
        <f>(2017-Flugzeugdaten!C9)/Flugzeugdaten!C29+ABS(Flugzeugdaten!C29-2)</f>
        <v>10.6</v>
      </c>
      <c r="F82" s="42">
        <f>(2017-Flugzeugdaten!D9)/Flugzeugdaten!D29+ABS(Flugzeugdaten!D29-2)</f>
        <v>11.6</v>
      </c>
      <c r="G82" s="42">
        <f>(2017-Flugzeugdaten!E9)/Flugzeugdaten!E29+ABS(Flugzeugdaten!E29-2)</f>
        <v>10.7</v>
      </c>
      <c r="H82" s="42">
        <f>(2017-Flugzeugdaten!F9)/Flugzeugdaten!F29+ABS(Flugzeugdaten!F29-2)</f>
        <v>11.9</v>
      </c>
      <c r="I82" s="42" t="e">
        <f>(2017-Flugzeugdaten!G9)/Flugzeugdaten!G29+ABS(Flugzeugdaten!G29-2)</f>
        <v>#DIV/0!</v>
      </c>
      <c r="J82" s="42">
        <f>(2017-Flugzeugdaten!H9)/Flugzeugdaten!H29+ABS(Flugzeugdaten!H29-2)</f>
        <v>10.5</v>
      </c>
      <c r="K82" s="42">
        <f>(2017-Flugzeugdaten!I9)/Flugzeugdaten!I29+ABS(Flugzeugdaten!I29-2)</f>
        <v>7.875</v>
      </c>
      <c r="L82" s="42">
        <f>(2017-Flugzeugdaten!J9)/Flugzeugdaten!J29+ABS(Flugzeugdaten!J29-2)</f>
        <v>11.25</v>
      </c>
      <c r="M82" s="42">
        <f>(2017-Flugzeugdaten!K9)/Flugzeugdaten!K29+ABS(Flugzeugdaten!K29-2)</f>
        <v>8.5</v>
      </c>
    </row>
    <row r="83" spans="2:13">
      <c r="B83" s="28"/>
      <c r="C83" s="14" t="s">
        <v>266</v>
      </c>
      <c r="D83" s="32">
        <f>(Inflationsrate!$G$62*Inflationsrate!$D$19*Inflationsrate!$H$30)^D84*D86^D87*Flugzeugdaten!B13^0.9444*0.995^(2017-1980)</f>
        <v>4466.9413364122811</v>
      </c>
      <c r="E83" s="32">
        <f>(Inflationsrate!$G$62*Inflationsrate!$D$19*Inflationsrate!$H$30)^E84*E86^E87*Flugzeugdaten!C13^0.9444*0.995^(2017-1980)</f>
        <v>4775.4842928566086</v>
      </c>
      <c r="F83" s="32">
        <f>(Inflationsrate!$G$62*Inflationsrate!$D$19*Inflationsrate!$H$30)^F84*F86^F87*Flugzeugdaten!D13^0.9444*0.995^(2017-1980)</f>
        <v>181.34606743680914</v>
      </c>
      <c r="G83" s="32">
        <f>(Inflationsrate!$G$62*Inflationsrate!$D$19*Inflationsrate!$H$30)^G84*G86^G87*Flugzeugdaten!E13^0.9444*0.995^(2017-1980)</f>
        <v>4434.4798508916419</v>
      </c>
      <c r="H83" s="32">
        <f>(Inflationsrate!$G$62*Inflationsrate!$D$19*Inflationsrate!$H$30)^H84*H86^H87*Flugzeugdaten!F13^0.9444*0.995^(2017-1980)</f>
        <v>563.27089695364589</v>
      </c>
      <c r="I83" s="32" t="e">
        <f>(Inflationsrate!$G$62*Inflationsrate!$D$19*Inflationsrate!$H$30)^I84*I86^I87*Flugzeugdaten!G13^0.9444*0.995^(2017-1980)</f>
        <v>#DIV/0!</v>
      </c>
      <c r="J83" s="32">
        <f>(Inflationsrate!$G$62*Inflationsrate!$D$19*Inflationsrate!$H$30)^J84*J86^J87*Flugzeugdaten!H13^0.9444*0.995^(2017-1980)</f>
        <v>755.3625551552027</v>
      </c>
      <c r="K83" s="32">
        <f>(Inflationsrate!$G$62*Inflationsrate!$D$19*Inflationsrate!$H$30)^K84*K86^K87*Flugzeugdaten!I13^0.9444*0.995^(2017-1980)</f>
        <v>1376.0566107868574</v>
      </c>
      <c r="L83" s="32">
        <f>(Inflationsrate!$G$62*Inflationsrate!$D$19*Inflationsrate!$H$30)^L84*L86^L87*Flugzeugdaten!J13^0.9444*0.995^(2017-1980)</f>
        <v>653.83359896554964</v>
      </c>
      <c r="M83" s="32">
        <f>(Inflationsrate!$G$62*Inflationsrate!$D$19*Inflationsrate!$H$30)^M84*M86^M87*Flugzeugdaten!K13^0.9444*0.995^(2017-1980)</f>
        <v>1998.9654810654501</v>
      </c>
    </row>
    <row r="84" spans="2:13">
      <c r="B84" s="28"/>
      <c r="C84" s="14" t="s">
        <v>231</v>
      </c>
      <c r="D84" s="40">
        <f>1/(1+D85)</f>
        <v>1.4204515663980139E-2</v>
      </c>
      <c r="E84" s="40">
        <f t="shared" ref="E84:M84" si="39">1/(1+E85)</f>
        <v>1.481935343530868E-2</v>
      </c>
      <c r="F84" s="40">
        <f t="shared" si="39"/>
        <v>9.2119193411257746E-4</v>
      </c>
      <c r="G84" s="40">
        <f t="shared" si="39"/>
        <v>1.5713314253446169E-2</v>
      </c>
      <c r="H84" s="40">
        <f t="shared" si="39"/>
        <v>2.3865000168290591E-3</v>
      </c>
      <c r="I84" s="40" t="e">
        <f t="shared" si="39"/>
        <v>#DIV/0!</v>
      </c>
      <c r="J84" s="40">
        <f t="shared" si="39"/>
        <v>7.4159356263314644E-3</v>
      </c>
      <c r="K84" s="40">
        <f t="shared" si="39"/>
        <v>1.0904768680323827E-2</v>
      </c>
      <c r="L84" s="40">
        <f t="shared" si="39"/>
        <v>5.7109201185059364E-3</v>
      </c>
      <c r="M84" s="40">
        <f t="shared" si="39"/>
        <v>1.5073971151674206E-2</v>
      </c>
    </row>
    <row r="85" spans="2:13">
      <c r="B85" s="28"/>
      <c r="C85" s="14" t="s">
        <v>269</v>
      </c>
      <c r="D85" s="42">
        <f>14.148*(Inflationsrate!$G$62*Inflationsrate!$H$30*Inflationsrate!$D$19/D86)*Flugzeugdaten!B13^(-0.5111)*Flugzeugdaten!B11^(0.2089)</f>
        <v>69.400147647117848</v>
      </c>
      <c r="E85" s="42">
        <f>14.148*(Inflationsrate!$G$62*Inflationsrate!$H$30*Inflationsrate!$D$19/E86)*Flugzeugdaten!C13^(-0.5111)*Flugzeugdaten!C11^(0.2089)</f>
        <v>66.479327243616041</v>
      </c>
      <c r="F85" s="42">
        <f>14.148*(Inflationsrate!$G$62*Inflationsrate!$H$30*Inflationsrate!$D$19/F86)*Flugzeugdaten!D13^(-0.5111)*Flugzeugdaten!D11^(0.2089)</f>
        <v>1084.5501041304076</v>
      </c>
      <c r="G85" s="42">
        <f>14.148*(Inflationsrate!$G$62*Inflationsrate!$H$30*Inflationsrate!$D$19/G86)*Flugzeugdaten!E13^(-0.5111)*Flugzeugdaten!E11^(0.2089)</f>
        <v>62.640297894550457</v>
      </c>
      <c r="H85" s="42">
        <f>14.148*(Inflationsrate!$G$62*Inflationsrate!$H$30*Inflationsrate!$D$19/H86)*Flugzeugdaten!F13^(-0.5111)*Flugzeugdaten!F11^(0.2089)</f>
        <v>418.02367188276799</v>
      </c>
      <c r="I85" s="42" t="e">
        <f>14.148*(Inflationsrate!$G$62*Inflationsrate!$H$30*Inflationsrate!$D$19/I86)*Flugzeugdaten!G13^(-0.5111)*Flugzeugdaten!G11^(0.2089)</f>
        <v>#DIV/0!</v>
      </c>
      <c r="J85" s="42">
        <f>14.148*(Inflationsrate!$G$62*Inflationsrate!$H$30*Inflationsrate!$D$19/J86)*Flugzeugdaten!H13^(-0.5111)*Flugzeugdaten!H11^(0.2089)</f>
        <v>133.84475194867392</v>
      </c>
      <c r="K85" s="42">
        <f>14.148*(Inflationsrate!$G$62*Inflationsrate!$H$30*Inflationsrate!$D$19/K86)*Flugzeugdaten!I13^(-0.5111)*Flugzeugdaten!I11^(0.2089)</f>
        <v>90.702999789840945</v>
      </c>
      <c r="L85" s="42">
        <f>14.148*(Inflationsrate!$G$62*Inflationsrate!$H$30*Inflationsrate!$D$19/L86)*Flugzeugdaten!J13^(-0.5111)*Flugzeugdaten!J11^(0.2089)</f>
        <v>174.10313211343171</v>
      </c>
      <c r="M85" s="42">
        <f>14.148*(Inflationsrate!$G$62*Inflationsrate!$H$30*Inflationsrate!$D$19/M86)*Flugzeugdaten!K13^(-0.5111)*Flugzeugdaten!K11^(0.2089)</f>
        <v>65.339519290438204</v>
      </c>
    </row>
    <row r="86" spans="2:13">
      <c r="B86" s="28"/>
      <c r="C86" s="14" t="s">
        <v>230</v>
      </c>
      <c r="D86" s="41">
        <f>Flugzeugdaten!B14*10^(-6)/Flugzeugdaten!B13*40</f>
        <v>5.4775566467741954E-2</v>
      </c>
      <c r="E86" s="41">
        <f>Flugzeugdaten!C14*10^(-6)/Flugzeugdaten!C13*40</f>
        <v>5.5876153252801014E-2</v>
      </c>
      <c r="F86" s="41">
        <f>Flugzeugdaten!D14*10^(-6)/Flugzeugdaten!D13*40</f>
        <v>5.3589140754989571E-3</v>
      </c>
      <c r="G86" s="41">
        <f>Flugzeugdaten!E14*10^(-6)/Flugzeugdaten!E13*40</f>
        <v>6.967057932601288E-2</v>
      </c>
      <c r="H86" s="41">
        <f>Flugzeugdaten!F14*10^(-6)/Flugzeugdaten!F13*40</f>
        <v>1.1408989621947727E-2</v>
      </c>
      <c r="I86" s="41" t="e">
        <f>Flugzeugdaten!G14*10^(-6)/Flugzeugdaten!G13*40</f>
        <v>#DIV/0!</v>
      </c>
      <c r="J86" s="41">
        <f>Flugzeugdaten!H14*10^(-6)/Flugzeugdaten!H13*40</f>
        <v>5.9099996774263308E-2</v>
      </c>
      <c r="K86" s="41">
        <f>Flugzeugdaten!I14*10^(-6)/Flugzeugdaten!I13*40</f>
        <v>6.9926916606659298E-2</v>
      </c>
      <c r="L86" s="41">
        <f>Flugzeugdaten!J14*10^(-6)/Flugzeugdaten!J13*40</f>
        <v>3.9039197460362725E-2</v>
      </c>
      <c r="M86" s="41">
        <f>Flugzeugdaten!K14*10^(-6)/Flugzeugdaten!K13*40</f>
        <v>9.4752855383575196E-2</v>
      </c>
    </row>
    <row r="87" spans="2:13">
      <c r="B87" s="28"/>
      <c r="C87" s="14" t="s">
        <v>232</v>
      </c>
      <c r="D87" s="41">
        <f>1-D84</f>
        <v>0.98579548433601982</v>
      </c>
      <c r="E87" s="41">
        <f t="shared" ref="E87:M87" si="40">1-E84</f>
        <v>0.98518064656469129</v>
      </c>
      <c r="F87" s="41">
        <f t="shared" si="40"/>
        <v>0.99907880806588745</v>
      </c>
      <c r="G87" s="41">
        <f t="shared" si="40"/>
        <v>0.98428668574655387</v>
      </c>
      <c r="H87" s="41">
        <f t="shared" si="40"/>
        <v>0.99761349998317095</v>
      </c>
      <c r="I87" s="41" t="e">
        <f t="shared" si="40"/>
        <v>#DIV/0!</v>
      </c>
      <c r="J87" s="41">
        <f t="shared" si="40"/>
        <v>0.99258406437366853</v>
      </c>
      <c r="K87" s="41">
        <f t="shared" si="40"/>
        <v>0.98909523131967614</v>
      </c>
      <c r="L87" s="41">
        <f t="shared" si="40"/>
        <v>0.99428907988149406</v>
      </c>
      <c r="M87" s="41">
        <f t="shared" si="40"/>
        <v>0.98492602884832581</v>
      </c>
    </row>
    <row r="88" spans="2:13">
      <c r="B88" s="28"/>
      <c r="C88" s="14" t="s">
        <v>267</v>
      </c>
      <c r="D88" s="58">
        <f>0.5808+0.1757*LN(Flugzeugdaten!B29)+0.6217/D82</f>
        <v>1.0445737246485776</v>
      </c>
      <c r="E88" s="58">
        <f>0.5808+0.1757*LN(Flugzeugdaten!C29)+0.6217/E82</f>
        <v>1.0440151442352803</v>
      </c>
      <c r="F88" s="58">
        <f>0.5808+0.1757*LN(Flugzeugdaten!D29)+0.6217/F82</f>
        <v>1.0389590284252608</v>
      </c>
      <c r="G88" s="58">
        <f>0.5808+0.1757*LN(Flugzeugdaten!E29)+0.6217/G82</f>
        <v>1.0434670045773715</v>
      </c>
      <c r="H88" s="58">
        <f>0.5808+0.1757*LN(Flugzeugdaten!F29)+0.6217/H82</f>
        <v>1.0376078983180455</v>
      </c>
      <c r="I88" s="58" t="e">
        <f>0.5808+0.1757*LN(Flugzeugdaten!G29)+0.6217/I82</f>
        <v>#NUM!</v>
      </c>
      <c r="J88" s="58">
        <f>0.5808+0.1757*LN(Flugzeugdaten!H29)+0.6217/J82</f>
        <v>1.0053674026826709</v>
      </c>
      <c r="K88" s="58">
        <f>0.5808+0.1757*LN(Flugzeugdaten!I29)+0.6217/K82</f>
        <v>1.0251039106191788</v>
      </c>
      <c r="L88" s="58">
        <f>0.5808+0.1757*LN(Flugzeugdaten!J29)+0.6217/L82</f>
        <v>1.0014201010953694</v>
      </c>
      <c r="M88" s="58">
        <f>0.5808+0.1757*LN(Flugzeugdaten!K29)+0.6217/M82</f>
        <v>1.0192990553437353</v>
      </c>
    </row>
    <row r="89" spans="2:13">
      <c r="B89" s="28"/>
      <c r="C89" s="14" t="s">
        <v>268</v>
      </c>
      <c r="D89" s="41">
        <f>(D90+2/Flugzeugdaten!B32+1/(D90*Flugzeugdaten!B32^2))^(0.5)</f>
        <v>0.87259382739442404</v>
      </c>
      <c r="E89" s="41">
        <f>(E90+2/Flugzeugdaten!C32+1/(E90*Flugzeugdaten!C32^2))^(0.5)</f>
        <v>0.9412996243074252</v>
      </c>
      <c r="F89" s="41">
        <f>(F90+2/Flugzeugdaten!D32+1/(F90*Flugzeugdaten!D32^2))^(0.5)</f>
        <v>0.95408371755874721</v>
      </c>
      <c r="G89" s="41">
        <f>(G90+2/Flugzeugdaten!E32+1/(G90*Flugzeugdaten!E32^2))^(0.5)</f>
        <v>0.9729569361085767</v>
      </c>
      <c r="H89" s="41">
        <f>(H90+2/Flugzeugdaten!F32+1/(H90*Flugzeugdaten!F32^2))^(0.5)</f>
        <v>0.94084020124854706</v>
      </c>
      <c r="I89" s="41" t="e">
        <f>(I90+2/Flugzeugdaten!G32+1/(I90*Flugzeugdaten!G32^2))^(0.5)</f>
        <v>#DIV/0!</v>
      </c>
      <c r="J89" s="41">
        <f>(J90+2/Flugzeugdaten!H32+1/(J90*Flugzeugdaten!H32^2))^(0.5)</f>
        <v>1.3401029244840181</v>
      </c>
      <c r="K89" s="41">
        <f>(K90+2/Flugzeugdaten!I32+1/(K90*Flugzeugdaten!I32^2))^(0.5)</f>
        <v>1.3019250267841893</v>
      </c>
      <c r="L89" s="41">
        <f>(L90+2/Flugzeugdaten!J32+1/(L90*Flugzeugdaten!J32^2))^(0.5)</f>
        <v>1.2917671696632282</v>
      </c>
      <c r="M89" s="41">
        <f>(M90+2/Flugzeugdaten!K32+1/(M90*Flugzeugdaten!K32^2))^(0.5)</f>
        <v>1.2986065650289347</v>
      </c>
    </row>
    <row r="90" spans="2:13">
      <c r="B90" s="28"/>
      <c r="C90" s="14" t="s">
        <v>234</v>
      </c>
      <c r="D90" s="41">
        <f>1.49*LN(Flugzeugdaten!B31/Flugzeugdaten!B30)-0.0085</f>
        <v>0.4744861108274267</v>
      </c>
      <c r="E90" s="41">
        <f>1.49*LN(Flugzeugdaten!C31/Flugzeugdaten!C30)-0.0085</f>
        <v>0.60645975550024322</v>
      </c>
      <c r="F90" s="41">
        <f>1.49*LN(Flugzeugdaten!D31/Flugzeugdaten!D30)-0.0085</f>
        <v>0.63174811049479229</v>
      </c>
      <c r="G90" s="41">
        <f>1.49*LN(Flugzeugdaten!E31/Flugzeugdaten!E30)-0.0085</f>
        <v>0.66954951751789338</v>
      </c>
      <c r="H90" s="41">
        <f>1.49*LN(Flugzeugdaten!F31/Flugzeugdaten!F30)-0.0085</f>
        <v>0.60555560872384961</v>
      </c>
      <c r="I90" s="41" t="e">
        <f>1.49*LN(Flugzeugdaten!G31/Flugzeugdaten!G30)-0.0085</f>
        <v>#DIV/0!</v>
      </c>
      <c r="J90" s="41">
        <f>1.49*LN(Flugzeugdaten!H31/Flugzeugdaten!H30)-0.0085</f>
        <v>0.24041671186089972</v>
      </c>
      <c r="K90" s="41">
        <f>1.49*LN(Flugzeugdaten!I31/Flugzeugdaten!I30)-0.0085</f>
        <v>0.32124743522529342</v>
      </c>
      <c r="L90" s="41">
        <f>1.49*LN(Flugzeugdaten!J31/Flugzeugdaten!J30)-0.0085</f>
        <v>0.44651865783126105</v>
      </c>
      <c r="M90" s="41">
        <f>1.49*LN(Flugzeugdaten!K31/Flugzeugdaten!K30)-0.0085</f>
        <v>0.33536023220713546</v>
      </c>
    </row>
    <row r="91" spans="2:13">
      <c r="B91" s="28"/>
      <c r="C91" s="14" t="s">
        <v>238</v>
      </c>
      <c r="D91" s="32">
        <f>(2.27*(4+Flugzeugdaten!B17))</f>
        <v>692132.08</v>
      </c>
      <c r="E91" s="32">
        <f>(2.27*(4+Flugzeugdaten!C17))</f>
        <v>343233.08</v>
      </c>
      <c r="F91" s="32">
        <f>(2.27*(4+Flugzeugdaten!D17))</f>
        <v>222469.08000000002</v>
      </c>
      <c r="G91" s="32">
        <f>(2.27*(4+Flugzeugdaten!E17))</f>
        <v>621989.07999999996</v>
      </c>
      <c r="H91" s="32">
        <f>(2.27*(4+Flugzeugdaten!F17))</f>
        <v>544809.07999999996</v>
      </c>
      <c r="I91" s="32">
        <f>(2.27*(4+Flugzeugdaten!G17))</f>
        <v>9.08</v>
      </c>
      <c r="J91" s="32">
        <f>(2.27*(4+Flugzeugdaten!H17))</f>
        <v>70606.080000000002</v>
      </c>
      <c r="K91" s="32">
        <f>(2.27*(4+Flugzeugdaten!I17))</f>
        <v>223150.08000000002</v>
      </c>
      <c r="L91" s="32">
        <f>(2.27*(4+Flugzeugdaten!J17))</f>
        <v>144721.57999999999</v>
      </c>
      <c r="M91" s="32">
        <f>(2.27*(4+Flugzeugdaten!K17))</f>
        <v>275587.08</v>
      </c>
    </row>
    <row r="92" spans="2:13">
      <c r="B92" s="28"/>
      <c r="C92" s="14" t="s">
        <v>34</v>
      </c>
      <c r="D92" s="41">
        <f>D93*(D94+D95)</f>
        <v>2.3777832679900071</v>
      </c>
      <c r="E92" s="41">
        <f t="shared" ref="E92:M92" si="41">E93*(E94+E95)</f>
        <v>2.3300467433413377</v>
      </c>
      <c r="F92" s="41">
        <f t="shared" si="41"/>
        <v>2.0679859230683606</v>
      </c>
      <c r="G92" s="41">
        <f t="shared" si="41"/>
        <v>2.293416695028252</v>
      </c>
      <c r="H92" s="41">
        <f t="shared" si="41"/>
        <v>2.0541064808757166</v>
      </c>
      <c r="I92" s="41">
        <f t="shared" si="41"/>
        <v>1.0541</v>
      </c>
      <c r="J92" s="41">
        <f t="shared" si="41"/>
        <v>1.5165249071352787</v>
      </c>
      <c r="K92" s="41">
        <f t="shared" si="41"/>
        <v>1.8761748680385539</v>
      </c>
      <c r="L92" s="41">
        <f t="shared" si="41"/>
        <v>1.8648307086039952</v>
      </c>
      <c r="M92" s="41">
        <f t="shared" si="41"/>
        <v>2.1288415033039088</v>
      </c>
    </row>
    <row r="93" spans="2:13">
      <c r="B93" s="28"/>
      <c r="C93" s="14" t="s">
        <v>14</v>
      </c>
      <c r="D93" s="41">
        <f>1.27-0.2*Flugzeugdaten!B21^(0.2)</f>
        <v>0.9908194428748045</v>
      </c>
      <c r="E93" s="41">
        <f>1.27-0.2*Flugzeugdaten!C21^(0.2)</f>
        <v>0.98008813452892185</v>
      </c>
      <c r="F93" s="41">
        <f>1.27-0.2*Flugzeugdaten!D21^(0.2)</f>
        <v>0.98380618377894891</v>
      </c>
      <c r="G93" s="41">
        <f>1.27-0.2*Flugzeugdaten!E21^(0.2)</f>
        <v>0.99071417114158411</v>
      </c>
      <c r="H93" s="41">
        <f>1.27-0.2*Flugzeugdaten!F21^(0.2)</f>
        <v>0.99405406770775695</v>
      </c>
      <c r="I93" s="41">
        <f>1.27-0.2*Flugzeugdaten!G21^(0.2)</f>
        <v>1.27</v>
      </c>
      <c r="J93" s="41">
        <f>1.27-0.2*Flugzeugdaten!H21^(0.2)</f>
        <v>0.98672714034713482</v>
      </c>
      <c r="K93" s="41">
        <f>1.27-0.2*Flugzeugdaten!I21^(0.2)</f>
        <v>0.99405406770775695</v>
      </c>
      <c r="L93" s="41">
        <f>1.27-0.2*Flugzeugdaten!J21^(0.2)</f>
        <v>0.9877281295572008</v>
      </c>
      <c r="M93" s="41">
        <f>1.27-0.2*Flugzeugdaten!K21^(0.2)</f>
        <v>0.99295900974647466</v>
      </c>
    </row>
    <row r="94" spans="2:13">
      <c r="B94" s="28"/>
      <c r="C94" s="14" t="s">
        <v>18</v>
      </c>
      <c r="D94" s="41">
        <f>0.4*(Flugzeugdaten!B22/20)^(1.3)+0.4</f>
        <v>1.2218149058228089</v>
      </c>
      <c r="E94" s="41">
        <f>0.4*(Flugzeugdaten!C22/20)^(1.3)+0.4</f>
        <v>1.3593849118796562</v>
      </c>
      <c r="F94" s="41">
        <f>0.4*(Flugzeugdaten!D22/20)^(1.3)+0.4</f>
        <v>1.116025741620075</v>
      </c>
      <c r="G94" s="41">
        <f>0.4*(Flugzeugdaten!E22/20)^(1.3)+0.4</f>
        <v>1.1369125770408479</v>
      </c>
      <c r="H94" s="41">
        <f>0.4*(Flugzeugdaten!F22/20)^(1.3)+0.4</f>
        <v>1.0483931144232344</v>
      </c>
      <c r="I94" s="41">
        <f>0.4*(Flugzeugdaten!G22/20)^(1.3)+0.4</f>
        <v>0.4</v>
      </c>
      <c r="J94" s="41">
        <f>0.4*(Flugzeugdaten!H22/20)^(1.3)+0.4</f>
        <v>0.64692428750035036</v>
      </c>
      <c r="K94" s="41">
        <f>0.4*(Flugzeugdaten!I22/20)^(1.3)+0.4</f>
        <v>0.96539720402223894</v>
      </c>
      <c r="L94" s="41">
        <f>0.4*(Flugzeugdaten!J22/20)^(1.3)+0.4</f>
        <v>0.8</v>
      </c>
      <c r="M94" s="41">
        <f>0.4*(Flugzeugdaten!K22/20)^(1.3)+0.4</f>
        <v>1.1579369424196582</v>
      </c>
    </row>
    <row r="95" spans="2:13">
      <c r="B95" s="28"/>
      <c r="C95" s="14" t="s">
        <v>21</v>
      </c>
      <c r="D95" s="41">
        <f>0.032*Flugzeugdaten!B23+(0.43+0.07*Flugzeugdaten!B24)</f>
        <v>1.1779999999999999</v>
      </c>
      <c r="E95" s="41">
        <f>0.032*Flugzeugdaten!C23+(0.43+0.07*Flugzeugdaten!C24)</f>
        <v>1.018</v>
      </c>
      <c r="F95" s="41">
        <f>0.032*Flugzeugdaten!D23+(0.43+0.07*Flugzeugdaten!D24)</f>
        <v>0.9860000000000001</v>
      </c>
      <c r="G95" s="41">
        <f>0.032*Flugzeugdaten!E23+(0.43+0.07*Flugzeugdaten!E24)</f>
        <v>1.1779999999999999</v>
      </c>
      <c r="H95" s="41">
        <f>0.032*Flugzeugdaten!F23+(0.43+0.07*Flugzeugdaten!F24)</f>
        <v>1.018</v>
      </c>
      <c r="I95" s="41">
        <f>0.032*Flugzeugdaten!G23+(0.43+0.07*Flugzeugdaten!G24)</f>
        <v>0.43</v>
      </c>
      <c r="J95" s="41">
        <f>0.032*Flugzeugdaten!H23+(0.43+0.07*Flugzeugdaten!H24)</f>
        <v>0.89000000000000012</v>
      </c>
      <c r="K95" s="41">
        <f>0.032*Flugzeugdaten!I23+(0.43+0.07*Flugzeugdaten!I24)</f>
        <v>0.92200000000000004</v>
      </c>
      <c r="L95" s="41">
        <f>0.032*Flugzeugdaten!J23+(0.43+0.07*Flugzeugdaten!J24)</f>
        <v>1.0880000000000001</v>
      </c>
      <c r="M95" s="41">
        <f>0.032*Flugzeugdaten!K23+(0.43+0.07*Flugzeugdaten!K24)</f>
        <v>0.9860000000000001</v>
      </c>
    </row>
    <row r="96" spans="2:13">
      <c r="B96" s="28"/>
      <c r="C96" s="14" t="s">
        <v>239</v>
      </c>
      <c r="D96" s="41">
        <f>D95*D93</f>
        <v>1.1671853037065196</v>
      </c>
      <c r="E96" s="41">
        <f t="shared" ref="E96:M96" si="42">E95*E93</f>
        <v>0.99772972095044243</v>
      </c>
      <c r="F96" s="41">
        <f t="shared" si="42"/>
        <v>0.97003289720604369</v>
      </c>
      <c r="G96" s="41">
        <f t="shared" si="42"/>
        <v>1.1670612936047859</v>
      </c>
      <c r="H96" s="41">
        <f t="shared" si="42"/>
        <v>1.0119470409264966</v>
      </c>
      <c r="I96" s="41">
        <f t="shared" si="42"/>
        <v>0.54610000000000003</v>
      </c>
      <c r="J96" s="41">
        <f t="shared" si="42"/>
        <v>0.87818715490895016</v>
      </c>
      <c r="K96" s="41">
        <f t="shared" si="42"/>
        <v>0.91651785042655198</v>
      </c>
      <c r="L96" s="41">
        <f t="shared" si="42"/>
        <v>1.0746482049582344</v>
      </c>
      <c r="M96" s="41">
        <f t="shared" si="42"/>
        <v>0.97905758361002415</v>
      </c>
    </row>
    <row r="97" spans="2:13">
      <c r="B97" s="28"/>
      <c r="C97" s="26" t="s">
        <v>242</v>
      </c>
      <c r="D97" s="42">
        <f>0.11*(1+Flugzeugdaten!B17/(9.81*10^3))^(0.7)*D96*1.33*0.72*D98*39*Inflationsrate!$H$30*Inflationsrate!$D$19</f>
        <v>126.08054998154461</v>
      </c>
      <c r="E97" s="42">
        <f>0.11*(1+Flugzeugdaten!C17/(9.81*10^3))^(0.7)*E96*1.33*0.72*E98*39*Inflationsrate!$H$30*Inflationsrate!$D$19</f>
        <v>67.418767427680166</v>
      </c>
      <c r="F97" s="42">
        <f>0.11*(1+Flugzeugdaten!D17/(9.81*10^3))^(0.7)*F96*1.33*0.72*F98*39*Inflationsrate!$H$30*Inflationsrate!$D$19</f>
        <v>49.501538745158584</v>
      </c>
      <c r="G97" s="42">
        <f>0.11*(1+Flugzeugdaten!E17/(9.81*10^3))^(0.7)*G96*1.33*0.72*G98*39*Inflationsrate!$H$30*Inflationsrate!$D$19</f>
        <v>117.26919802055008</v>
      </c>
      <c r="H97" s="42">
        <f>0.11*(1+Flugzeugdaten!F17/(9.81*10^3))^(0.7)*H96*1.33*0.72*H98*39*Inflationsrate!$H$30*Inflationsrate!$D$19</f>
        <v>92.994135675993803</v>
      </c>
      <c r="I97" s="42">
        <f>0.11*(1+Flugzeugdaten!G17/(9.81*10^3))^(0.7)*I96*1.33*0.72*I98*39*Inflationsrate!$H$30*Inflationsrate!$D$19</f>
        <v>0</v>
      </c>
      <c r="J97" s="42">
        <f>0.11*(1+Flugzeugdaten!H17/(9.81*10^3))^(0.7)*J96*1.33*0.72*J98*39*Inflationsrate!$H$30*Inflationsrate!$D$19</f>
        <v>20.042779503879004</v>
      </c>
      <c r="K97" s="42">
        <f>0.11*(1+Flugzeugdaten!I17/(9.81*10^3))^(0.7)*K96*1.33*0.72*K98*39*Inflationsrate!$H$30*Inflationsrate!$D$19</f>
        <v>41.298784294591933</v>
      </c>
      <c r="L97" s="42">
        <f>0.11*(1+Flugzeugdaten!J17/(9.81*10^3))^(0.7)*L96*1.33*0.72*L98*39*Inflationsrate!$H$30*Inflationsrate!$D$19</f>
        <v>36.983308019611407</v>
      </c>
      <c r="M97" s="42">
        <f>0.11*(1+Flugzeugdaten!K17/(9.81*10^3))^(0.7)*M96*1.33*0.72*M98*39*Inflationsrate!$H$30*Inflationsrate!$D$19</f>
        <v>50.521393761750986</v>
      </c>
    </row>
    <row r="98" spans="2:13">
      <c r="B98" s="28"/>
      <c r="C98" s="14" t="s">
        <v>243</v>
      </c>
      <c r="D98" s="41">
        <f>Flugzeugdaten!C49</f>
        <v>0.87542391984877999</v>
      </c>
      <c r="E98" s="41">
        <f>Flugzeugdaten!C49</f>
        <v>0.87542391984877999</v>
      </c>
      <c r="F98" s="41">
        <f>Flugzeugdaten!C49</f>
        <v>0.87542391984877999</v>
      </c>
      <c r="G98" s="41">
        <f>Flugzeugdaten!C49</f>
        <v>0.87542391984877999</v>
      </c>
      <c r="H98" s="41">
        <f>Flugzeugdaten!C49</f>
        <v>0.87542391984877999</v>
      </c>
      <c r="I98" s="41"/>
      <c r="J98" s="41">
        <f>Flugzeugdaten!B49</f>
        <v>0.77150321051949666</v>
      </c>
      <c r="K98" s="41">
        <f>Flugzeugdaten!B49</f>
        <v>0.77150321051949666</v>
      </c>
      <c r="L98" s="41">
        <f>Flugzeugdaten!B49</f>
        <v>0.77150321051949666</v>
      </c>
      <c r="M98" s="41">
        <f>Flugzeugdaten!B49</f>
        <v>0.77150321051949666</v>
      </c>
    </row>
    <row r="99" spans="2:13">
      <c r="B99" s="28"/>
      <c r="C99" s="26" t="s">
        <v>159</v>
      </c>
      <c r="D99" s="42">
        <f>(2.27*(4+Gesamtuebersicht!D19/(9.81*10^3))*Gesamtuebersicht!D92-4.8)*0.625*D98*Inflationsrate!$D$19*Inflationsrate!$H$30</f>
        <v>25.35222268469332</v>
      </c>
      <c r="E99" s="42">
        <f>(2.27*(4+Gesamtuebersicht!E19/(9.81*10^3))*Gesamtuebersicht!E92-4.8)*0.625*E98*Inflationsrate!$D$19*Inflationsrate!$H$30</f>
        <v>24.74165711188272</v>
      </c>
      <c r="F99" s="42">
        <f>(2.27*(4+Gesamtuebersicht!F19/(9.81*10^3))*Gesamtuebersicht!F92-4.8)*0.625*F98*Inflationsrate!$D$19*Inflationsrate!$H$30</f>
        <v>20.712499374471211</v>
      </c>
      <c r="G99" s="42">
        <f>(2.27*(4+Gesamtuebersicht!G19/(9.81*10^3))*Gesamtuebersicht!G92-4.8)*0.625*G98*Inflationsrate!$D$19*Inflationsrate!$H$30</f>
        <v>23.985264747495187</v>
      </c>
      <c r="H99" s="42">
        <f>(2.27*(4+Gesamtuebersicht!H19/(9.81*10^3))*Gesamtuebersicht!H92-4.8)*0.625*H98*Inflationsrate!$D$19*Inflationsrate!$H$30</f>
        <v>20.661966354082139</v>
      </c>
      <c r="I99" s="42" t="e">
        <f>(2.27*(4+Gesamtuebersicht!I19/(9.81*10^3))*Gesamtuebersicht!I92-4.8)*0.625*I98*Inflationsrate!$D$19*Inflationsrate!$H$30</f>
        <v>#DIV/0!</v>
      </c>
      <c r="J99" s="42">
        <f>(2.27*(4+Gesamtuebersicht!J19/(9.81*10^3))*Gesamtuebersicht!J92-4.8)*0.625*J98*Inflationsrate!$D$19*Inflationsrate!$H$30</f>
        <v>11.654654673213569</v>
      </c>
      <c r="K99" s="42">
        <f>(2.27*(4+Gesamtuebersicht!K19/(9.81*10^3))*Gesamtuebersicht!K92-4.8)*0.625*K98*Inflationsrate!$D$19*Inflationsrate!$H$30</f>
        <v>15.930316334852359</v>
      </c>
      <c r="L99" s="42">
        <f>(2.27*(4+Gesamtuebersicht!L19/(9.81*10^3))*Gesamtuebersicht!L92-4.8)*0.625*L98*Inflationsrate!$D$19*Inflationsrate!$H$30</f>
        <v>15.729420789590428</v>
      </c>
      <c r="M99" s="42">
        <f>(2.27*(4+Gesamtuebersicht!M19/(9.81*10^3))*Gesamtuebersicht!M92-4.8)*0.625*M98*Inflationsrate!$D$19*Inflationsrate!$H$30</f>
        <v>18.914976449064568</v>
      </c>
    </row>
    <row r="100" spans="2:13">
      <c r="B100" s="28"/>
      <c r="C100" s="28" t="s">
        <v>134</v>
      </c>
      <c r="D100" s="59">
        <f t="shared" ref="D100:M100" si="43">0.1799*D83*D88*D89</f>
        <v>732.47472974419043</v>
      </c>
      <c r="E100" s="59">
        <f t="shared" si="43"/>
        <v>844.27371434134</v>
      </c>
      <c r="F100" s="59">
        <f t="shared" si="43"/>
        <v>32.338823134241714</v>
      </c>
      <c r="G100" s="59">
        <f t="shared" si="43"/>
        <v>809.92758099328353</v>
      </c>
      <c r="H100" s="59">
        <f t="shared" si="43"/>
        <v>98.923075755492647</v>
      </c>
      <c r="I100" s="59" t="e">
        <f t="shared" si="43"/>
        <v>#DIV/0!</v>
      </c>
      <c r="J100" s="59">
        <f t="shared" si="43"/>
        <v>183.08365349356657</v>
      </c>
      <c r="K100" s="59">
        <f t="shared" si="43"/>
        <v>330.38576740608505</v>
      </c>
      <c r="L100" s="59">
        <f t="shared" si="43"/>
        <v>152.15945527044244</v>
      </c>
      <c r="M100" s="59">
        <f t="shared" si="43"/>
        <v>476.00955863349247</v>
      </c>
    </row>
    <row r="101" spans="2:13">
      <c r="B101" s="28"/>
      <c r="C101" s="28" t="s">
        <v>148</v>
      </c>
      <c r="D101" s="59">
        <f>Flugzeugdaten!B18*(D99+D97)*(1+1.3/Flugzeugdaten!B11)</f>
        <v>352.08119644900319</v>
      </c>
      <c r="E101" s="59">
        <f>Flugzeugdaten!C18*(E99+E97)*(1+1.3/Flugzeugdaten!C11)</f>
        <v>428.54597410896741</v>
      </c>
      <c r="F101" s="59">
        <f>Flugzeugdaten!D18*(F99+F97)*(1+1.3/Flugzeugdaten!D11)</f>
        <v>326.49527725627854</v>
      </c>
      <c r="G101" s="59">
        <f>Flugzeugdaten!E18*(G99+G97)*(1+1.3/Flugzeugdaten!E11)</f>
        <v>492.6249389035579</v>
      </c>
      <c r="H101" s="59">
        <f>Flugzeugdaten!F18*(H99+H97)*(1+1.3/Flugzeugdaten!F11)</f>
        <v>396.37565582988987</v>
      </c>
      <c r="I101" s="59" t="e">
        <f>Flugzeugdaten!G18*(I99+I97)*(1+1.3/Flugzeugdaten!G11)</f>
        <v>#DIV/0!</v>
      </c>
      <c r="J101" s="59">
        <f>Flugzeugdaten!H18*(J99+J97)*(1+1.3/Flugzeugdaten!H11)</f>
        <v>192.72039979672286</v>
      </c>
      <c r="K101" s="59">
        <f>Flugzeugdaten!I18*(K99+K97)*(1+1.3/Flugzeugdaten!I11)</f>
        <v>173.97646591351065</v>
      </c>
      <c r="L101" s="59">
        <f>Flugzeugdaten!J18*(L99+L97)*(1+1.3/Flugzeugdaten!J11)</f>
        <v>240.37004336996034</v>
      </c>
      <c r="M101" s="59">
        <f>Flugzeugdaten!K18*(M99+M97)*(1+1.3/Flugzeugdaten!K11)</f>
        <v>211.0865654408793</v>
      </c>
    </row>
    <row r="102" spans="2:13">
      <c r="B102" s="28"/>
      <c r="C102" s="28" t="s">
        <v>143</v>
      </c>
      <c r="D102" s="59">
        <f t="shared" ref="D102:M102" si="44">D101+D100</f>
        <v>1084.5559261931935</v>
      </c>
      <c r="E102" s="59">
        <f t="shared" si="44"/>
        <v>1272.8196884503075</v>
      </c>
      <c r="F102" s="59">
        <f t="shared" si="44"/>
        <v>358.83410039052023</v>
      </c>
      <c r="G102" s="59">
        <f t="shared" si="44"/>
        <v>1302.5525198968414</v>
      </c>
      <c r="H102" s="59">
        <f t="shared" si="44"/>
        <v>495.29873158538248</v>
      </c>
      <c r="I102" s="59" t="e">
        <f t="shared" si="44"/>
        <v>#DIV/0!</v>
      </c>
      <c r="J102" s="59">
        <f t="shared" si="44"/>
        <v>375.8040532902894</v>
      </c>
      <c r="K102" s="59">
        <f t="shared" si="44"/>
        <v>504.3622333195957</v>
      </c>
      <c r="L102" s="59">
        <f t="shared" si="44"/>
        <v>392.52949864040278</v>
      </c>
      <c r="M102" s="59">
        <f t="shared" si="44"/>
        <v>687.0961240743718</v>
      </c>
    </row>
    <row r="103" spans="2:13">
      <c r="B103" s="28"/>
      <c r="C103" s="14" t="s">
        <v>244</v>
      </c>
      <c r="D103" s="32">
        <f>D102*D18*Flugzeugdaten!B11</f>
        <v>6333806.6089682505</v>
      </c>
      <c r="E103" s="32">
        <f>E102*E18*Flugzeugdaten!C11</f>
        <v>7433266.9805497956</v>
      </c>
      <c r="F103" s="32">
        <f>F102*F18*Flugzeugdaten!D11</f>
        <v>2095591.1462806382</v>
      </c>
      <c r="G103" s="32">
        <f>G102*G18*Flugzeugdaten!E11</f>
        <v>7606906.716197554</v>
      </c>
      <c r="H103" s="32">
        <f>H102*H18*Flugzeugdaten!F11</f>
        <v>2892544.5924586337</v>
      </c>
      <c r="I103" s="32" t="e">
        <f>I102*I18*Flugzeugdaten!G11</f>
        <v>#DIV/0!</v>
      </c>
      <c r="J103" s="32">
        <f>J102*J18*Flugzeugdaten!H11</f>
        <v>1714605.9931369454</v>
      </c>
      <c r="K103" s="32">
        <f>K102*K18*Flugzeugdaten!I11</f>
        <v>2301152.6895206552</v>
      </c>
      <c r="L103" s="32">
        <f>L102*L18*Flugzeugdaten!J11</f>
        <v>1790915.8375468375</v>
      </c>
      <c r="M103" s="32">
        <f>M102*M18*Flugzeugdaten!K11</f>
        <v>3134876.0660893214</v>
      </c>
    </row>
    <row r="104" spans="2:13">
      <c r="B104" s="28"/>
    </row>
    <row r="105" spans="2:13">
      <c r="B105" s="28"/>
      <c r="C105" s="14" t="s">
        <v>178</v>
      </c>
      <c r="D105" s="23">
        <f t="shared" ref="D105:M105" si="45">D101/D102</f>
        <v>0.32463166531652554</v>
      </c>
      <c r="E105" s="23">
        <f t="shared" si="45"/>
        <v>0.33669024607148695</v>
      </c>
      <c r="F105" s="23">
        <f t="shared" si="45"/>
        <v>0.90987806593897502</v>
      </c>
      <c r="G105" s="23">
        <f t="shared" si="45"/>
        <v>0.37819967439207169</v>
      </c>
      <c r="H105" s="23">
        <f t="shared" si="45"/>
        <v>0.80027593561797827</v>
      </c>
      <c r="I105" s="23" t="e">
        <f t="shared" si="45"/>
        <v>#DIV/0!</v>
      </c>
      <c r="J105" s="23">
        <f t="shared" si="45"/>
        <v>0.51282150394438719</v>
      </c>
      <c r="K105" s="23">
        <f t="shared" si="45"/>
        <v>0.34494348390924862</v>
      </c>
      <c r="L105" s="23">
        <f t="shared" si="45"/>
        <v>0.61236173129032501</v>
      </c>
      <c r="M105" s="23">
        <f t="shared" si="45"/>
        <v>0.30721547982132286</v>
      </c>
    </row>
    <row r="106" spans="2:13">
      <c r="B106" s="28"/>
      <c r="C106" s="14" t="s">
        <v>149</v>
      </c>
      <c r="D106" s="23">
        <f>1-D105</f>
        <v>0.67536833468347446</v>
      </c>
      <c r="E106" s="23">
        <f t="shared" ref="E106:M106" si="46">1-E105</f>
        <v>0.6633097539285131</v>
      </c>
      <c r="F106" s="23">
        <f t="shared" si="46"/>
        <v>9.0121934061024978E-2</v>
      </c>
      <c r="G106" s="23">
        <f t="shared" si="46"/>
        <v>0.62180032560792831</v>
      </c>
      <c r="H106" s="23">
        <f t="shared" si="46"/>
        <v>0.19972406438202173</v>
      </c>
      <c r="I106" s="23" t="e">
        <f t="shared" si="46"/>
        <v>#DIV/0!</v>
      </c>
      <c r="J106" s="23">
        <f t="shared" si="46"/>
        <v>0.48717849605561281</v>
      </c>
      <c r="K106" s="23">
        <f t="shared" si="46"/>
        <v>0.65505651609075133</v>
      </c>
      <c r="L106" s="23">
        <f t="shared" si="46"/>
        <v>0.38763826870967499</v>
      </c>
      <c r="M106" s="23">
        <f t="shared" si="46"/>
        <v>0.69278452017867709</v>
      </c>
    </row>
    <row r="108" spans="2:13">
      <c r="B108" s="31" t="s">
        <v>245</v>
      </c>
      <c r="C108" s="14" t="s">
        <v>246</v>
      </c>
      <c r="D108" s="43">
        <f>1.055*Flugzeugdaten!B6</f>
        <v>311.22499999999997</v>
      </c>
      <c r="E108" s="43">
        <f>1.055*Flugzeugdaten!C6</f>
        <v>311.22499999999997</v>
      </c>
      <c r="F108" s="43">
        <f>1.055*Flugzeugdaten!D6</f>
        <v>273.245</v>
      </c>
      <c r="G108" s="43">
        <f>1.055*Flugzeugdaten!E6</f>
        <v>337.59999999999997</v>
      </c>
      <c r="H108" s="43">
        <f>1.055*Flugzeugdaten!F6</f>
        <v>259.52999999999997</v>
      </c>
      <c r="I108" s="43">
        <f>1.055*Flugzeugdaten!G6</f>
        <v>0</v>
      </c>
      <c r="J108" s="43">
        <f>1*Flugzeugdaten!H6</f>
        <v>112</v>
      </c>
      <c r="K108" s="43">
        <f>1*Flugzeugdaten!I6</f>
        <v>125</v>
      </c>
      <c r="L108" s="43">
        <f>1*Flugzeugdaten!J6</f>
        <v>120</v>
      </c>
      <c r="M108" s="43">
        <f>1*Flugzeugdaten!K6</f>
        <v>160</v>
      </c>
    </row>
    <row r="109" spans="2:13">
      <c r="B109" s="30"/>
      <c r="C109" s="14" t="s">
        <v>170</v>
      </c>
      <c r="D109" s="42">
        <f>4.47+1.1*10^(-2)*D108+9.34*10^(-6)*D35*2.205+7.35*Flugzeugdaten!B36</f>
        <v>13.038648407373998</v>
      </c>
      <c r="E109" s="42">
        <f>4.47+1.1*10^(-2)*E108+9.34*10^(-6)*E35*2.205+7.35*Flugzeugdaten!C36</f>
        <v>13.038648407373998</v>
      </c>
      <c r="F109" s="42">
        <f>4.47+1.1*10^(-2)*F108+9.34*10^(-6)*F35*2.205+7.35*Flugzeugdaten!D36</f>
        <v>14.825868407373999</v>
      </c>
      <c r="G109" s="42">
        <f>4.47+1.1*10^(-2)*G108+9.34*10^(-6)*G35*2.205+7.35*Flugzeugdaten!E36</f>
        <v>14.063773407374001</v>
      </c>
      <c r="H109" s="42">
        <f>4.47+1.1*10^(-2)*H108+9.34*10^(-6)*H35*2.205+7.35*Flugzeugdaten!F36</f>
        <v>14.675003407374</v>
      </c>
      <c r="I109" s="42">
        <f>4.47+1.1*10^(-2)*I108+9.34*10^(-6)*I35*2.205+7.35*Flugzeugdaten!G36</f>
        <v>4.4700086497739999</v>
      </c>
      <c r="J109" s="42">
        <f>4.47+1.1*10^(-2)*J108+9.34*10^(-6)*J35*2.205+7.35*Flugzeugdaten!H36</f>
        <v>11.582060136523999</v>
      </c>
      <c r="K109" s="42">
        <f>4.47+1.1*10^(-2)*K108+9.34*10^(-6)*K35*2.205+7.35*Flugzeugdaten!I36</f>
        <v>10.990060136523999</v>
      </c>
      <c r="L109" s="42">
        <f>4.47+1.1*10^(-2)*L108+9.34*10^(-6)*L35*2.205+7.35*Flugzeugdaten!J36</f>
        <v>13.140060136523999</v>
      </c>
      <c r="M109" s="42">
        <f>4.47+1.1*10^(-2)*M108+9.34*10^(-6)*M35*2.205+7.35*Flugzeugdaten!K36</f>
        <v>13.580060136524001</v>
      </c>
    </row>
    <row r="110" spans="2:13">
      <c r="B110" s="30"/>
      <c r="C110" s="14" t="s">
        <v>160</v>
      </c>
      <c r="D110" s="43">
        <f>(-4.43*10+D108*6.33*10^(-1)+1.36*10^(-4)*D35*2.205+0.4*1*D108)*Inflationsrate!$H$36</f>
        <v>371.92618601517415</v>
      </c>
      <c r="E110" s="43">
        <f>(-4.43*10+E108*6.33*10^(-1)+1.36*10^(-4)*E35*2.205+0.4*1*E108)*Inflationsrate!$H$36</f>
        <v>371.92618601517415</v>
      </c>
      <c r="F110" s="43">
        <f>(-4.43*10+F108*6.33*10^(-1)+1.36*10^(-4)*F35*2.205+0.4*1*F108)*Inflationsrate!$H$36</f>
        <v>319.28544133656442</v>
      </c>
      <c r="G110" s="43">
        <f>(-4.43*10+G108*6.33*10^(-1)+1.36*10^(-4)*G35*2.205+0.4*1*G108)*Inflationsrate!$H$36</f>
        <v>408.48225870865321</v>
      </c>
      <c r="H110" s="43">
        <f>(-4.43*10+H108*6.33*10^(-1)+1.36*10^(-4)*H35*2.205+0.4*1*H108)*Inflationsrate!$H$36</f>
        <v>300.27628353595532</v>
      </c>
      <c r="I110" s="43">
        <f>(-4.43*10+I108*6.33*10^(-1)+1.36*10^(-4)*I35*2.205+0.4*1*I108)*Inflationsrate!$H$36</f>
        <v>-59.438690643765661</v>
      </c>
      <c r="J110" s="43">
        <f>(-4.43*10+J108*6.33*10^(-1)+1.36*10^(-4)*J35*2.205+0.4*1*J108)*Inflationsrate!$H$36</f>
        <v>95.79568555522026</v>
      </c>
      <c r="K110" s="43">
        <f>(-4.43*10+K108*6.33*10^(-1)+1.36*10^(-4)*K35*2.205+0.4*1*K108)*Inflationsrate!$H$36</f>
        <v>113.81384460793028</v>
      </c>
      <c r="L110" s="43">
        <f>(-4.43*10+L108*6.33*10^(-1)+1.36*10^(-4)*L35*2.205+0.4*1*L108)*Inflationsrate!$H$36</f>
        <v>106.88378343381106</v>
      </c>
      <c r="M110" s="43">
        <f>(-4.43*10+M108*6.33*10^(-1)+1.36*10^(-4)*M35*2.205+0.4*1*M108)*Inflationsrate!$H$36</f>
        <v>162.324272826765</v>
      </c>
    </row>
    <row r="111" spans="2:13">
      <c r="B111" s="30"/>
      <c r="C111" s="14" t="s">
        <v>14</v>
      </c>
      <c r="D111" s="41">
        <f>D93</f>
        <v>0.9908194428748045</v>
      </c>
      <c r="E111" s="41">
        <f t="shared" ref="E111:M111" si="47">E93</f>
        <v>0.98008813452892185</v>
      </c>
      <c r="F111" s="41">
        <f t="shared" si="47"/>
        <v>0.98380618377894891</v>
      </c>
      <c r="G111" s="41">
        <f t="shared" si="47"/>
        <v>0.99071417114158411</v>
      </c>
      <c r="H111" s="41">
        <f t="shared" si="47"/>
        <v>0.99405406770775695</v>
      </c>
      <c r="I111" s="41">
        <f t="shared" si="47"/>
        <v>1.27</v>
      </c>
      <c r="J111" s="41">
        <f t="shared" si="47"/>
        <v>0.98672714034713482</v>
      </c>
      <c r="K111" s="41">
        <f t="shared" si="47"/>
        <v>0.99405406770775695</v>
      </c>
      <c r="L111" s="41">
        <f t="shared" si="47"/>
        <v>0.9877281295572008</v>
      </c>
      <c r="M111" s="41">
        <f t="shared" si="47"/>
        <v>0.99295900974647466</v>
      </c>
    </row>
    <row r="112" spans="2:13">
      <c r="B112" s="30"/>
      <c r="C112" s="14" t="s">
        <v>18</v>
      </c>
      <c r="D112" s="41">
        <f>D94</f>
        <v>1.2218149058228089</v>
      </c>
      <c r="E112" s="41">
        <f t="shared" ref="E112:M112" si="48">E94</f>
        <v>1.3593849118796562</v>
      </c>
      <c r="F112" s="41">
        <f t="shared" si="48"/>
        <v>1.116025741620075</v>
      </c>
      <c r="G112" s="41">
        <f t="shared" si="48"/>
        <v>1.1369125770408479</v>
      </c>
      <c r="H112" s="41">
        <f t="shared" si="48"/>
        <v>1.0483931144232344</v>
      </c>
      <c r="I112" s="41">
        <f t="shared" si="48"/>
        <v>0.4</v>
      </c>
      <c r="J112" s="41">
        <f t="shared" si="48"/>
        <v>0.64692428750035036</v>
      </c>
      <c r="K112" s="41">
        <f t="shared" si="48"/>
        <v>0.96539720402223894</v>
      </c>
      <c r="L112" s="41">
        <f t="shared" si="48"/>
        <v>0.8</v>
      </c>
      <c r="M112" s="41">
        <f t="shared" si="48"/>
        <v>1.1579369424196582</v>
      </c>
    </row>
    <row r="113" spans="2:13">
      <c r="B113" s="30"/>
      <c r="C113" s="14" t="s">
        <v>240</v>
      </c>
      <c r="D113" s="41">
        <f>0.026*Flugzeugdaten!B23+(0.52+0.08*Flugzeugdaten!B24)</f>
        <v>1.1739999999999999</v>
      </c>
      <c r="E113" s="41">
        <f>0.026*Flugzeugdaten!C23+(0.52+0.08*Flugzeugdaten!C24)</f>
        <v>1.044</v>
      </c>
      <c r="F113" s="41">
        <f>0.026*Flugzeugdaten!D23+(0.52+0.08*Flugzeugdaten!D24)</f>
        <v>1.018</v>
      </c>
      <c r="G113" s="41">
        <f>0.026*Flugzeugdaten!E23+(0.52+0.08*Flugzeugdaten!E24)</f>
        <v>1.1739999999999999</v>
      </c>
      <c r="H113" s="41">
        <f>0.026*Flugzeugdaten!F23+(0.52+0.08*Flugzeugdaten!F24)</f>
        <v>1.044</v>
      </c>
      <c r="I113" s="41">
        <f>0.026*Flugzeugdaten!G23+(0.52+0.08*Flugzeugdaten!G24)</f>
        <v>0.52</v>
      </c>
      <c r="J113" s="41">
        <f>0.026*Flugzeugdaten!H23+(0.52+0.08*Flugzeugdaten!H24)</f>
        <v>0.94000000000000006</v>
      </c>
      <c r="K113" s="41">
        <f>0.026*Flugzeugdaten!I23+(0.52+0.08*Flugzeugdaten!I24)</f>
        <v>0.96599999999999997</v>
      </c>
      <c r="L113" s="41">
        <f>0.026*Flugzeugdaten!J23+(0.52+0.08*Flugzeugdaten!J24)</f>
        <v>1.1240000000000001</v>
      </c>
      <c r="M113" s="41">
        <f>0.026*Flugzeugdaten!K23+(0.52+0.08*Flugzeugdaten!K24)</f>
        <v>1.018</v>
      </c>
    </row>
    <row r="114" spans="2:13">
      <c r="B114" s="30"/>
      <c r="C114" s="14" t="s">
        <v>241</v>
      </c>
      <c r="D114" s="41">
        <f>D111*D113</f>
        <v>1.1632220259350203</v>
      </c>
      <c r="E114" s="41">
        <f t="shared" ref="E114:M114" si="49">E111*E113</f>
        <v>1.0232120124481945</v>
      </c>
      <c r="F114" s="41">
        <f t="shared" si="49"/>
        <v>1.00151469508697</v>
      </c>
      <c r="G114" s="41">
        <f t="shared" si="49"/>
        <v>1.1630984369202197</v>
      </c>
      <c r="H114" s="41">
        <f t="shared" si="49"/>
        <v>1.0377924466868982</v>
      </c>
      <c r="I114" s="41">
        <f t="shared" si="49"/>
        <v>0.66039999999999999</v>
      </c>
      <c r="J114" s="41">
        <f t="shared" si="49"/>
        <v>0.92752351192630678</v>
      </c>
      <c r="K114" s="41">
        <f t="shared" si="49"/>
        <v>0.96025622940569322</v>
      </c>
      <c r="L114" s="41">
        <f t="shared" si="49"/>
        <v>1.1102064176222939</v>
      </c>
      <c r="M114" s="41">
        <f t="shared" si="49"/>
        <v>1.0108322719219112</v>
      </c>
    </row>
    <row r="115" spans="2:13">
      <c r="B115" s="30"/>
      <c r="C115" s="14" t="s">
        <v>277</v>
      </c>
      <c r="D115" s="41">
        <f>D111*(D112+D113)</f>
        <v>2.3738199902185078</v>
      </c>
      <c r="E115" s="41">
        <f t="shared" ref="E115:M115" si="50">E111*(E112+E113)</f>
        <v>2.3555290348390896</v>
      </c>
      <c r="F115" s="41">
        <f t="shared" si="50"/>
        <v>2.0994677209492871</v>
      </c>
      <c r="G115" s="41">
        <f t="shared" si="50"/>
        <v>2.289453838343686</v>
      </c>
      <c r="H115" s="41">
        <f t="shared" si="50"/>
        <v>2.0799518866361182</v>
      </c>
      <c r="I115" s="41">
        <f t="shared" si="50"/>
        <v>1.1684000000000001</v>
      </c>
      <c r="J115" s="41">
        <f t="shared" si="50"/>
        <v>1.5658612641526353</v>
      </c>
      <c r="K115" s="41">
        <f t="shared" si="50"/>
        <v>1.9199132470176952</v>
      </c>
      <c r="L115" s="41">
        <f t="shared" si="50"/>
        <v>1.9003889212680545</v>
      </c>
      <c r="M115" s="41">
        <f t="shared" si="50"/>
        <v>2.1606161916157953</v>
      </c>
    </row>
    <row r="116" spans="2:13">
      <c r="B116" s="30"/>
      <c r="C116" s="14" t="s">
        <v>249</v>
      </c>
      <c r="D116" s="41">
        <f>50*(Flugzeugdaten!B31-Flugzeugdaten!B35)/Flugzeugdaten!B31*Flugzeugdaten!B34/Flugzeugdaten!B33</f>
        <v>4.3269596372561105</v>
      </c>
      <c r="E116" s="41">
        <f>50*(Flugzeugdaten!C31-Flugzeugdaten!C35)/Flugzeugdaten!C31*Flugzeugdaten!C34/Flugzeugdaten!C33</f>
        <v>8.0537036502203456</v>
      </c>
      <c r="F116" s="41">
        <f>50*(Flugzeugdaten!D31-Flugzeugdaten!D35)/Flugzeugdaten!D31*Flugzeugdaten!D34/Flugzeugdaten!D33</f>
        <v>1.6139383050153815</v>
      </c>
      <c r="G116" s="41">
        <f>50*(Flugzeugdaten!E31-Flugzeugdaten!E35)/Flugzeugdaten!E31*Flugzeugdaten!E34/Flugzeugdaten!E33</f>
        <v>8.6603753070196028</v>
      </c>
      <c r="H116" s="41">
        <f>50*(Flugzeugdaten!F31-Flugzeugdaten!F35)/Flugzeugdaten!F31*Flugzeugdaten!F34/Flugzeugdaten!F33</f>
        <v>4.4171945670183712</v>
      </c>
      <c r="I116" s="41" t="e">
        <f>50*(Flugzeugdaten!G31-Flugzeugdaten!G35)/Flugzeugdaten!G31*Flugzeugdaten!G34/Flugzeugdaten!G33</f>
        <v>#DIV/0!</v>
      </c>
      <c r="J116" s="41">
        <f>50*(Flugzeugdaten!H31-Flugzeugdaten!H35)/Flugzeugdaten!H31*Flugzeugdaten!H34/Flugzeugdaten!H33</f>
        <v>5.6104446844016866</v>
      </c>
      <c r="K116" s="41">
        <f>50*(Flugzeugdaten!I31-Flugzeugdaten!I35)/Flugzeugdaten!I31*Flugzeugdaten!I34/Flugzeugdaten!I33</f>
        <v>10.030051150895142</v>
      </c>
      <c r="L116" s="41">
        <f>50*(Flugzeugdaten!J31-Flugzeugdaten!J35)/Flugzeugdaten!J31*Flugzeugdaten!J34/Flugzeugdaten!J33</f>
        <v>7.8320802005012524</v>
      </c>
      <c r="M116" s="41">
        <f>50*(Flugzeugdaten!K31-Flugzeugdaten!K35)/Flugzeugdaten!K31*Flugzeugdaten!K34/Flugzeugdaten!K33</f>
        <v>12.428775248061545</v>
      </c>
    </row>
    <row r="117" spans="2:13">
      <c r="B117" s="30"/>
      <c r="C117" s="14" t="s">
        <v>251</v>
      </c>
      <c r="D117" s="41">
        <f>1-0.336*(1-EXP(0.08*D116))*(1-0.165*(Flugzeugdaten!B11-1)^(0.63))</f>
        <v>1.0608435769079192</v>
      </c>
      <c r="E117" s="41">
        <f>1-0.336*(1-EXP(0.08*E116))*(1-0.165*(Flugzeugdaten!C11-1)^(0.63))</f>
        <v>1.1330722704936182</v>
      </c>
      <c r="F117" s="41">
        <f>1-0.336*(1-EXP(0.08*F116))*(1-0.165*(Flugzeugdaten!D11-1)^(0.63))</f>
        <v>1.0202732933137304</v>
      </c>
      <c r="G117" s="41">
        <f>1-0.336*(1-EXP(0.08*G116))*(1-0.165*(Flugzeugdaten!E11-1)^(0.63))</f>
        <v>1.1470053908898337</v>
      </c>
      <c r="H117" s="41">
        <f>1-0.336*(1-EXP(0.08*H116))*(1-0.165*(Flugzeugdaten!F11-1)^(0.63))</f>
        <v>1.0623501004216327</v>
      </c>
      <c r="I117" s="41" t="e">
        <f>1-0.336*(1-EXP(0.08*I116))*(1-0.165*(Flugzeugdaten!G11-1)^(0.63))</f>
        <v>#DIV/0!</v>
      </c>
      <c r="J117" s="41">
        <f>1-0.336*(1-EXP(0.08*J116))*(1-0.165*(Flugzeugdaten!H11-1)^(0.63))</f>
        <v>1.1497934023538776</v>
      </c>
      <c r="K117" s="41">
        <f>1-0.336*(1-EXP(0.08*K116))*(1-0.165*(Flugzeugdaten!I11-1)^(0.63))</f>
        <v>1.325480273147281</v>
      </c>
      <c r="L117" s="41">
        <f>1-0.336*(1-EXP(0.08*L116))*(1-0.165*(Flugzeugdaten!J11-1)^(0.63))</f>
        <v>1.2303604624932767</v>
      </c>
      <c r="M117" s="41">
        <f>1-0.336*(1-EXP(0.08*M116))*(1-0.165*(Flugzeugdaten!K11-1)^(0.63))</f>
        <v>1.4502728951271386</v>
      </c>
    </row>
    <row r="118" spans="2:13">
      <c r="B118" s="30"/>
      <c r="C118" s="14" t="s">
        <v>242</v>
      </c>
      <c r="D118" s="32">
        <f>0.75*D114*(1+Flugzeugdaten!B17/4.45*0.4536/1000)^(0.7)*69*Inflationsrate!$H$36*1.52</f>
        <v>1391.3621920520898</v>
      </c>
      <c r="E118" s="32">
        <f>0.75*E114*(1+Flugzeugdaten!C17/4.45*0.4536/1000)^(0.7)*69*Inflationsrate!$H$36*1.52</f>
        <v>765.60224797034834</v>
      </c>
      <c r="F118" s="32">
        <f>0.75*F114*(1+Flugzeugdaten!D17/4.45*0.4536/1000)^(0.7)*69*Inflationsrate!$H$36*1.52</f>
        <v>565.92595324338492</v>
      </c>
      <c r="G118" s="32">
        <f>0.75*G114*(1+Flugzeugdaten!E17/4.45*0.4536/1000)^(0.7)*69*Inflationsrate!$H$36*1.52</f>
        <v>1294.1246248546381</v>
      </c>
      <c r="H118" s="32">
        <f>0.75*H114*(1+Flugzeugdaten!F17/4.45*0.4536/1000)^(0.7)*69*Inflationsrate!$H$36*1.52</f>
        <v>1056.0334667273617</v>
      </c>
      <c r="I118" s="32">
        <f>0.75*I114*(1+Flugzeugdaten!G17/4.45*0.4536/1000)^(0.7)*69*Inflationsrate!$H$36*1.52</f>
        <v>69.699192901430294</v>
      </c>
      <c r="J118" s="32">
        <f>0.75*J114*(1+Flugzeugdaten!H17/4.45*0.4536/1000)^(0.7)*69*Inflationsrate!$H$36*1.52</f>
        <v>265.97963541366767</v>
      </c>
      <c r="K118" s="32">
        <f>0.75*K114*(1+Flugzeugdaten!I17/4.45*0.4536/1000)^(0.7)*69*Inflationsrate!$H$36*1.52</f>
        <v>543.66852397479727</v>
      </c>
      <c r="L118" s="32">
        <f>0.75*L114*(1+Flugzeugdaten!J17/4.45*0.4536/1000)^(0.7)*69*Inflationsrate!$H$36*1.52</f>
        <v>480.05878679435023</v>
      </c>
      <c r="M118" s="32">
        <f>0.75*M114*(1+Flugzeugdaten!K17/4.45*0.4536/1000)^(0.7)*69*Inflationsrate!$H$36*1.52</f>
        <v>655.38530953414056</v>
      </c>
    </row>
    <row r="119" spans="2:13">
      <c r="B119" s="30"/>
      <c r="C119" s="14" t="s">
        <v>159</v>
      </c>
      <c r="D119" s="32">
        <f>5*((3.63+0.91*Flugzeugdaten!B17/4.45*0.4536/1000)*Gesamtuebersicht!D115+5.07)*Inflationsrate!$H$36*2.155</f>
        <v>1168.4826651672581</v>
      </c>
      <c r="E119" s="32">
        <f>5*((3.63+0.91*Flugzeugdaten!C17/4.45*0.4536/1000)*Gesamtuebersicht!E115+5.07)*Inflationsrate!$H$36*2.155</f>
        <v>674.531052130224</v>
      </c>
      <c r="F119" s="32">
        <f>5*((3.63+0.91*Flugzeugdaten!D17/4.45*0.4536/1000)*Gesamtuebersicht!F115+5.07)*Inflationsrate!$H$36*2.155</f>
        <v>459.39122770133207</v>
      </c>
      <c r="G119" s="32">
        <f>5*((3.63+0.91*Flugzeugdaten!E17/4.45*0.4536/1000)*Gesamtuebersicht!G115+5.07)*Inflationsrate!$H$36*2.155</f>
        <v>1034.6895471195612</v>
      </c>
      <c r="H119" s="32">
        <f>5*((3.63+0.91*Flugzeugdaten!F17/4.45*0.4536/1000)*Gesamtuebersicht!H115+5.07)*Inflationsrate!$H$36*2.155</f>
        <v>851.87967290330459</v>
      </c>
      <c r="I119" s="32">
        <f>5*((3.63+0.91*Flugzeugdaten!G17/4.45*0.4536/1000)*Gesamtuebersicht!I115+5.07)*Inflationsrate!$H$36*2.155</f>
        <v>134.61515869461545</v>
      </c>
      <c r="J119" s="32">
        <f>5*((3.63+0.91*Flugzeugdaten!H17/4.45*0.4536/1000)*Gesamtuebersicht!J115+5.07)*Inflationsrate!$H$36*2.155</f>
        <v>220.77962789223832</v>
      </c>
      <c r="K119" s="32">
        <f>5*((3.63+0.91*Flugzeugdaten!I17/4.45*0.4536/1000)*Gesamtuebersicht!K115+5.07)*Inflationsrate!$H$36*2.155</f>
        <v>427.14346090596291</v>
      </c>
      <c r="L119" s="32">
        <f>5*((3.63+0.91*Flugzeugdaten!J17/4.45*0.4536/1000)*Gesamtuebersicht!L115+5.07)*Inflationsrate!$H$36*2.155</f>
        <v>335.49514705031316</v>
      </c>
      <c r="M119" s="32">
        <f>5*((3.63+0.91*Flugzeugdaten!K17/4.45*0.4536/1000)*Gesamtuebersicht!M115+5.07)*Inflationsrate!$H$36*2.155</f>
        <v>538.43681405645168</v>
      </c>
    </row>
    <row r="120" spans="2:13">
      <c r="B120" s="30"/>
      <c r="C120" s="14" t="s">
        <v>168</v>
      </c>
      <c r="D120" s="32">
        <f>(Flugzeugdaten!B18*(D118+D119)*(0.9*Flugzeugdaten!B11+0.4)*D117)</f>
        <v>41277.043614861112</v>
      </c>
      <c r="E120" s="32">
        <f>(Flugzeugdaten!C18*(E118+E119)*(0.9*Flugzeugdaten!C11+0.4)*E117)</f>
        <v>49605.963288016057</v>
      </c>
      <c r="F120" s="32">
        <f>(Flugzeugdaten!D18*(F118+F119)*(0.9*Flugzeugdaten!D11+0.4)*F117)</f>
        <v>31801.553601565942</v>
      </c>
      <c r="G120" s="32">
        <f>(Flugzeugdaten!E18*(G118+G119)*(0.9*Flugzeugdaten!E11+0.4)*G117)</f>
        <v>60902.502939679158</v>
      </c>
      <c r="H120" s="32">
        <f>(Flugzeugdaten!F18*(H118+H119)*(0.9*Flugzeugdaten!F11+0.4)*H117)</f>
        <v>46212.67511299852</v>
      </c>
      <c r="I120" s="32" t="e">
        <f>(Flugzeugdaten!G18*(I118+I119)*(0.9*Flugzeugdaten!G11+0.4)*I117)</f>
        <v>#DIV/0!</v>
      </c>
      <c r="J120" s="32">
        <f>(Flugzeugdaten!H18*(J118+J119)*(0.9*Flugzeugdaten!H11+0.4)*J117)</f>
        <v>5932.5294485279046</v>
      </c>
      <c r="K120" s="32">
        <f>(Flugzeugdaten!I18*(K118+K119)*(0.9*Flugzeugdaten!I11+0.4)*K117)</f>
        <v>6819.9983149403415</v>
      </c>
      <c r="L120" s="32">
        <f>(Flugzeugdaten!J18*(L118+L119)*(0.9*Flugzeugdaten!J11+0.4)*L117)</f>
        <v>7977.2312561049821</v>
      </c>
      <c r="M120" s="32">
        <f>(Flugzeugdaten!K18*(M118+M119)*(0.9*Flugzeugdaten!K11+0.4)*M117)</f>
        <v>9176.2496974667501</v>
      </c>
    </row>
    <row r="121" spans="2:13">
      <c r="B121" s="30"/>
      <c r="C121" s="31" t="s">
        <v>134</v>
      </c>
      <c r="D121" s="60">
        <f t="shared" ref="D121:M121" si="51">D109+D110</f>
        <v>384.96483442254817</v>
      </c>
      <c r="E121" s="60">
        <f t="shared" si="51"/>
        <v>384.96483442254817</v>
      </c>
      <c r="F121" s="60">
        <f t="shared" si="51"/>
        <v>334.11130974393842</v>
      </c>
      <c r="G121" s="60">
        <f t="shared" si="51"/>
        <v>422.54603211602722</v>
      </c>
      <c r="H121" s="60">
        <f t="shared" si="51"/>
        <v>314.95128694332931</v>
      </c>
      <c r="I121" s="60">
        <f t="shared" si="51"/>
        <v>-54.968681993991659</v>
      </c>
      <c r="J121" s="60">
        <f t="shared" si="51"/>
        <v>107.37774569174425</v>
      </c>
      <c r="K121" s="60">
        <f t="shared" si="51"/>
        <v>124.80390474445427</v>
      </c>
      <c r="L121" s="60">
        <f t="shared" si="51"/>
        <v>120.02384357033506</v>
      </c>
      <c r="M121" s="60">
        <f t="shared" si="51"/>
        <v>175.90433296328899</v>
      </c>
    </row>
    <row r="122" spans="2:13">
      <c r="B122" s="30"/>
      <c r="C122" s="31" t="s">
        <v>148</v>
      </c>
      <c r="D122" s="60">
        <f>D120/Flugzeugdaten!B11</f>
        <v>5159.6304518576389</v>
      </c>
      <c r="E122" s="60">
        <f>E120/Flugzeugdaten!C11</f>
        <v>6200.7454110020071</v>
      </c>
      <c r="F122" s="60">
        <f>F120/Flugzeugdaten!D11</f>
        <v>3975.1942001957427</v>
      </c>
      <c r="G122" s="60">
        <f>G120/Flugzeugdaten!E11</f>
        <v>7612.8128674598947</v>
      </c>
      <c r="H122" s="60">
        <f>H120/Flugzeugdaten!F11</f>
        <v>5776.5843891248151</v>
      </c>
      <c r="I122" s="60" t="e">
        <f>I120/Flugzeugdaten!G11</f>
        <v>#DIV/0!</v>
      </c>
      <c r="J122" s="60">
        <f>J120/Flugzeugdaten!H11</f>
        <v>2373.011779411162</v>
      </c>
      <c r="K122" s="60">
        <f>K120/Flugzeugdaten!I11</f>
        <v>2727.9993259761368</v>
      </c>
      <c r="L122" s="60">
        <f>L120/Flugzeugdaten!J11</f>
        <v>3190.8925024419927</v>
      </c>
      <c r="M122" s="60">
        <f>M120/Flugzeugdaten!K11</f>
        <v>3670.4998789867</v>
      </c>
    </row>
    <row r="123" spans="2:13">
      <c r="B123" s="30"/>
      <c r="C123" s="31" t="s">
        <v>143</v>
      </c>
      <c r="D123" s="60">
        <f t="shared" ref="D123:M123" si="52">D122+D121</f>
        <v>5544.5952862801869</v>
      </c>
      <c r="E123" s="60">
        <f t="shared" si="52"/>
        <v>6585.7102454245551</v>
      </c>
      <c r="F123" s="60">
        <f t="shared" si="52"/>
        <v>4309.3055099396815</v>
      </c>
      <c r="G123" s="60">
        <f t="shared" si="52"/>
        <v>8035.3588995759219</v>
      </c>
      <c r="H123" s="60">
        <f t="shared" si="52"/>
        <v>6091.5356760681443</v>
      </c>
      <c r="I123" s="60" t="e">
        <f t="shared" si="52"/>
        <v>#DIV/0!</v>
      </c>
      <c r="J123" s="60">
        <f t="shared" si="52"/>
        <v>2480.3895251029062</v>
      </c>
      <c r="K123" s="60">
        <f t="shared" si="52"/>
        <v>2852.8032307205913</v>
      </c>
      <c r="L123" s="60">
        <f t="shared" si="52"/>
        <v>3310.9163460123277</v>
      </c>
      <c r="M123" s="60">
        <f t="shared" si="52"/>
        <v>3846.4042119499891</v>
      </c>
    </row>
    <row r="124" spans="2:13">
      <c r="B124" s="30"/>
      <c r="C124" s="14" t="s">
        <v>244</v>
      </c>
      <c r="D124" s="32">
        <f>D123*D18*Flugzeugdaten!B11</f>
        <v>32380436.47187629</v>
      </c>
      <c r="E124" s="32">
        <f>E123*E18*Flugzeugdaten!C11</f>
        <v>38460547.833279401</v>
      </c>
      <c r="F124" s="32">
        <f>F123*F18*Flugzeugdaten!D11</f>
        <v>25166344.178047739</v>
      </c>
      <c r="G124" s="32">
        <f>G123*G18*Flugzeugdaten!E11</f>
        <v>46926495.973523386</v>
      </c>
      <c r="H124" s="32">
        <f>H123*H18*Flugzeugdaten!F11</f>
        <v>35574568.348237962</v>
      </c>
      <c r="I124" s="32" t="e">
        <f>I123*I18*Flugzeugdaten!G11</f>
        <v>#DIV/0!</v>
      </c>
      <c r="J124" s="32">
        <f>J123*J18*Flugzeugdaten!H11</f>
        <v>11316777.208282009</v>
      </c>
      <c r="K124" s="32">
        <f>K123*K18*Flugzeugdaten!I11</f>
        <v>13015914.740162697</v>
      </c>
      <c r="L124" s="32">
        <f>L123*L18*Flugzeugdaten!J11</f>
        <v>15106055.828681245</v>
      </c>
      <c r="M124" s="32">
        <f>M123*M18*Flugzeugdaten!K11</f>
        <v>17549219.217021827</v>
      </c>
    </row>
    <row r="125" spans="2:13">
      <c r="B125" s="30"/>
    </row>
    <row r="126" spans="2:13">
      <c r="B126" s="30"/>
      <c r="C126" s="14" t="s">
        <v>178</v>
      </c>
      <c r="D126" s="23">
        <f t="shared" ref="D126:M126" si="53">D122/D123</f>
        <v>0.93056935365956761</v>
      </c>
      <c r="E126" s="23">
        <f t="shared" si="53"/>
        <v>0.94154543396591073</v>
      </c>
      <c r="F126" s="23">
        <f t="shared" si="53"/>
        <v>0.92246748136717382</v>
      </c>
      <c r="G126" s="23">
        <f t="shared" si="53"/>
        <v>0.9474141681290269</v>
      </c>
      <c r="H126" s="23">
        <f t="shared" si="53"/>
        <v>0.94829689856686217</v>
      </c>
      <c r="I126" s="23" t="e">
        <f t="shared" si="53"/>
        <v>#DIV/0!</v>
      </c>
      <c r="J126" s="23">
        <f t="shared" si="53"/>
        <v>0.95670932141705067</v>
      </c>
      <c r="K126" s="23">
        <f t="shared" si="53"/>
        <v>0.95625218613029606</v>
      </c>
      <c r="L126" s="23">
        <f t="shared" si="53"/>
        <v>0.96374905584223181</v>
      </c>
      <c r="M126" s="23">
        <f t="shared" si="53"/>
        <v>0.95426785036871831</v>
      </c>
    </row>
    <row r="127" spans="2:13">
      <c r="B127" s="30"/>
      <c r="C127" s="14" t="s">
        <v>149</v>
      </c>
      <c r="D127" s="23">
        <f>1-D126</f>
        <v>6.9430646340432389E-2</v>
      </c>
      <c r="E127" s="23">
        <f t="shared" ref="E127:M127" si="54">1-E126</f>
        <v>5.8454566034089273E-2</v>
      </c>
      <c r="F127" s="23">
        <f t="shared" si="54"/>
        <v>7.7532518632826175E-2</v>
      </c>
      <c r="G127" s="23">
        <f t="shared" si="54"/>
        <v>5.2585831870973099E-2</v>
      </c>
      <c r="H127" s="23">
        <f t="shared" si="54"/>
        <v>5.1703101433137832E-2</v>
      </c>
      <c r="I127" s="23" t="e">
        <f t="shared" si="54"/>
        <v>#DIV/0!</v>
      </c>
      <c r="J127" s="23">
        <f t="shared" si="54"/>
        <v>4.3290678582949327E-2</v>
      </c>
      <c r="K127" s="23">
        <f t="shared" si="54"/>
        <v>4.3747813869703944E-2</v>
      </c>
      <c r="L127" s="23">
        <f t="shared" si="54"/>
        <v>3.6250944157768195E-2</v>
      </c>
      <c r="M127" s="23">
        <f t="shared" si="54"/>
        <v>4.5732149631281693E-2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7"/>
  <sheetViews>
    <sheetView zoomScaleNormal="100" workbookViewId="0">
      <selection activeCell="N11" sqref="N11"/>
    </sheetView>
  </sheetViews>
  <sheetFormatPr baseColWidth="10" defaultColWidth="11.42578125" defaultRowHeight="15"/>
  <cols>
    <col min="2" max="2" width="20.140625" bestFit="1" customWidth="1"/>
  </cols>
  <sheetData>
    <row r="1" spans="1:14">
      <c r="A1" t="s">
        <v>136</v>
      </c>
    </row>
    <row r="3" spans="1:14">
      <c r="B3" s="11"/>
      <c r="C3" s="11" t="s">
        <v>102</v>
      </c>
      <c r="D3" s="11" t="s">
        <v>100</v>
      </c>
    </row>
    <row r="4" spans="1:14">
      <c r="B4" s="11"/>
    </row>
    <row r="5" spans="1:14">
      <c r="B5" s="11"/>
    </row>
    <row r="6" spans="1:14">
      <c r="B6" s="11" t="s">
        <v>111</v>
      </c>
      <c r="C6">
        <v>930.7</v>
      </c>
      <c r="D6">
        <v>965.2</v>
      </c>
    </row>
    <row r="7" spans="1:14">
      <c r="B7" s="11"/>
    </row>
    <row r="8" spans="1:14">
      <c r="B8" s="11"/>
    </row>
    <row r="9" spans="1:14">
      <c r="B9" s="11"/>
    </row>
    <row r="10" spans="1:14">
      <c r="B10" s="11" t="s">
        <v>112</v>
      </c>
      <c r="C10">
        <f>93.1*C17</f>
        <v>186.2</v>
      </c>
      <c r="D10">
        <f>46.2*D17</f>
        <v>184.8</v>
      </c>
    </row>
    <row r="11" spans="1:14">
      <c r="B11" s="11"/>
      <c r="N11" t="s">
        <v>137</v>
      </c>
    </row>
    <row r="12" spans="1:14">
      <c r="B12" s="11" t="s">
        <v>110</v>
      </c>
      <c r="C12">
        <f>C6+C10</f>
        <v>1116.9000000000001</v>
      </c>
      <c r="D12">
        <f>D6+D10</f>
        <v>1150</v>
      </c>
    </row>
    <row r="13" spans="1:14">
      <c r="B13" s="11" t="s">
        <v>113</v>
      </c>
      <c r="C13">
        <f>C12*8*730</f>
        <v>6522696.0000000009</v>
      </c>
    </row>
    <row r="15" spans="1:14">
      <c r="B15" s="11" t="s">
        <v>118</v>
      </c>
      <c r="C15" s="10">
        <f>C10/(C12+C10)</f>
        <v>0.14289003146343332</v>
      </c>
      <c r="D15" s="10">
        <f>D10/(D12+D10)</f>
        <v>0.13844770752172611</v>
      </c>
    </row>
    <row r="16" spans="1:14">
      <c r="B16" s="11" t="s">
        <v>119</v>
      </c>
      <c r="C16" s="10">
        <f>1-C15</f>
        <v>0.85710996853656662</v>
      </c>
      <c r="D16" s="10">
        <f t="shared" ref="D16" si="0">1-D15</f>
        <v>0.86155229247827392</v>
      </c>
    </row>
    <row r="17" spans="2:4">
      <c r="B17" s="11" t="s">
        <v>10</v>
      </c>
      <c r="C17">
        <v>2</v>
      </c>
      <c r="D17">
        <v>4</v>
      </c>
    </row>
  </sheetData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7"/>
  <sheetViews>
    <sheetView zoomScale="85" zoomScaleNormal="85" workbookViewId="0"/>
  </sheetViews>
  <sheetFormatPr baseColWidth="10" defaultColWidth="11.42578125" defaultRowHeight="15"/>
  <sheetData>
    <row r="1" spans="1:5">
      <c r="A1" t="s">
        <v>79</v>
      </c>
    </row>
    <row r="3" spans="1:5">
      <c r="C3" s="11"/>
      <c r="D3" s="11" t="s">
        <v>102</v>
      </c>
      <c r="E3" s="11" t="s">
        <v>100</v>
      </c>
    </row>
    <row r="4" spans="1:5">
      <c r="C4" s="11" t="s">
        <v>108</v>
      </c>
      <c r="D4">
        <v>547.1</v>
      </c>
      <c r="E4">
        <v>565.70000000000005</v>
      </c>
    </row>
    <row r="5" spans="1:5">
      <c r="C5" s="11" t="s">
        <v>5</v>
      </c>
      <c r="D5">
        <v>339.8</v>
      </c>
      <c r="E5">
        <v>355.2</v>
      </c>
    </row>
    <row r="6" spans="1:5">
      <c r="C6" s="11" t="s">
        <v>111</v>
      </c>
      <c r="D6">
        <f>D4+D5</f>
        <v>886.90000000000009</v>
      </c>
      <c r="E6">
        <f>E4+E5</f>
        <v>920.90000000000009</v>
      </c>
    </row>
    <row r="7" spans="1:5">
      <c r="C7" s="11"/>
    </row>
    <row r="8" spans="1:5">
      <c r="C8" s="11" t="s">
        <v>109</v>
      </c>
    </row>
    <row r="9" spans="1:5">
      <c r="C9" s="11" t="s">
        <v>29</v>
      </c>
    </row>
    <row r="10" spans="1:5">
      <c r="C10" s="11" t="s">
        <v>112</v>
      </c>
      <c r="D10">
        <v>178</v>
      </c>
      <c r="E10">
        <v>240.7</v>
      </c>
    </row>
    <row r="11" spans="1:5">
      <c r="C11" s="11"/>
    </row>
    <row r="12" spans="1:5">
      <c r="C12" s="11" t="s">
        <v>110</v>
      </c>
      <c r="D12">
        <f>D6+D10</f>
        <v>1064.9000000000001</v>
      </c>
      <c r="E12">
        <f>E6+E10</f>
        <v>1161.6000000000001</v>
      </c>
    </row>
    <row r="13" spans="1:5">
      <c r="C13" s="11" t="s">
        <v>113</v>
      </c>
    </row>
    <row r="15" spans="1:5">
      <c r="C15" s="11" t="s">
        <v>118</v>
      </c>
      <c r="D15" s="10">
        <f>D10/(D12+D10)</f>
        <v>0.14321345240968703</v>
      </c>
      <c r="E15" s="10">
        <f>E10/(E12+E10)</f>
        <v>0.17164658061755683</v>
      </c>
    </row>
    <row r="16" spans="1:5">
      <c r="C16" s="11" t="s">
        <v>119</v>
      </c>
      <c r="D16" s="10">
        <f>1-D15</f>
        <v>0.85678654759031292</v>
      </c>
      <c r="E16" s="10">
        <f t="shared" ref="E16" si="0">1-E15</f>
        <v>0.82835341938244311</v>
      </c>
    </row>
    <row r="17" spans="3:5">
      <c r="C17" s="11" t="s">
        <v>10</v>
      </c>
      <c r="D17">
        <v>2</v>
      </c>
      <c r="E17">
        <v>4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5"/>
  <sheetViews>
    <sheetView topLeftCell="B1" zoomScaleNormal="100" workbookViewId="0">
      <selection activeCell="B2" sqref="B2"/>
    </sheetView>
  </sheetViews>
  <sheetFormatPr baseColWidth="10" defaultColWidth="11.42578125" defaultRowHeight="15"/>
  <cols>
    <col min="1" max="1" width="58.5703125" bestFit="1" customWidth="1"/>
    <col min="2" max="4" width="11.5703125" customWidth="1"/>
    <col min="5" max="5" width="12" bestFit="1" customWidth="1"/>
    <col min="6" max="6" width="11.5703125" customWidth="1"/>
  </cols>
  <sheetData>
    <row r="1" spans="1:12" s="20" customFormat="1" ht="26.25">
      <c r="B1" s="75" t="s">
        <v>292</v>
      </c>
    </row>
    <row r="2" spans="1:12">
      <c r="A2" s="11" t="s">
        <v>58</v>
      </c>
    </row>
    <row r="4" spans="1:12">
      <c r="A4" t="s">
        <v>0</v>
      </c>
      <c r="B4" s="1" t="s">
        <v>142</v>
      </c>
      <c r="C4" s="6">
        <f>(1/C5)*(9*0.00001*C6+6.7-(350000/(C6+75000)))*(0.8+0.68*C5)</f>
        <v>15.824234172510215</v>
      </c>
    </row>
    <row r="5" spans="1:12">
      <c r="A5" t="s">
        <v>38</v>
      </c>
      <c r="B5" t="s">
        <v>1</v>
      </c>
      <c r="C5">
        <v>8</v>
      </c>
    </row>
    <row r="6" spans="1:12">
      <c r="A6" t="s">
        <v>2</v>
      </c>
      <c r="B6" t="s">
        <v>3</v>
      </c>
      <c r="C6">
        <f>C7-C8</f>
        <v>167039.18400000001</v>
      </c>
    </row>
    <row r="7" spans="1:12">
      <c r="A7" t="s">
        <v>31</v>
      </c>
      <c r="B7" s="5" t="s">
        <v>30</v>
      </c>
      <c r="C7">
        <v>181000</v>
      </c>
    </row>
    <row r="8" spans="1:12">
      <c r="A8" t="s">
        <v>33</v>
      </c>
      <c r="B8" s="5" t="s">
        <v>32</v>
      </c>
      <c r="C8">
        <f>C9*C10*C22*C11</f>
        <v>13960.815999999997</v>
      </c>
    </row>
    <row r="9" spans="1:12">
      <c r="B9" t="s">
        <v>34</v>
      </c>
      <c r="C9">
        <v>1.1499999999999999</v>
      </c>
    </row>
    <row r="10" spans="1:12">
      <c r="B10" t="s">
        <v>35</v>
      </c>
      <c r="C10">
        <v>1.18</v>
      </c>
    </row>
    <row r="11" spans="1:12">
      <c r="A11" t="s">
        <v>37</v>
      </c>
      <c r="B11" t="s">
        <v>92</v>
      </c>
      <c r="C11">
        <v>2572</v>
      </c>
    </row>
    <row r="12" spans="1:12">
      <c r="L12" t="s">
        <v>11</v>
      </c>
    </row>
    <row r="16" spans="1:12">
      <c r="A16" t="s">
        <v>4</v>
      </c>
      <c r="B16" s="2" t="s">
        <v>160</v>
      </c>
      <c r="C16" s="3">
        <f>(1/C5)*(4.2*0.000001 + 2.2*0.000001*C5)*C17</f>
        <v>506.31807558939823</v>
      </c>
    </row>
    <row r="17" spans="1:8">
      <c r="A17" t="s">
        <v>6</v>
      </c>
      <c r="B17" t="s">
        <v>7</v>
      </c>
      <c r="C17">
        <f>(C19*0.8)-C18</f>
        <v>185804798.38143054</v>
      </c>
      <c r="D17" t="s">
        <v>56</v>
      </c>
    </row>
    <row r="18" spans="1:8">
      <c r="A18" t="s">
        <v>139</v>
      </c>
      <c r="B18" t="s">
        <v>138</v>
      </c>
      <c r="C18">
        <f>293*POWER(C23,0.81)</f>
        <v>4595201.6185694681</v>
      </c>
    </row>
    <row r="19" spans="1:8">
      <c r="B19" t="s">
        <v>140</v>
      </c>
      <c r="C19">
        <v>238000000</v>
      </c>
    </row>
    <row r="20" spans="1:8">
      <c r="H20" t="s">
        <v>15</v>
      </c>
    </row>
    <row r="21" spans="1:8">
      <c r="A21" t="s">
        <v>8</v>
      </c>
      <c r="B21" s="2" t="s">
        <v>9</v>
      </c>
      <c r="C21" s="6">
        <f>C22*0.21*C28*C34*POWER((1+1.02*0.0001*(1/1)*C23),0.4)*(1+(1.3/C5))</f>
        <v>2.9844190772495836</v>
      </c>
    </row>
    <row r="22" spans="1:8">
      <c r="A22" t="s">
        <v>36</v>
      </c>
      <c r="B22" t="s">
        <v>10</v>
      </c>
      <c r="C22">
        <v>4</v>
      </c>
    </row>
    <row r="23" spans="1:8">
      <c r="A23" t="s">
        <v>12</v>
      </c>
      <c r="B23" t="s">
        <v>13</v>
      </c>
      <c r="C23">
        <v>151200</v>
      </c>
    </row>
    <row r="28" spans="1:8">
      <c r="B28" s="2" t="s">
        <v>14</v>
      </c>
      <c r="C28">
        <f>1.27-0.2*POWER(C29,0.2)</f>
        <v>0.98008813452892185</v>
      </c>
    </row>
    <row r="29" spans="1:8">
      <c r="A29" t="s">
        <v>16</v>
      </c>
      <c r="B29" t="s">
        <v>17</v>
      </c>
      <c r="C29">
        <v>6.4</v>
      </c>
    </row>
    <row r="31" spans="1:8">
      <c r="B31" s="2" t="s">
        <v>18</v>
      </c>
      <c r="C31">
        <f>0.4*POWER((C32/20),1.3)+0.4</f>
        <v>1.3593849118796562</v>
      </c>
    </row>
    <row r="32" spans="1:8">
      <c r="A32" t="s">
        <v>19</v>
      </c>
      <c r="B32" t="s">
        <v>20</v>
      </c>
      <c r="C32">
        <v>39.200000000000003</v>
      </c>
    </row>
    <row r="34" spans="1:4">
      <c r="B34" s="2" t="s">
        <v>21</v>
      </c>
      <c r="C34">
        <f>0.032*C35+C36</f>
        <v>1.018</v>
      </c>
    </row>
    <row r="35" spans="1:4">
      <c r="A35" t="s">
        <v>22</v>
      </c>
      <c r="B35" t="s">
        <v>23</v>
      </c>
      <c r="C35">
        <v>14</v>
      </c>
    </row>
    <row r="36" spans="1:4">
      <c r="A36" t="s">
        <v>24</v>
      </c>
      <c r="B36" t="s">
        <v>25</v>
      </c>
      <c r="C36">
        <v>0.56999999999999995</v>
      </c>
    </row>
    <row r="40" spans="1:4">
      <c r="A40" s="8" t="s">
        <v>26</v>
      </c>
      <c r="B40" s="8" t="s">
        <v>27</v>
      </c>
      <c r="C40" s="8">
        <v>1</v>
      </c>
      <c r="D40">
        <f>POWER((1+C41),(C42-C43))</f>
        <v>1.6892103850126072</v>
      </c>
    </row>
    <row r="41" spans="1:4">
      <c r="A41" s="8" t="s">
        <v>73</v>
      </c>
      <c r="B41" s="8" t="s">
        <v>72</v>
      </c>
      <c r="C41" s="8">
        <v>1.89E-2</v>
      </c>
      <c r="D41" t="s">
        <v>78</v>
      </c>
    </row>
    <row r="42" spans="1:4">
      <c r="A42" s="8" t="s">
        <v>76</v>
      </c>
      <c r="B42" s="8" t="s">
        <v>161</v>
      </c>
      <c r="C42" s="8">
        <v>2017</v>
      </c>
    </row>
    <row r="43" spans="1:4">
      <c r="A43" s="8" t="s">
        <v>75</v>
      </c>
      <c r="B43" s="8" t="s">
        <v>74</v>
      </c>
      <c r="C43" s="8">
        <v>1989</v>
      </c>
    </row>
    <row r="48" spans="1:4">
      <c r="A48" t="s">
        <v>28</v>
      </c>
      <c r="B48" s="2" t="s">
        <v>159</v>
      </c>
      <c r="C48" s="3">
        <f>C22*2.56*C28*(C31+C34)*POWER((1+1.02*0.0001*C23),0.8)*(1+(1.3/C5))*C40</f>
        <v>260.25965668752542</v>
      </c>
    </row>
    <row r="53" spans="1:4">
      <c r="A53" s="6" t="s">
        <v>39</v>
      </c>
      <c r="B53" s="6"/>
      <c r="C53" s="6">
        <f>C48+C16</f>
        <v>766.5777322769236</v>
      </c>
    </row>
    <row r="54" spans="1:4">
      <c r="A54" t="s">
        <v>40</v>
      </c>
    </row>
    <row r="55" spans="1:4">
      <c r="A55" t="s">
        <v>41</v>
      </c>
      <c r="C55" s="7">
        <f>(C59*C58+C53)*C5*C57</f>
        <v>12055948.870020444</v>
      </c>
    </row>
    <row r="57" spans="1:4">
      <c r="A57" t="s">
        <v>43</v>
      </c>
      <c r="B57" t="s">
        <v>42</v>
      </c>
      <c r="C57">
        <f>2*365</f>
        <v>730</v>
      </c>
    </row>
    <row r="58" spans="1:4">
      <c r="A58" t="s">
        <v>44</v>
      </c>
      <c r="B58" t="s">
        <v>162</v>
      </c>
      <c r="C58">
        <v>69</v>
      </c>
      <c r="D58" t="s">
        <v>47</v>
      </c>
    </row>
    <row r="59" spans="1:4">
      <c r="A59" t="s">
        <v>46</v>
      </c>
      <c r="B59" t="s">
        <v>45</v>
      </c>
      <c r="C59">
        <f>C4+C21</f>
        <v>18.8086532497598</v>
      </c>
    </row>
    <row r="62" spans="1:4">
      <c r="A62" s="16" t="s">
        <v>163</v>
      </c>
      <c r="B62" s="4">
        <f>C4*C58</f>
        <v>1091.8721579032049</v>
      </c>
    </row>
    <row r="63" spans="1:4" ht="30">
      <c r="A63" s="16" t="s">
        <v>164</v>
      </c>
      <c r="B63" s="4">
        <f>C21*C58</f>
        <v>205.92491633022127</v>
      </c>
    </row>
    <row r="64" spans="1:4">
      <c r="A64" s="4" t="s">
        <v>49</v>
      </c>
      <c r="B64" s="4">
        <f>C16</f>
        <v>506.31807558939823</v>
      </c>
    </row>
    <row r="65" spans="1:5">
      <c r="A65" s="4" t="s">
        <v>48</v>
      </c>
      <c r="B65" s="4">
        <f>C48</f>
        <v>260.25965668752542</v>
      </c>
    </row>
    <row r="66" spans="1:5">
      <c r="A66" s="4"/>
      <c r="B66" s="4"/>
    </row>
    <row r="67" spans="1:5">
      <c r="A67" s="4" t="s">
        <v>50</v>
      </c>
      <c r="B67" s="4">
        <f>B62+B64</f>
        <v>1598.1902334926031</v>
      </c>
    </row>
    <row r="68" spans="1:5">
      <c r="A68" s="4" t="s">
        <v>51</v>
      </c>
      <c r="B68" s="4">
        <f>B63+B65</f>
        <v>466.18457301774669</v>
      </c>
    </row>
    <row r="69" spans="1:5">
      <c r="A69" s="4"/>
      <c r="B69" s="4"/>
    </row>
    <row r="70" spans="1:5">
      <c r="A70" s="4" t="s">
        <v>52</v>
      </c>
      <c r="B70" s="4">
        <f>B67+B68</f>
        <v>2064.3748065103496</v>
      </c>
    </row>
    <row r="71" spans="1:5">
      <c r="A71" s="4" t="s">
        <v>53</v>
      </c>
      <c r="B71" s="7">
        <f>B70*C57*C5</f>
        <v>12055948.870020442</v>
      </c>
      <c r="C71" s="9" t="s">
        <v>56</v>
      </c>
      <c r="D71" s="9">
        <f>B71/1000000</f>
        <v>12.055948870020442</v>
      </c>
      <c r="E71" s="9" t="s">
        <v>57</v>
      </c>
    </row>
    <row r="72" spans="1:5">
      <c r="A72" s="4"/>
      <c r="B72" s="4"/>
    </row>
    <row r="75" spans="1:5">
      <c r="A75" t="s">
        <v>54</v>
      </c>
    </row>
  </sheetData>
  <pageMargins left="0.70000000000000007" right="0.70000000000000007" top="0.78740157500000008" bottom="0.78740157500000008" header="0.30000000000000004" footer="0.30000000000000004"/>
  <pageSetup paperSize="0" fitToWidth="0" fitToHeight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zoomScaleNormal="100" workbookViewId="0">
      <selection activeCell="A2" sqref="A2"/>
    </sheetView>
  </sheetViews>
  <sheetFormatPr baseColWidth="10" defaultColWidth="11.42578125" defaultRowHeight="15"/>
  <cols>
    <col min="1" max="1" width="39.140625" bestFit="1" customWidth="1"/>
  </cols>
  <sheetData>
    <row r="1" spans="1:6" s="20" customFormat="1" ht="26.25">
      <c r="A1" s="75" t="s">
        <v>291</v>
      </c>
    </row>
    <row r="2" spans="1:6" s="20" customFormat="1"/>
    <row r="3" spans="1:6">
      <c r="A3" t="s">
        <v>93</v>
      </c>
    </row>
    <row r="4" spans="1:6">
      <c r="A4" t="s">
        <v>141</v>
      </c>
    </row>
    <row r="6" spans="1:6">
      <c r="A6" t="s">
        <v>70</v>
      </c>
      <c r="B6" t="s">
        <v>165</v>
      </c>
      <c r="C6" s="35">
        <f>(C10+C22*C13)*C18*C23</f>
        <v>6715111.3271999992</v>
      </c>
      <c r="D6" t="s">
        <v>56</v>
      </c>
      <c r="E6">
        <f>C6*(1/1000000)</f>
        <v>6.7151113271999989</v>
      </c>
      <c r="F6" t="s">
        <v>57</v>
      </c>
    </row>
    <row r="7" spans="1:6">
      <c r="A7" t="s">
        <v>120</v>
      </c>
      <c r="C7" s="54">
        <f>C6*C8</f>
        <v>7067654.6718779989</v>
      </c>
    </row>
    <row r="8" spans="1:6">
      <c r="A8" t="s">
        <v>71</v>
      </c>
      <c r="C8" s="18">
        <f>C18/C19</f>
        <v>1.0525</v>
      </c>
    </row>
    <row r="10" spans="1:6">
      <c r="A10" t="s">
        <v>60</v>
      </c>
      <c r="B10" t="s">
        <v>59</v>
      </c>
      <c r="C10" s="35">
        <f>175+0.0041*C16</f>
        <v>917.1</v>
      </c>
    </row>
    <row r="11" spans="1:6">
      <c r="A11" t="s">
        <v>133</v>
      </c>
      <c r="B11" t="s">
        <v>134</v>
      </c>
      <c r="C11" s="35">
        <f>C10*C8</f>
        <v>965.24775</v>
      </c>
    </row>
    <row r="13" spans="1:6">
      <c r="A13" t="s">
        <v>61</v>
      </c>
      <c r="B13" t="s">
        <v>146</v>
      </c>
      <c r="C13" s="53">
        <f>0.00029*C17</f>
        <v>43.847999999999999</v>
      </c>
    </row>
    <row r="14" spans="1:6">
      <c r="A14" t="s">
        <v>135</v>
      </c>
      <c r="B14" t="s">
        <v>148</v>
      </c>
      <c r="C14" s="53">
        <f>C13*C8</f>
        <v>46.150019999999998</v>
      </c>
    </row>
    <row r="16" spans="1:6">
      <c r="A16" t="s">
        <v>65</v>
      </c>
      <c r="B16" t="s">
        <v>30</v>
      </c>
      <c r="C16">
        <f>'AEA Methode'!C7</f>
        <v>181000</v>
      </c>
    </row>
    <row r="17" spans="1:3">
      <c r="A17" t="s">
        <v>64</v>
      </c>
      <c r="B17" t="s">
        <v>62</v>
      </c>
      <c r="C17">
        <f>'AEA Methode'!C23</f>
        <v>151200</v>
      </c>
    </row>
    <row r="18" spans="1:3">
      <c r="A18" t="s">
        <v>66</v>
      </c>
      <c r="B18" t="s">
        <v>63</v>
      </c>
      <c r="C18">
        <f>C19+C20</f>
        <v>8.42</v>
      </c>
    </row>
    <row r="19" spans="1:3">
      <c r="A19" t="s">
        <v>38</v>
      </c>
      <c r="B19" t="s">
        <v>67</v>
      </c>
      <c r="C19">
        <f>'AEA Methode'!C5</f>
        <v>8</v>
      </c>
    </row>
    <row r="20" spans="1:3">
      <c r="A20" t="s">
        <v>69</v>
      </c>
      <c r="B20" t="s">
        <v>68</v>
      </c>
      <c r="C20">
        <f>IF(C19&gt;=7, 0.42,0.25)</f>
        <v>0.42</v>
      </c>
    </row>
    <row r="22" spans="1:3">
      <c r="A22" t="s">
        <v>36</v>
      </c>
      <c r="B22" t="s">
        <v>10</v>
      </c>
      <c r="C22">
        <f>'AEA Methode'!C22</f>
        <v>4</v>
      </c>
    </row>
    <row r="23" spans="1:3">
      <c r="A23" t="s">
        <v>43</v>
      </c>
      <c r="B23" t="s">
        <v>166</v>
      </c>
      <c r="C23">
        <f>'AEA Methode'!C57</f>
        <v>730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8"/>
  <sheetViews>
    <sheetView topLeftCell="B1" workbookViewId="0">
      <selection activeCell="B2" sqref="B2"/>
    </sheetView>
  </sheetViews>
  <sheetFormatPr baseColWidth="10" defaultColWidth="11.42578125" defaultRowHeight="15"/>
  <cols>
    <col min="2" max="2" width="58.85546875" bestFit="1" customWidth="1"/>
    <col min="3" max="3" width="12.140625" bestFit="1" customWidth="1"/>
    <col min="4" max="4" width="14" customWidth="1"/>
    <col min="6" max="6" width="32" bestFit="1" customWidth="1"/>
  </cols>
  <sheetData>
    <row r="1" spans="1:6" ht="26.25">
      <c r="A1" s="12" t="s">
        <v>79</v>
      </c>
      <c r="B1" s="75" t="s">
        <v>290</v>
      </c>
    </row>
    <row r="3" spans="1:6">
      <c r="B3" s="13" t="s">
        <v>88</v>
      </c>
      <c r="C3" s="13" t="s">
        <v>169</v>
      </c>
      <c r="D3" s="13">
        <f>D13*(0.21*D14+13.7)+57.5</f>
        <v>2841.2799999999997</v>
      </c>
    </row>
    <row r="4" spans="1:6">
      <c r="B4" s="13" t="s">
        <v>89</v>
      </c>
      <c r="C4" s="13" t="s">
        <v>167</v>
      </c>
      <c r="D4" s="13">
        <f>D15*(1+D18)*((0.665+0.01*D13)*D14+0.254+0.01*D13)</f>
        <v>4525.848</v>
      </c>
    </row>
    <row r="5" spans="1:6">
      <c r="B5" s="13" t="s">
        <v>90</v>
      </c>
      <c r="C5" s="13" t="s">
        <v>168</v>
      </c>
      <c r="D5" s="13">
        <f>D16*(1.5*D17+30.5*D14+10.6)</f>
        <v>1925.6</v>
      </c>
    </row>
    <row r="6" spans="1:6" ht="15.75">
      <c r="B6" s="13" t="s">
        <v>91</v>
      </c>
      <c r="C6" s="13" t="s">
        <v>171</v>
      </c>
      <c r="D6" s="13">
        <f>D3+D4+D5</f>
        <v>9292.7279999999992</v>
      </c>
      <c r="F6" s="74"/>
    </row>
    <row r="8" spans="1:6">
      <c r="C8" t="s">
        <v>160</v>
      </c>
      <c r="D8">
        <f>D3/D14</f>
        <v>355.15999999999997</v>
      </c>
    </row>
    <row r="9" spans="1:6">
      <c r="C9" t="s">
        <v>170</v>
      </c>
      <c r="D9">
        <f>D4/D14</f>
        <v>565.73099999999999</v>
      </c>
    </row>
    <row r="10" spans="1:6">
      <c r="C10" t="s">
        <v>148</v>
      </c>
      <c r="D10">
        <f>D5/D14</f>
        <v>240.7</v>
      </c>
    </row>
    <row r="11" spans="1:6">
      <c r="C11" t="s">
        <v>172</v>
      </c>
      <c r="D11">
        <f>D6/D14</f>
        <v>1161.5909999999999</v>
      </c>
    </row>
    <row r="13" spans="1:6">
      <c r="B13" t="s">
        <v>81</v>
      </c>
      <c r="C13" t="s">
        <v>80</v>
      </c>
      <c r="D13">
        <f>('AEA Methode'!C7)/1000</f>
        <v>181</v>
      </c>
    </row>
    <row r="14" spans="1:6">
      <c r="B14" t="s">
        <v>82</v>
      </c>
      <c r="C14" t="s">
        <v>67</v>
      </c>
      <c r="D14">
        <f>'AEA Methode'!C5</f>
        <v>8</v>
      </c>
    </row>
    <row r="15" spans="1:6">
      <c r="B15" t="s">
        <v>83</v>
      </c>
      <c r="C15" t="s">
        <v>214</v>
      </c>
      <c r="D15">
        <f>'AEA Methode'!C58</f>
        <v>69</v>
      </c>
    </row>
    <row r="16" spans="1:6">
      <c r="B16" t="s">
        <v>84</v>
      </c>
      <c r="C16" t="s">
        <v>173</v>
      </c>
      <c r="D16">
        <f>'AEA Methode'!C22</f>
        <v>4</v>
      </c>
    </row>
    <row r="17" spans="2:4">
      <c r="B17" t="s">
        <v>85</v>
      </c>
      <c r="C17" t="s">
        <v>62</v>
      </c>
      <c r="D17">
        <f>('AEA Methode'!C23)/1000</f>
        <v>151.19999999999999</v>
      </c>
    </row>
    <row r="18" spans="2:4">
      <c r="B18" t="s">
        <v>86</v>
      </c>
      <c r="C18" t="s">
        <v>174</v>
      </c>
      <c r="D18">
        <v>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5"/>
  <sheetViews>
    <sheetView zoomScaleNormal="100" workbookViewId="0">
      <selection activeCell="A2" sqref="A2"/>
    </sheetView>
  </sheetViews>
  <sheetFormatPr baseColWidth="10" defaultColWidth="11.42578125" defaultRowHeight="15"/>
  <cols>
    <col min="1" max="1" width="32.5703125" style="14" bestFit="1" customWidth="1"/>
    <col min="2" max="2" width="25.42578125" style="14" customWidth="1"/>
    <col min="3" max="3" width="20.85546875" style="14" customWidth="1"/>
    <col min="4" max="4" width="22.140625" style="14" bestFit="1" customWidth="1"/>
    <col min="5" max="5" width="35.140625" style="14" bestFit="1" customWidth="1"/>
    <col min="6" max="6" width="18.7109375" style="14" bestFit="1" customWidth="1"/>
    <col min="7" max="7" width="10.42578125" style="14" hidden="1" customWidth="1"/>
    <col min="8" max="8" width="24.140625" style="14" bestFit="1" customWidth="1"/>
    <col min="9" max="9" width="23.5703125" style="14" bestFit="1" customWidth="1"/>
    <col min="10" max="10" width="23.140625" style="14" bestFit="1" customWidth="1"/>
    <col min="11" max="11" width="23.7109375" style="14" bestFit="1" customWidth="1"/>
    <col min="12" max="16384" width="11.42578125" style="14"/>
  </cols>
  <sheetData>
    <row r="1" spans="1:14" ht="26.25">
      <c r="A1" s="71" t="s">
        <v>288</v>
      </c>
    </row>
    <row r="3" spans="1:14">
      <c r="A3" s="37"/>
      <c r="B3" s="39" t="s">
        <v>102</v>
      </c>
      <c r="C3" s="39" t="s">
        <v>100</v>
      </c>
      <c r="D3" s="39" t="s">
        <v>121</v>
      </c>
      <c r="E3" s="39" t="s">
        <v>122</v>
      </c>
      <c r="F3" s="39" t="s">
        <v>210</v>
      </c>
      <c r="G3" s="39"/>
      <c r="H3" s="39" t="s">
        <v>209</v>
      </c>
      <c r="I3" s="39" t="s">
        <v>123</v>
      </c>
      <c r="J3" s="39" t="s">
        <v>124</v>
      </c>
      <c r="K3" s="39" t="s">
        <v>206</v>
      </c>
    </row>
    <row r="4" spans="1:14">
      <c r="A4" s="21" t="s">
        <v>97</v>
      </c>
      <c r="B4" s="64">
        <v>60.3</v>
      </c>
      <c r="C4" s="36">
        <v>60.3</v>
      </c>
      <c r="D4" s="36">
        <v>45.23</v>
      </c>
      <c r="E4" s="36">
        <v>51.66</v>
      </c>
      <c r="F4" s="36">
        <v>50.09</v>
      </c>
      <c r="G4" s="36"/>
      <c r="H4" s="36">
        <v>26.34</v>
      </c>
      <c r="I4" s="36">
        <v>31.1</v>
      </c>
      <c r="J4" s="36">
        <v>34.880000000000003</v>
      </c>
      <c r="K4" s="36">
        <v>34.32</v>
      </c>
    </row>
    <row r="5" spans="1:14">
      <c r="A5" s="21" t="s">
        <v>96</v>
      </c>
      <c r="B5" s="64">
        <v>63.6</v>
      </c>
      <c r="C5" s="36">
        <v>63.6</v>
      </c>
      <c r="D5" s="36">
        <v>57.12</v>
      </c>
      <c r="E5" s="36">
        <v>58.65</v>
      </c>
      <c r="F5" s="36">
        <v>50.05</v>
      </c>
      <c r="G5" s="36"/>
      <c r="H5" s="36">
        <v>31</v>
      </c>
      <c r="I5" s="36">
        <v>31.44</v>
      </c>
      <c r="J5" s="36">
        <v>36.380000000000003</v>
      </c>
      <c r="K5" s="36">
        <v>39.5</v>
      </c>
    </row>
    <row r="6" spans="1:14">
      <c r="A6" s="21" t="s">
        <v>287</v>
      </c>
      <c r="B6" s="64">
        <v>295</v>
      </c>
      <c r="C6" s="36">
        <v>295</v>
      </c>
      <c r="D6" s="36">
        <v>259</v>
      </c>
      <c r="E6" s="36">
        <v>320</v>
      </c>
      <c r="F6" s="36">
        <v>246</v>
      </c>
      <c r="G6" s="36"/>
      <c r="H6" s="36">
        <v>112</v>
      </c>
      <c r="I6" s="36">
        <v>125</v>
      </c>
      <c r="J6" s="36">
        <v>120</v>
      </c>
      <c r="K6" s="36">
        <v>160</v>
      </c>
    </row>
    <row r="7" spans="1:14">
      <c r="A7" s="21" t="s">
        <v>286</v>
      </c>
      <c r="B7" s="36" t="s">
        <v>99</v>
      </c>
      <c r="C7" s="36" t="s">
        <v>103</v>
      </c>
      <c r="D7" s="36" t="s">
        <v>125</v>
      </c>
      <c r="E7" s="36" t="s">
        <v>126</v>
      </c>
      <c r="F7" s="36" t="s">
        <v>127</v>
      </c>
      <c r="G7" s="36"/>
      <c r="H7" s="36" t="s">
        <v>128</v>
      </c>
      <c r="I7" s="36" t="s">
        <v>129</v>
      </c>
      <c r="J7" s="36" t="s">
        <v>130</v>
      </c>
      <c r="K7" s="36" t="s">
        <v>207</v>
      </c>
    </row>
    <row r="8" spans="1:14">
      <c r="A8" s="21" t="s">
        <v>98</v>
      </c>
      <c r="B8" s="65">
        <v>10501</v>
      </c>
      <c r="C8" s="65">
        <v>13699</v>
      </c>
      <c r="D8" s="36">
        <v>8334</v>
      </c>
      <c r="E8" s="36">
        <v>13410</v>
      </c>
      <c r="F8" s="36">
        <v>9900</v>
      </c>
      <c r="G8" s="36"/>
      <c r="H8" s="36">
        <v>3340</v>
      </c>
      <c r="I8" s="36">
        <v>5750</v>
      </c>
      <c r="J8" s="36">
        <v>2800</v>
      </c>
      <c r="K8" s="36">
        <v>7408</v>
      </c>
    </row>
    <row r="9" spans="1:14">
      <c r="A9" s="21" t="s">
        <v>101</v>
      </c>
      <c r="B9" s="64">
        <v>1992</v>
      </c>
      <c r="C9" s="36">
        <v>1991</v>
      </c>
      <c r="D9" s="36">
        <v>1981</v>
      </c>
      <c r="E9" s="36">
        <v>1990</v>
      </c>
      <c r="F9" s="36">
        <v>1978</v>
      </c>
      <c r="G9" s="36"/>
      <c r="H9" s="36">
        <v>1981</v>
      </c>
      <c r="I9" s="36">
        <v>2002</v>
      </c>
      <c r="J9" s="36">
        <v>1975</v>
      </c>
      <c r="K9" s="36">
        <v>1997</v>
      </c>
    </row>
    <row r="10" spans="1:14">
      <c r="B10" s="36"/>
      <c r="C10" s="36"/>
      <c r="D10" s="36"/>
      <c r="E10" s="36"/>
      <c r="F10" s="36"/>
      <c r="G10" s="36"/>
      <c r="H10" s="36"/>
      <c r="I10" s="36"/>
      <c r="J10" s="36"/>
      <c r="K10" s="36"/>
    </row>
    <row r="11" spans="1:14" ht="18">
      <c r="A11" s="15" t="s">
        <v>175</v>
      </c>
      <c r="B11" s="64">
        <v>8</v>
      </c>
      <c r="C11" s="36">
        <v>8</v>
      </c>
      <c r="D11" s="36">
        <v>8</v>
      </c>
      <c r="E11" s="36">
        <v>8</v>
      </c>
      <c r="F11" s="36">
        <v>8</v>
      </c>
      <c r="G11" s="36"/>
      <c r="H11" s="36">
        <v>2.5</v>
      </c>
      <c r="I11" s="36">
        <v>2.5</v>
      </c>
      <c r="J11" s="36">
        <v>2.5</v>
      </c>
      <c r="K11" s="36">
        <v>2.5</v>
      </c>
      <c r="N11" s="14" t="s">
        <v>137</v>
      </c>
    </row>
    <row r="12" spans="1:14" ht="18">
      <c r="A12" s="15" t="s">
        <v>176</v>
      </c>
      <c r="B12" s="64">
        <f>365*2</f>
        <v>730</v>
      </c>
      <c r="C12" s="64">
        <f t="shared" ref="C12:E12" si="0">365*2</f>
        <v>730</v>
      </c>
      <c r="D12" s="64">
        <f t="shared" si="0"/>
        <v>730</v>
      </c>
      <c r="E12" s="64">
        <f t="shared" si="0"/>
        <v>730</v>
      </c>
      <c r="F12" s="64">
        <f>365*2</f>
        <v>730</v>
      </c>
      <c r="G12" s="36"/>
      <c r="H12" s="36">
        <f>5*365</f>
        <v>1825</v>
      </c>
      <c r="I12" s="36">
        <f t="shared" ref="I12:K12" si="1">5*365</f>
        <v>1825</v>
      </c>
      <c r="J12" s="36">
        <f t="shared" si="1"/>
        <v>1825</v>
      </c>
      <c r="K12" s="36">
        <f t="shared" si="1"/>
        <v>1825</v>
      </c>
    </row>
    <row r="13" spans="1:14" ht="18">
      <c r="A13" s="15" t="s">
        <v>150</v>
      </c>
      <c r="B13" s="36">
        <v>173000</v>
      </c>
      <c r="C13" s="36">
        <v>181000</v>
      </c>
      <c r="D13" s="36">
        <v>75387</v>
      </c>
      <c r="E13" s="36">
        <v>132050</v>
      </c>
      <c r="F13" s="36">
        <v>111000</v>
      </c>
      <c r="G13" s="36"/>
      <c r="H13" s="36">
        <v>25640</v>
      </c>
      <c r="I13" s="36">
        <v>39500</v>
      </c>
      <c r="J13" s="36">
        <v>34500</v>
      </c>
      <c r="K13" s="36">
        <v>41413</v>
      </c>
    </row>
    <row r="14" spans="1:14" ht="18">
      <c r="A14" s="15" t="s">
        <v>190</v>
      </c>
      <c r="B14" s="64">
        <f>223000000*Inflationsrate!D36</f>
        <v>236904324.97298399</v>
      </c>
      <c r="C14" s="36">
        <f>238000000*Inflationsrate!D36</f>
        <v>252839593.46892461</v>
      </c>
      <c r="D14" s="66">
        <f>1950000*Inflationsrate!D11*Inflationsrate!D30</f>
        <v>10099811.385240998</v>
      </c>
      <c r="E14" s="36">
        <v>230000000</v>
      </c>
      <c r="F14" s="36">
        <f>20000000*Inflationsrate!D42</f>
        <v>31659946.200904943</v>
      </c>
      <c r="G14" s="36"/>
      <c r="H14" s="36">
        <f>11000000*Inflationsrate!D15*Inflationsrate!D48</f>
        <v>37883097.93230278</v>
      </c>
      <c r="I14" s="36">
        <f>65000000*Inflationsrate!D36</f>
        <v>69052830.149076059</v>
      </c>
      <c r="J14" s="36">
        <f>33000000*Inflationsrate!D54</f>
        <v>33671307.809562847</v>
      </c>
      <c r="K14" s="36">
        <v>98100000</v>
      </c>
    </row>
    <row r="15" spans="1:14" ht="60">
      <c r="A15" s="72" t="s">
        <v>202</v>
      </c>
      <c r="B15" s="36" t="s">
        <v>198</v>
      </c>
      <c r="C15" s="36" t="s">
        <v>199</v>
      </c>
      <c r="D15" s="36" t="s">
        <v>200</v>
      </c>
      <c r="E15" s="36" t="s">
        <v>205</v>
      </c>
      <c r="F15" s="36" t="s">
        <v>201</v>
      </c>
      <c r="G15" s="67" t="s">
        <v>131</v>
      </c>
      <c r="H15" s="36" t="s">
        <v>204</v>
      </c>
      <c r="I15" s="36" t="s">
        <v>203</v>
      </c>
      <c r="J15" s="69" t="s">
        <v>213</v>
      </c>
      <c r="K15" s="36" t="s">
        <v>208</v>
      </c>
    </row>
    <row r="16" spans="1:14" ht="18">
      <c r="A16" s="15" t="s">
        <v>151</v>
      </c>
      <c r="B16" s="64">
        <v>5092</v>
      </c>
      <c r="C16" s="36">
        <v>2572</v>
      </c>
      <c r="D16" s="36">
        <v>2110</v>
      </c>
      <c r="E16" s="36">
        <v>4472</v>
      </c>
      <c r="F16" s="36">
        <v>4452</v>
      </c>
      <c r="G16" s="36"/>
      <c r="H16" s="36">
        <v>624</v>
      </c>
      <c r="I16" s="36">
        <v>2449</v>
      </c>
      <c r="J16" s="36">
        <v>3939</v>
      </c>
      <c r="K16" s="36">
        <v>2370</v>
      </c>
    </row>
    <row r="17" spans="1:11" ht="18">
      <c r="A17" s="15" t="s">
        <v>152</v>
      </c>
      <c r="B17" s="36">
        <v>304900</v>
      </c>
      <c r="C17" s="67">
        <v>151200</v>
      </c>
      <c r="D17" s="36">
        <v>98000</v>
      </c>
      <c r="E17" s="36">
        <v>274000</v>
      </c>
      <c r="F17" s="36">
        <v>240000</v>
      </c>
      <c r="G17" s="36"/>
      <c r="H17" s="36">
        <v>31100</v>
      </c>
      <c r="I17" s="36">
        <v>98300</v>
      </c>
      <c r="J17" s="36">
        <v>63750</v>
      </c>
      <c r="K17" s="36">
        <v>121400</v>
      </c>
    </row>
    <row r="18" spans="1:11" ht="18">
      <c r="A18" s="15" t="s">
        <v>153</v>
      </c>
      <c r="B18" s="64">
        <v>2</v>
      </c>
      <c r="C18" s="36">
        <v>4</v>
      </c>
      <c r="D18" s="36">
        <v>4</v>
      </c>
      <c r="E18" s="36">
        <v>3</v>
      </c>
      <c r="F18" s="36">
        <v>3</v>
      </c>
      <c r="G18" s="36"/>
      <c r="H18" s="36">
        <v>4</v>
      </c>
      <c r="I18" s="36">
        <v>2</v>
      </c>
      <c r="J18" s="36">
        <v>3</v>
      </c>
      <c r="K18" s="36">
        <v>2</v>
      </c>
    </row>
    <row r="19" spans="1:11" ht="18">
      <c r="A19" s="15" t="s">
        <v>154</v>
      </c>
      <c r="B19" s="64">
        <v>1.1499999999999999</v>
      </c>
      <c r="C19" s="36">
        <v>1.1499999999999999</v>
      </c>
      <c r="D19" s="69">
        <v>1.1499999999999999</v>
      </c>
      <c r="E19" s="36">
        <v>1.1499999999999999</v>
      </c>
      <c r="F19" s="36">
        <v>1.1499999999999999</v>
      </c>
      <c r="G19" s="36"/>
      <c r="H19" s="36">
        <v>1.1499999999999999</v>
      </c>
      <c r="I19" s="36">
        <v>1.1499999999999999</v>
      </c>
      <c r="J19" s="36">
        <v>1.1499999999999999</v>
      </c>
      <c r="K19" s="36">
        <v>1.1499999999999999</v>
      </c>
    </row>
    <row r="20" spans="1:11" ht="18">
      <c r="A20" s="15" t="s">
        <v>155</v>
      </c>
      <c r="B20" s="36">
        <v>1.18</v>
      </c>
      <c r="C20" s="36">
        <v>1.18</v>
      </c>
      <c r="D20" s="69">
        <v>1.18</v>
      </c>
      <c r="E20" s="36">
        <v>1.18</v>
      </c>
      <c r="F20" s="36">
        <v>1.18</v>
      </c>
      <c r="G20" s="36"/>
      <c r="H20" s="36">
        <v>1</v>
      </c>
      <c r="I20" s="36">
        <v>1.18</v>
      </c>
      <c r="J20" s="36">
        <v>1</v>
      </c>
      <c r="K20" s="36">
        <v>1.18</v>
      </c>
    </row>
    <row r="21" spans="1:11">
      <c r="A21" s="15" t="s">
        <v>94</v>
      </c>
      <c r="B21" s="36">
        <v>5.3</v>
      </c>
      <c r="C21" s="36">
        <v>6.4</v>
      </c>
      <c r="D21" s="69">
        <v>6</v>
      </c>
      <c r="E21" s="36">
        <v>5.31</v>
      </c>
      <c r="F21" s="36">
        <v>5</v>
      </c>
      <c r="G21" s="36"/>
      <c r="H21" s="36">
        <v>5.7</v>
      </c>
      <c r="I21" s="36">
        <v>5</v>
      </c>
      <c r="J21" s="36">
        <v>5.6</v>
      </c>
      <c r="K21" s="36">
        <v>5.0999999999999996</v>
      </c>
    </row>
    <row r="22" spans="1:11">
      <c r="A22" s="15" t="s">
        <v>95</v>
      </c>
      <c r="B22" s="36">
        <v>34.799999999999997</v>
      </c>
      <c r="C22" s="36">
        <v>39.200000000000003</v>
      </c>
      <c r="D22" s="70">
        <v>31.3</v>
      </c>
      <c r="E22" s="36">
        <v>32</v>
      </c>
      <c r="F22" s="36">
        <v>29</v>
      </c>
      <c r="G22" s="36"/>
      <c r="H22" s="68">
        <v>13.8</v>
      </c>
      <c r="I22" s="36">
        <v>26.1</v>
      </c>
      <c r="J22" s="36">
        <v>20</v>
      </c>
      <c r="K22" s="36">
        <v>32.700000000000003</v>
      </c>
    </row>
    <row r="23" spans="1:11" ht="18">
      <c r="A23" s="15" t="s">
        <v>156</v>
      </c>
      <c r="B23" s="36">
        <f>14+4+1</f>
        <v>19</v>
      </c>
      <c r="C23" s="36">
        <v>14</v>
      </c>
      <c r="D23" s="69">
        <v>13</v>
      </c>
      <c r="E23" s="36">
        <v>19</v>
      </c>
      <c r="F23" s="36">
        <v>14</v>
      </c>
      <c r="G23" s="36"/>
      <c r="H23" s="36">
        <v>10</v>
      </c>
      <c r="I23" s="36">
        <v>11</v>
      </c>
      <c r="J23" s="36">
        <v>14</v>
      </c>
      <c r="K23" s="36">
        <v>13</v>
      </c>
    </row>
    <row r="24" spans="1:11" ht="18">
      <c r="A24" s="15" t="s">
        <v>157</v>
      </c>
      <c r="B24" s="36">
        <v>2</v>
      </c>
      <c r="C24" s="36">
        <v>2</v>
      </c>
      <c r="D24" s="69">
        <v>2</v>
      </c>
      <c r="E24" s="36">
        <v>2</v>
      </c>
      <c r="F24" s="36">
        <v>2</v>
      </c>
      <c r="G24" s="36"/>
      <c r="H24" s="36">
        <v>2</v>
      </c>
      <c r="I24" s="36">
        <v>2</v>
      </c>
      <c r="J24" s="36">
        <v>3</v>
      </c>
      <c r="K24" s="36">
        <v>2</v>
      </c>
    </row>
    <row r="25" spans="1:11" ht="18">
      <c r="A25" s="15" t="s">
        <v>158</v>
      </c>
      <c r="B25" s="36">
        <v>69</v>
      </c>
      <c r="C25" s="36">
        <v>69</v>
      </c>
      <c r="D25" s="69">
        <v>69</v>
      </c>
      <c r="E25" s="36">
        <v>69</v>
      </c>
      <c r="F25" s="36">
        <v>69</v>
      </c>
      <c r="G25" s="36"/>
      <c r="H25" s="36">
        <v>69</v>
      </c>
      <c r="I25" s="36">
        <v>69</v>
      </c>
      <c r="J25" s="36">
        <v>69</v>
      </c>
      <c r="K25" s="36">
        <v>69</v>
      </c>
    </row>
    <row r="26" spans="1:11">
      <c r="A26" s="21" t="s">
        <v>106</v>
      </c>
      <c r="B26" s="36"/>
      <c r="C26" s="36">
        <v>10000000</v>
      </c>
      <c r="D26" s="36"/>
      <c r="E26" s="36"/>
      <c r="F26" s="36"/>
      <c r="G26" s="36"/>
      <c r="H26" s="36"/>
      <c r="I26" s="36"/>
      <c r="J26" s="36"/>
      <c r="K26" s="36"/>
    </row>
    <row r="27" spans="1:11">
      <c r="A27" s="21" t="s">
        <v>222</v>
      </c>
      <c r="B27" s="36">
        <v>0.85</v>
      </c>
      <c r="C27" s="36">
        <v>0.85</v>
      </c>
      <c r="D27" s="36">
        <v>0.85</v>
      </c>
      <c r="E27" s="36">
        <v>0.85</v>
      </c>
      <c r="F27" s="36">
        <v>0.85</v>
      </c>
      <c r="G27" s="36"/>
      <c r="H27" s="36">
        <v>0.8</v>
      </c>
      <c r="I27" s="36">
        <v>0.8</v>
      </c>
      <c r="J27" s="36">
        <v>0.8</v>
      </c>
      <c r="K27" s="36">
        <v>0.8</v>
      </c>
    </row>
    <row r="28" spans="1:11">
      <c r="A28" s="21" t="s">
        <v>223</v>
      </c>
      <c r="B28" s="36">
        <v>7500</v>
      </c>
      <c r="C28" s="36">
        <v>7500</v>
      </c>
      <c r="D28" s="36">
        <v>7500</v>
      </c>
      <c r="E28" s="36">
        <v>7500</v>
      </c>
      <c r="F28" s="36">
        <v>7500</v>
      </c>
      <c r="G28" s="36">
        <v>1</v>
      </c>
      <c r="H28" s="36">
        <v>1600</v>
      </c>
      <c r="I28" s="36">
        <v>1600</v>
      </c>
      <c r="J28" s="36">
        <v>1600</v>
      </c>
      <c r="K28" s="36">
        <v>1600</v>
      </c>
    </row>
    <row r="29" spans="1:11">
      <c r="A29" s="21" t="s">
        <v>233</v>
      </c>
      <c r="B29" s="36">
        <v>10</v>
      </c>
      <c r="C29" s="36">
        <v>10</v>
      </c>
      <c r="D29" s="36">
        <v>10</v>
      </c>
      <c r="E29" s="36">
        <v>10</v>
      </c>
      <c r="F29" s="36">
        <v>10</v>
      </c>
      <c r="G29" s="36"/>
      <c r="H29" s="36">
        <v>8</v>
      </c>
      <c r="I29" s="36">
        <v>8</v>
      </c>
      <c r="J29" s="36">
        <v>8</v>
      </c>
      <c r="K29" s="36">
        <v>8</v>
      </c>
    </row>
    <row r="30" spans="1:11">
      <c r="A30" s="21" t="s">
        <v>235</v>
      </c>
      <c r="B30" s="36">
        <v>175000</v>
      </c>
      <c r="C30" s="36">
        <v>183000</v>
      </c>
      <c r="D30" s="36">
        <v>104780</v>
      </c>
      <c r="E30" s="36">
        <v>181440</v>
      </c>
      <c r="F30" s="36">
        <v>153310</v>
      </c>
      <c r="G30" s="36"/>
      <c r="H30" s="55">
        <v>37421</v>
      </c>
      <c r="I30" s="36">
        <v>54500</v>
      </c>
      <c r="J30" s="69">
        <v>42000</v>
      </c>
      <c r="K30" s="55">
        <v>62732</v>
      </c>
    </row>
    <row r="31" spans="1:11">
      <c r="A31" s="21" t="s">
        <v>236</v>
      </c>
      <c r="B31" s="36">
        <v>242000</v>
      </c>
      <c r="C31" s="36">
        <v>276500</v>
      </c>
      <c r="D31" s="36">
        <v>161025</v>
      </c>
      <c r="E31" s="36">
        <v>286000</v>
      </c>
      <c r="F31" s="36">
        <v>231500</v>
      </c>
      <c r="G31" s="36"/>
      <c r="H31" s="36">
        <v>44225</v>
      </c>
      <c r="I31" s="36">
        <v>68000</v>
      </c>
      <c r="J31" s="36">
        <v>57000</v>
      </c>
      <c r="K31" s="36">
        <v>79016</v>
      </c>
    </row>
    <row r="32" spans="1:11" ht="12" customHeight="1">
      <c r="A32" s="21" t="s">
        <v>237</v>
      </c>
      <c r="B32" s="36">
        <f>B11-0.1</f>
        <v>7.9</v>
      </c>
      <c r="C32" s="36">
        <f t="shared" ref="C32:K32" si="2">C11-0.1</f>
        <v>7.9</v>
      </c>
      <c r="D32" s="36">
        <f t="shared" si="2"/>
        <v>7.9</v>
      </c>
      <c r="E32" s="36">
        <f t="shared" si="2"/>
        <v>7.9</v>
      </c>
      <c r="F32" s="36">
        <f t="shared" si="2"/>
        <v>7.9</v>
      </c>
      <c r="G32" s="36">
        <f t="shared" si="2"/>
        <v>-0.1</v>
      </c>
      <c r="H32" s="36">
        <f t="shared" si="2"/>
        <v>2.4</v>
      </c>
      <c r="I32" s="36">
        <f t="shared" si="2"/>
        <v>2.4</v>
      </c>
      <c r="J32" s="36">
        <f t="shared" si="2"/>
        <v>2.4</v>
      </c>
      <c r="K32" s="36">
        <f t="shared" si="2"/>
        <v>2.4</v>
      </c>
    </row>
    <row r="33" spans="1:11" ht="27" customHeight="1">
      <c r="A33" s="21" t="s">
        <v>250</v>
      </c>
      <c r="B33" s="36">
        <v>3200</v>
      </c>
      <c r="C33" s="36">
        <v>3800</v>
      </c>
      <c r="D33" s="36">
        <v>4115</v>
      </c>
      <c r="E33" s="36">
        <v>4000</v>
      </c>
      <c r="F33" s="36">
        <v>3800</v>
      </c>
      <c r="G33" s="36"/>
      <c r="H33" s="36">
        <v>2000</v>
      </c>
      <c r="I33" s="36">
        <v>2000</v>
      </c>
      <c r="J33" s="36">
        <v>1800</v>
      </c>
      <c r="K33" s="36">
        <v>2600</v>
      </c>
    </row>
    <row r="34" spans="1:11">
      <c r="A34" s="21" t="s">
        <v>252</v>
      </c>
      <c r="B34" s="36">
        <v>3500</v>
      </c>
      <c r="C34" s="36">
        <v>4000</v>
      </c>
      <c r="D34" s="36">
        <v>3800</v>
      </c>
      <c r="E34" s="36">
        <v>4300</v>
      </c>
      <c r="F34" s="36">
        <v>4100</v>
      </c>
      <c r="G34" s="36"/>
      <c r="H34" s="36">
        <v>2800</v>
      </c>
      <c r="I34" s="36">
        <v>2800</v>
      </c>
      <c r="J34" s="36">
        <v>2500</v>
      </c>
      <c r="K34" s="36">
        <v>4000</v>
      </c>
    </row>
    <row r="35" spans="1:11">
      <c r="A35" s="21" t="s">
        <v>253</v>
      </c>
      <c r="B35" s="36">
        <f>B30+B28/B8*(B31-B30)</f>
        <v>222852.58546805067</v>
      </c>
      <c r="C35" s="36">
        <f t="shared" ref="C35:K35" si="3">C30+C28/C8*(C31-C30)</f>
        <v>234189.86787356742</v>
      </c>
      <c r="D35" s="36">
        <f t="shared" si="3"/>
        <v>155396.4506839453</v>
      </c>
      <c r="E35" s="36">
        <f t="shared" si="3"/>
        <v>239918.74720357941</v>
      </c>
      <c r="F35" s="36">
        <f t="shared" si="3"/>
        <v>212544.84848484848</v>
      </c>
      <c r="G35" s="36" t="e">
        <f t="shared" si="3"/>
        <v>#DIV/0!</v>
      </c>
      <c r="H35" s="36">
        <f t="shared" si="3"/>
        <v>40680.401197604791</v>
      </c>
      <c r="I35" s="36">
        <f t="shared" si="3"/>
        <v>58256.521739130432</v>
      </c>
      <c r="J35" s="36">
        <f t="shared" si="3"/>
        <v>50571.428571428572</v>
      </c>
      <c r="K35" s="36">
        <f t="shared" si="3"/>
        <v>66249.062634989197</v>
      </c>
    </row>
    <row r="36" spans="1:11">
      <c r="A36" s="21" t="s">
        <v>255</v>
      </c>
      <c r="B36" s="36">
        <v>0.7</v>
      </c>
      <c r="C36" s="36">
        <v>0.7</v>
      </c>
      <c r="D36" s="36">
        <v>1</v>
      </c>
      <c r="E36" s="36">
        <v>0.8</v>
      </c>
      <c r="F36" s="36">
        <v>1</v>
      </c>
      <c r="G36" s="36"/>
      <c r="H36" s="36">
        <v>0.8</v>
      </c>
      <c r="I36" s="36">
        <v>0.7</v>
      </c>
      <c r="J36" s="36">
        <v>1</v>
      </c>
      <c r="K36" s="36">
        <v>1</v>
      </c>
    </row>
    <row r="39" spans="1:11">
      <c r="A39" s="73" t="s">
        <v>289</v>
      </c>
      <c r="B39" s="36" t="s">
        <v>104</v>
      </c>
      <c r="D39" s="29"/>
    </row>
    <row r="40" spans="1:11">
      <c r="B40" s="36" t="s">
        <v>105</v>
      </c>
    </row>
    <row r="47" spans="1:11">
      <c r="A47" s="76" t="s">
        <v>256</v>
      </c>
      <c r="B47" s="33"/>
      <c r="C47" s="33"/>
    </row>
    <row r="48" spans="1:11">
      <c r="A48" s="33"/>
      <c r="B48" s="78" t="s">
        <v>257</v>
      </c>
      <c r="C48" s="78" t="s">
        <v>258</v>
      </c>
    </row>
    <row r="49" spans="1:3">
      <c r="A49" s="33" t="s">
        <v>243</v>
      </c>
      <c r="B49" s="77">
        <f>1-(0.336*(1-EXP(-0.08*B50)))*(1-0.165*POWER((B54-1),0.63))</f>
        <v>0.77150321051949666</v>
      </c>
      <c r="C49" s="77">
        <f>1-(0.336*(1-EXP(-0.08*C50)))*(1-0.165*POWER((C54-1),0.63))</f>
        <v>0.87542391984877999</v>
      </c>
    </row>
    <row r="50" spans="1:3">
      <c r="A50" s="33" t="s">
        <v>259</v>
      </c>
      <c r="B50" s="77">
        <f>B51+B52+B53</f>
        <v>24.950403970292115</v>
      </c>
      <c r="C50" s="77">
        <f>C51+C52+C53</f>
        <v>23.4573039402182</v>
      </c>
    </row>
    <row r="51" spans="1:3">
      <c r="A51" s="33" t="s">
        <v>260</v>
      </c>
      <c r="B51" s="77">
        <f>B55/(0.636-0.181*LN(B54))</f>
        <v>5.3174362970708096</v>
      </c>
      <c r="C51" s="77">
        <f>C55/(0.636-0.181*LN(C54))</f>
        <v>9.6294183461326011</v>
      </c>
    </row>
    <row r="52" spans="1:3">
      <c r="A52" s="33" t="s">
        <v>262</v>
      </c>
      <c r="B52" s="77">
        <f>B55/(0.219+0.066*LN(B54))</f>
        <v>8.9453379213161224</v>
      </c>
      <c r="C52" s="77">
        <f>C55/(0.219+0.066*LN(C54))</f>
        <v>7.0176789585701567</v>
      </c>
    </row>
    <row r="53" spans="1:3">
      <c r="A53" s="33" t="s">
        <v>261</v>
      </c>
      <c r="B53" s="77">
        <f>B55/(0.129+0.1145*LN(B54))</f>
        <v>10.687629751905185</v>
      </c>
      <c r="C53" s="77">
        <f>C55/(0.129+0.1145*LN(C54))</f>
        <v>6.810206635515442</v>
      </c>
    </row>
    <row r="54" spans="1:3">
      <c r="A54" s="33" t="s">
        <v>67</v>
      </c>
      <c r="B54" s="77">
        <f>H11</f>
        <v>2.5</v>
      </c>
      <c r="C54" s="77">
        <f>B11</f>
        <v>8</v>
      </c>
    </row>
    <row r="55" spans="1:3">
      <c r="A55" s="33" t="s">
        <v>263</v>
      </c>
      <c r="B55" s="77">
        <v>2.5</v>
      </c>
      <c r="C55" s="77">
        <v>2.5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6"/>
  <sheetViews>
    <sheetView zoomScale="115" zoomScaleNormal="115" workbookViewId="0">
      <selection activeCell="A2" sqref="A2"/>
    </sheetView>
  </sheetViews>
  <sheetFormatPr baseColWidth="10" defaultRowHeight="15"/>
  <cols>
    <col min="1" max="1" width="26" bestFit="1" customWidth="1"/>
    <col min="7" max="7" width="0" hidden="1" customWidth="1"/>
    <col min="8" max="8" width="12.28515625" bestFit="1" customWidth="1"/>
  </cols>
  <sheetData>
    <row r="1" spans="1:14" s="20" customFormat="1" ht="26.25">
      <c r="A1" s="75" t="s">
        <v>293</v>
      </c>
    </row>
    <row r="3" spans="1:14">
      <c r="B3" s="56" t="str">
        <f>Flugzeugdaten!B3</f>
        <v>A330-300</v>
      </c>
      <c r="C3" s="56" t="str">
        <f>Flugzeugdaten!C3</f>
        <v>A340-300</v>
      </c>
      <c r="D3" s="56" t="str">
        <f>Flugzeugdaten!D3</f>
        <v>DC8-73</v>
      </c>
      <c r="E3" s="56" t="str">
        <f>Flugzeugdaten!E3</f>
        <v>MD11-ER</v>
      </c>
      <c r="F3" s="56" t="str">
        <f>Flugzeugdaten!F3</f>
        <v>TriStar</v>
      </c>
      <c r="G3" s="56">
        <f>Flugzeugdaten!G3</f>
        <v>0</v>
      </c>
      <c r="H3" s="56" t="str">
        <f>Flugzeugdaten!H3</f>
        <v>BAE 146-300</v>
      </c>
      <c r="I3" s="56" t="str">
        <f>Flugzeugdaten!I3</f>
        <v>A318</v>
      </c>
      <c r="J3" s="56" t="str">
        <f>Flugzeugdaten!J3</f>
        <v>Jak-42</v>
      </c>
      <c r="K3" s="56" t="str">
        <f>Flugzeugdaten!K3</f>
        <v>B737-800</v>
      </c>
      <c r="L3" s="20"/>
      <c r="M3" s="20"/>
      <c r="N3" s="20"/>
    </row>
    <row r="4" spans="1:14">
      <c r="A4" t="s">
        <v>278</v>
      </c>
      <c r="B4" s="20">
        <f>Flugzeugdaten!B17*Flugzeugdaten!B18/1000</f>
        <v>609.79999999999995</v>
      </c>
      <c r="C4" s="20">
        <f>Flugzeugdaten!C17*Flugzeugdaten!C18/1000</f>
        <v>604.79999999999995</v>
      </c>
      <c r="D4" s="20">
        <f>Flugzeugdaten!D17*Flugzeugdaten!D18/1000</f>
        <v>392</v>
      </c>
      <c r="E4" s="20">
        <f>Flugzeugdaten!E17*Flugzeugdaten!E18/1000</f>
        <v>822</v>
      </c>
      <c r="F4" s="20">
        <f>Flugzeugdaten!F17*Flugzeugdaten!F18/1000</f>
        <v>720</v>
      </c>
      <c r="G4" s="20">
        <f>Flugzeugdaten!G17*Flugzeugdaten!G18/1000</f>
        <v>0</v>
      </c>
      <c r="H4" s="20">
        <f>Flugzeugdaten!H17*Flugzeugdaten!H18/1000</f>
        <v>124.4</v>
      </c>
      <c r="I4" s="20">
        <f>Flugzeugdaten!I17*Flugzeugdaten!I18/1000</f>
        <v>196.6</v>
      </c>
      <c r="J4" s="20">
        <f>Flugzeugdaten!J17*Flugzeugdaten!J18/1000</f>
        <v>191.25</v>
      </c>
      <c r="K4" s="20">
        <f>Flugzeugdaten!K17*Flugzeugdaten!K18/1000</f>
        <v>242.8</v>
      </c>
    </row>
    <row r="5" spans="1:14">
      <c r="A5" t="s">
        <v>279</v>
      </c>
      <c r="B5" s="35">
        <f>Gesamtuebersicht!D12*Flugzeugdaten!B18/1000000</f>
        <v>20.460781893869065</v>
      </c>
      <c r="C5" s="35">
        <f>Gesamtuebersicht!E12*Flugzeugdaten!C18/1000000</f>
        <v>23.185777223840944</v>
      </c>
      <c r="D5" s="35">
        <f>Gesamtuebersicht!F12*Flugzeugdaten!D18/1000000</f>
        <v>16.318409571700446</v>
      </c>
      <c r="E5" s="35">
        <f>Gesamtuebersicht!G12*Flugzeugdaten!E18/1000000</f>
        <v>28.146469465057983</v>
      </c>
      <c r="F5" s="35">
        <f>Gesamtuebersicht!H12*Flugzeugdaten!F18/1000000</f>
        <v>25.282328914168964</v>
      </c>
      <c r="G5" s="35">
        <f>Gesamtuebersicht!I12*Flugzeugdaten!G18/1000000</f>
        <v>0</v>
      </c>
      <c r="H5" s="35">
        <f>Gesamtuebersicht!J12*Flugzeugdaten!H18/1000000</f>
        <v>6.4405153994827824</v>
      </c>
      <c r="I5" s="35">
        <f>Gesamtuebersicht!K12*Flugzeugdaten!I18/1000000</f>
        <v>8.179430406914129</v>
      </c>
      <c r="J5" s="35">
        <f>Gesamtuebersicht!L12*Flugzeugdaten!J18/1000000</f>
        <v>8.6392277753539286</v>
      </c>
      <c r="K5" s="35">
        <f>Gesamtuebersicht!M12*Flugzeugdaten!K18/1000000</f>
        <v>9.7044705955795809</v>
      </c>
    </row>
    <row r="6" spans="1:14">
      <c r="A6" t="s">
        <v>6</v>
      </c>
      <c r="B6" s="35">
        <f>Gesamtuebersicht!D11/1000000</f>
        <v>216.4435430791149</v>
      </c>
      <c r="C6" s="35">
        <f>Gesamtuebersicht!E11/1000000</f>
        <v>229.65381624508365</v>
      </c>
      <c r="D6" s="35">
        <f>Gesamtuebersicht!F11/1000000</f>
        <v>-6.218598186459448</v>
      </c>
      <c r="E6" s="35">
        <f>Gesamtuebersicht!G11/1000000</f>
        <v>201.85353053494202</v>
      </c>
      <c r="F6" s="35">
        <f>Gesamtuebersicht!H11/1000000</f>
        <v>6.3776172867359779</v>
      </c>
      <c r="G6" s="35">
        <f>Gesamtuebersicht!I11/1000000</f>
        <v>0</v>
      </c>
      <c r="H6" s="35">
        <f>Gesamtuebersicht!J11/1000000</f>
        <v>31.442582532819998</v>
      </c>
      <c r="I6" s="35">
        <f>Gesamtuebersicht!K11/1000000</f>
        <v>60.873399742161929</v>
      </c>
      <c r="J6" s="35">
        <f>Gesamtuebersicht!L11/1000000</f>
        <v>25.032080034208917</v>
      </c>
      <c r="K6" s="35">
        <f>Gesamtuebersicht!M11/1000000</f>
        <v>88.395529404420415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BJ67"/>
  <sheetViews>
    <sheetView zoomScaleNormal="100" workbookViewId="0">
      <selection activeCell="A2" sqref="A2"/>
    </sheetView>
  </sheetViews>
  <sheetFormatPr baseColWidth="10" defaultColWidth="11.42578125" defaultRowHeight="15"/>
  <cols>
    <col min="2" max="2" width="37.42578125" bestFit="1" customWidth="1"/>
    <col min="4" max="4" width="15.5703125" customWidth="1"/>
    <col min="6" max="6" width="34.7109375" bestFit="1" customWidth="1"/>
    <col min="8" max="8" width="15.85546875" customWidth="1"/>
    <col min="9" max="9" width="7" customWidth="1"/>
    <col min="10" max="10" width="22.140625" customWidth="1"/>
  </cols>
  <sheetData>
    <row r="1" spans="1:62" s="20" customFormat="1" ht="26.25">
      <c r="A1" s="80" t="s">
        <v>77</v>
      </c>
    </row>
    <row r="2" spans="1:62" s="20" customFormat="1">
      <c r="A2" s="79"/>
    </row>
    <row r="3" spans="1:62">
      <c r="A3" s="63">
        <v>1</v>
      </c>
      <c r="B3" s="63">
        <v>2</v>
      </c>
      <c r="C3" s="63">
        <v>3</v>
      </c>
      <c r="D3" s="63">
        <v>4</v>
      </c>
      <c r="E3" s="63">
        <v>5</v>
      </c>
      <c r="F3" s="63">
        <v>6</v>
      </c>
      <c r="G3" s="63">
        <v>7</v>
      </c>
      <c r="H3" s="63">
        <v>8</v>
      </c>
      <c r="I3" s="63">
        <v>9</v>
      </c>
      <c r="J3" s="63">
        <v>10</v>
      </c>
      <c r="K3" s="63">
        <v>11</v>
      </c>
      <c r="L3" s="63">
        <v>12</v>
      </c>
      <c r="M3" s="63">
        <v>13</v>
      </c>
      <c r="N3" s="63">
        <v>14</v>
      </c>
      <c r="O3" s="63">
        <v>15</v>
      </c>
      <c r="P3" s="63">
        <v>16</v>
      </c>
      <c r="Q3" s="63">
        <v>17</v>
      </c>
      <c r="R3" s="63">
        <v>18</v>
      </c>
      <c r="S3" s="63">
        <v>19</v>
      </c>
      <c r="T3" s="63">
        <v>20</v>
      </c>
      <c r="U3" s="63">
        <v>21</v>
      </c>
      <c r="V3" s="63">
        <v>22</v>
      </c>
      <c r="W3" s="63">
        <v>23</v>
      </c>
      <c r="X3" s="63">
        <v>24</v>
      </c>
      <c r="Y3" s="63">
        <v>25</v>
      </c>
      <c r="Z3" s="63">
        <v>26</v>
      </c>
      <c r="AA3" s="63">
        <v>27</v>
      </c>
      <c r="AB3" s="63">
        <v>28</v>
      </c>
      <c r="AC3" s="63">
        <v>29</v>
      </c>
      <c r="AD3" s="63">
        <v>30</v>
      </c>
      <c r="AE3" s="63">
        <v>31</v>
      </c>
      <c r="AF3" s="63">
        <v>32</v>
      </c>
      <c r="AG3" s="63">
        <v>33</v>
      </c>
      <c r="AH3" s="63">
        <v>34</v>
      </c>
      <c r="AI3" s="63">
        <v>35</v>
      </c>
      <c r="AJ3" s="63">
        <v>36</v>
      </c>
      <c r="AK3" s="63">
        <v>37</v>
      </c>
      <c r="AL3" s="63">
        <v>38</v>
      </c>
      <c r="AM3" s="63">
        <v>39</v>
      </c>
      <c r="AN3" s="63">
        <v>40</v>
      </c>
      <c r="AO3" s="63">
        <v>41</v>
      </c>
      <c r="AP3" s="63">
        <v>42</v>
      </c>
      <c r="AQ3" s="63">
        <v>43</v>
      </c>
      <c r="AR3" s="63">
        <v>44</v>
      </c>
      <c r="AS3" s="63">
        <v>45</v>
      </c>
      <c r="AT3" s="63">
        <v>46</v>
      </c>
      <c r="AU3" s="63">
        <v>47</v>
      </c>
      <c r="AV3" s="63">
        <v>48</v>
      </c>
      <c r="AW3" s="63">
        <v>49</v>
      </c>
      <c r="AX3" s="63">
        <v>50</v>
      </c>
      <c r="AY3" s="63">
        <v>51</v>
      </c>
      <c r="AZ3" s="63">
        <v>52</v>
      </c>
      <c r="BA3" s="63">
        <v>53</v>
      </c>
      <c r="BB3" s="63">
        <v>54</v>
      </c>
      <c r="BC3" s="63">
        <v>55</v>
      </c>
      <c r="BD3" s="63">
        <v>56</v>
      </c>
      <c r="BE3" s="63">
        <v>57</v>
      </c>
      <c r="BF3" s="63">
        <v>58</v>
      </c>
      <c r="BG3" s="63">
        <v>59</v>
      </c>
      <c r="BH3" s="63">
        <v>60</v>
      </c>
      <c r="BI3" s="63">
        <v>61</v>
      </c>
      <c r="BJ3" s="63">
        <v>62</v>
      </c>
    </row>
    <row r="4" spans="1:62">
      <c r="A4">
        <v>1956</v>
      </c>
      <c r="B4">
        <v>1957</v>
      </c>
      <c r="C4">
        <v>1958</v>
      </c>
      <c r="D4">
        <v>1959</v>
      </c>
      <c r="E4">
        <v>1960</v>
      </c>
      <c r="F4">
        <v>1961</v>
      </c>
      <c r="G4">
        <v>1962</v>
      </c>
      <c r="H4">
        <v>1963</v>
      </c>
      <c r="I4">
        <v>1964</v>
      </c>
      <c r="J4">
        <v>1965</v>
      </c>
      <c r="K4">
        <v>1966</v>
      </c>
      <c r="L4">
        <v>1967</v>
      </c>
      <c r="M4">
        <v>1968</v>
      </c>
      <c r="N4">
        <v>1969</v>
      </c>
      <c r="O4">
        <v>1970</v>
      </c>
      <c r="P4">
        <v>1971</v>
      </c>
      <c r="Q4">
        <v>1972</v>
      </c>
      <c r="R4">
        <v>1973</v>
      </c>
      <c r="S4">
        <v>1974</v>
      </c>
      <c r="T4">
        <v>1975</v>
      </c>
      <c r="U4">
        <v>1976</v>
      </c>
      <c r="V4">
        <v>1977</v>
      </c>
      <c r="W4">
        <v>1978</v>
      </c>
      <c r="X4">
        <v>1979</v>
      </c>
      <c r="Y4">
        <v>1980</v>
      </c>
      <c r="Z4">
        <v>1981</v>
      </c>
      <c r="AA4">
        <v>1982</v>
      </c>
      <c r="AB4">
        <v>1983</v>
      </c>
      <c r="AC4">
        <v>1984</v>
      </c>
      <c r="AD4">
        <v>1985</v>
      </c>
      <c r="AE4">
        <v>1986</v>
      </c>
      <c r="AF4">
        <v>1987</v>
      </c>
      <c r="AG4">
        <v>1988</v>
      </c>
      <c r="AH4">
        <v>1989</v>
      </c>
      <c r="AI4">
        <v>1990</v>
      </c>
      <c r="AJ4">
        <v>1991</v>
      </c>
      <c r="AK4">
        <v>1992</v>
      </c>
      <c r="AL4">
        <v>1993</v>
      </c>
      <c r="AM4">
        <v>1994</v>
      </c>
      <c r="AN4">
        <v>1995</v>
      </c>
      <c r="AO4">
        <v>1996</v>
      </c>
      <c r="AP4">
        <v>1997</v>
      </c>
      <c r="AQ4">
        <v>1998</v>
      </c>
      <c r="AR4">
        <v>1999</v>
      </c>
      <c r="AS4">
        <v>2000</v>
      </c>
      <c r="AT4">
        <v>2001</v>
      </c>
      <c r="AU4">
        <v>2002</v>
      </c>
      <c r="AV4">
        <v>2003</v>
      </c>
      <c r="AW4">
        <v>2004</v>
      </c>
      <c r="AX4">
        <v>2005</v>
      </c>
      <c r="AY4">
        <v>2006</v>
      </c>
      <c r="AZ4">
        <v>2007</v>
      </c>
      <c r="BA4">
        <v>2008</v>
      </c>
      <c r="BB4">
        <v>2009</v>
      </c>
      <c r="BC4">
        <v>2010</v>
      </c>
      <c r="BD4">
        <v>2011</v>
      </c>
      <c r="BE4">
        <v>2012</v>
      </c>
      <c r="BF4">
        <v>2013</v>
      </c>
      <c r="BG4">
        <v>2014</v>
      </c>
      <c r="BH4">
        <v>2015</v>
      </c>
      <c r="BI4">
        <v>2016</v>
      </c>
      <c r="BJ4">
        <v>2017</v>
      </c>
    </row>
    <row r="5" spans="1:62">
      <c r="A5">
        <v>1.83</v>
      </c>
      <c r="B5">
        <v>2.1</v>
      </c>
      <c r="C5">
        <v>1.18</v>
      </c>
      <c r="D5">
        <f>2.33/100</f>
        <v>2.3300000000000001E-2</v>
      </c>
      <c r="E5">
        <f>0.57/100</f>
        <v>5.6999999999999993E-3</v>
      </c>
      <c r="F5">
        <v>2.82</v>
      </c>
      <c r="G5">
        <v>2.75</v>
      </c>
      <c r="H5">
        <v>3.48</v>
      </c>
      <c r="I5">
        <v>2.33</v>
      </c>
      <c r="J5">
        <v>3.79</v>
      </c>
      <c r="K5">
        <v>2.92</v>
      </c>
      <c r="L5">
        <v>0.71</v>
      </c>
      <c r="M5">
        <v>2.11</v>
      </c>
      <c r="N5">
        <v>2.0699999999999998</v>
      </c>
      <c r="O5">
        <v>4.05</v>
      </c>
      <c r="P5">
        <v>5.41</v>
      </c>
      <c r="Q5">
        <v>6.37</v>
      </c>
      <c r="R5">
        <v>7.92</v>
      </c>
      <c r="S5">
        <v>5.72</v>
      </c>
      <c r="T5">
        <v>5.41</v>
      </c>
      <c r="U5">
        <v>3.69</v>
      </c>
      <c r="V5">
        <v>3.41</v>
      </c>
      <c r="W5">
        <v>2.54</v>
      </c>
      <c r="X5">
        <v>5.4</v>
      </c>
      <c r="Y5">
        <v>5.54</v>
      </c>
      <c r="Z5">
        <v>6.69</v>
      </c>
      <c r="AA5">
        <v>4.55</v>
      </c>
      <c r="AB5">
        <v>2.71</v>
      </c>
      <c r="AC5">
        <v>1.95</v>
      </c>
      <c r="AD5">
        <v>1.57</v>
      </c>
      <c r="AE5">
        <v>-1</v>
      </c>
      <c r="AF5">
        <v>1.01</v>
      </c>
      <c r="AG5">
        <v>1.88</v>
      </c>
      <c r="AH5">
        <v>3.04</v>
      </c>
      <c r="AI5">
        <v>2.74</v>
      </c>
      <c r="AJ5">
        <v>5.75</v>
      </c>
      <c r="AK5">
        <v>3.33</v>
      </c>
      <c r="AL5">
        <v>4.3</v>
      </c>
      <c r="AM5">
        <v>2.4500000000000002</v>
      </c>
      <c r="AN5">
        <v>1.51</v>
      </c>
      <c r="AO5">
        <v>1.49</v>
      </c>
      <c r="AP5">
        <v>2.0699999999999998</v>
      </c>
      <c r="AQ5">
        <v>0.36</v>
      </c>
      <c r="AR5">
        <v>1.19</v>
      </c>
      <c r="AS5">
        <v>2</v>
      </c>
      <c r="AT5">
        <v>1.61</v>
      </c>
      <c r="AU5">
        <v>1.1399999999999999</v>
      </c>
      <c r="AV5">
        <v>1.1200000000000001</v>
      </c>
      <c r="AW5">
        <v>2.2200000000000002</v>
      </c>
      <c r="AX5">
        <v>1.41</v>
      </c>
      <c r="AY5">
        <v>1.39</v>
      </c>
      <c r="AZ5">
        <v>3.17</v>
      </c>
      <c r="BA5">
        <v>1.1299999999999999</v>
      </c>
      <c r="BB5">
        <v>0.81</v>
      </c>
      <c r="BC5">
        <v>1.31</v>
      </c>
      <c r="BD5">
        <v>1.98</v>
      </c>
      <c r="BE5">
        <v>2.04</v>
      </c>
      <c r="BF5">
        <v>1.42</v>
      </c>
      <c r="BG5">
        <v>0.19</v>
      </c>
      <c r="BH5">
        <v>0.28000000000000003</v>
      </c>
      <c r="BI5">
        <v>1.68</v>
      </c>
      <c r="BJ5">
        <v>1.65</v>
      </c>
    </row>
    <row r="6" spans="1:62">
      <c r="A6">
        <f>(A5/100)+1</f>
        <v>1.0183</v>
      </c>
      <c r="B6">
        <f t="shared" ref="B6:BJ6" si="0">(B5/100)+1</f>
        <v>1.0209999999999999</v>
      </c>
      <c r="C6">
        <f t="shared" si="0"/>
        <v>1.0118</v>
      </c>
      <c r="D6">
        <f>(D5/100)+1</f>
        <v>1.0002329999999999</v>
      </c>
      <c r="E6">
        <f t="shared" si="0"/>
        <v>1.000057</v>
      </c>
      <c r="F6">
        <f t="shared" si="0"/>
        <v>1.0282</v>
      </c>
      <c r="G6">
        <f t="shared" si="0"/>
        <v>1.0275000000000001</v>
      </c>
      <c r="H6">
        <f t="shared" si="0"/>
        <v>1.0347999999999999</v>
      </c>
      <c r="I6">
        <f t="shared" si="0"/>
        <v>1.0233000000000001</v>
      </c>
      <c r="J6">
        <f t="shared" si="0"/>
        <v>1.0379</v>
      </c>
      <c r="K6">
        <f t="shared" si="0"/>
        <v>1.0291999999999999</v>
      </c>
      <c r="L6">
        <f t="shared" si="0"/>
        <v>1.0071000000000001</v>
      </c>
      <c r="M6">
        <f t="shared" si="0"/>
        <v>1.0210999999999999</v>
      </c>
      <c r="N6">
        <f t="shared" si="0"/>
        <v>1.0206999999999999</v>
      </c>
      <c r="O6">
        <f t="shared" si="0"/>
        <v>1.0405</v>
      </c>
      <c r="P6">
        <f t="shared" si="0"/>
        <v>1.0541</v>
      </c>
      <c r="Q6">
        <f t="shared" si="0"/>
        <v>1.0637000000000001</v>
      </c>
      <c r="R6">
        <f t="shared" si="0"/>
        <v>1.0791999999999999</v>
      </c>
      <c r="S6">
        <f t="shared" si="0"/>
        <v>1.0571999999999999</v>
      </c>
      <c r="T6">
        <f t="shared" si="0"/>
        <v>1.0541</v>
      </c>
      <c r="U6">
        <f t="shared" si="0"/>
        <v>1.0368999999999999</v>
      </c>
      <c r="V6">
        <f t="shared" si="0"/>
        <v>1.0341</v>
      </c>
      <c r="W6">
        <f t="shared" si="0"/>
        <v>1.0254000000000001</v>
      </c>
      <c r="X6">
        <f t="shared" si="0"/>
        <v>1.054</v>
      </c>
      <c r="Y6">
        <f t="shared" si="0"/>
        <v>1.0553999999999999</v>
      </c>
      <c r="Z6">
        <f t="shared" si="0"/>
        <v>1.0669</v>
      </c>
      <c r="AA6">
        <f t="shared" si="0"/>
        <v>1.0455000000000001</v>
      </c>
      <c r="AB6">
        <f t="shared" si="0"/>
        <v>1.0270999999999999</v>
      </c>
      <c r="AC6">
        <f t="shared" si="0"/>
        <v>1.0195000000000001</v>
      </c>
      <c r="AD6">
        <f t="shared" si="0"/>
        <v>1.0157</v>
      </c>
      <c r="AE6">
        <f t="shared" si="0"/>
        <v>0.99</v>
      </c>
      <c r="AF6">
        <f t="shared" si="0"/>
        <v>1.0101</v>
      </c>
      <c r="AG6">
        <f t="shared" si="0"/>
        <v>1.0187999999999999</v>
      </c>
      <c r="AH6">
        <f t="shared" si="0"/>
        <v>1.0304</v>
      </c>
      <c r="AI6">
        <f t="shared" si="0"/>
        <v>1.0274000000000001</v>
      </c>
      <c r="AJ6">
        <f t="shared" si="0"/>
        <v>1.0575000000000001</v>
      </c>
      <c r="AK6">
        <f t="shared" si="0"/>
        <v>1.0333000000000001</v>
      </c>
      <c r="AL6">
        <f t="shared" si="0"/>
        <v>1.0429999999999999</v>
      </c>
      <c r="AM6">
        <f t="shared" si="0"/>
        <v>1.0245</v>
      </c>
      <c r="AN6">
        <f t="shared" si="0"/>
        <v>1.0150999999999999</v>
      </c>
      <c r="AO6">
        <f t="shared" si="0"/>
        <v>1.0148999999999999</v>
      </c>
      <c r="AP6">
        <f t="shared" si="0"/>
        <v>1.0206999999999999</v>
      </c>
      <c r="AQ6">
        <f t="shared" si="0"/>
        <v>1.0036</v>
      </c>
      <c r="AR6">
        <f t="shared" si="0"/>
        <v>1.0119</v>
      </c>
      <c r="AS6">
        <f t="shared" si="0"/>
        <v>1.02</v>
      </c>
      <c r="AT6">
        <f t="shared" si="0"/>
        <v>1.0161</v>
      </c>
      <c r="AU6">
        <f t="shared" si="0"/>
        <v>1.0114000000000001</v>
      </c>
      <c r="AV6">
        <f t="shared" si="0"/>
        <v>1.0112000000000001</v>
      </c>
      <c r="AW6">
        <f t="shared" si="0"/>
        <v>1.0222</v>
      </c>
      <c r="AX6">
        <f t="shared" si="0"/>
        <v>1.0141</v>
      </c>
      <c r="AY6">
        <f t="shared" si="0"/>
        <v>1.0139</v>
      </c>
      <c r="AZ6">
        <f t="shared" si="0"/>
        <v>1.0317000000000001</v>
      </c>
      <c r="BA6">
        <f t="shared" si="0"/>
        <v>1.0113000000000001</v>
      </c>
      <c r="BB6">
        <f t="shared" si="0"/>
        <v>1.0081</v>
      </c>
      <c r="BC6">
        <f t="shared" si="0"/>
        <v>1.0131000000000001</v>
      </c>
      <c r="BD6">
        <f t="shared" si="0"/>
        <v>1.0198</v>
      </c>
      <c r="BE6">
        <f t="shared" si="0"/>
        <v>1.0204</v>
      </c>
      <c r="BF6">
        <f t="shared" si="0"/>
        <v>1.0142</v>
      </c>
      <c r="BG6">
        <f t="shared" si="0"/>
        <v>1.0019</v>
      </c>
      <c r="BH6">
        <f t="shared" si="0"/>
        <v>1.0027999999999999</v>
      </c>
      <c r="BI6">
        <f t="shared" si="0"/>
        <v>1.0167999999999999</v>
      </c>
      <c r="BJ6">
        <f t="shared" si="0"/>
        <v>1.0165</v>
      </c>
    </row>
    <row r="7" spans="1:62">
      <c r="D7" s="18"/>
    </row>
    <row r="8" spans="1:62">
      <c r="A8" s="17" t="s">
        <v>186</v>
      </c>
    </row>
    <row r="10" spans="1:62">
      <c r="D10" s="62" t="s">
        <v>189</v>
      </c>
      <c r="E10" s="63"/>
    </row>
    <row r="11" spans="1:62">
      <c r="B11" s="18" t="s">
        <v>187</v>
      </c>
      <c r="C11">
        <f>POWER(PRODUCT(A6:BJ6),(1/62))/100</f>
        <v>1.0252800965114481E-2</v>
      </c>
      <c r="D11">
        <v>2.78</v>
      </c>
    </row>
    <row r="12" spans="1:62">
      <c r="B12" s="18" t="s">
        <v>188</v>
      </c>
      <c r="C12">
        <f>POWER(PRODUCT(AM6:BJ6),(1/24))/100</f>
        <v>1.0148192650933953E-2</v>
      </c>
    </row>
    <row r="13" spans="1:62">
      <c r="B13" s="18" t="s">
        <v>191</v>
      </c>
      <c r="C13">
        <f>POWER(PRODUCT(BD6:BJ6),(1/7))/100</f>
        <v>1.0131748102577633E-2</v>
      </c>
    </row>
    <row r="14" spans="1:62">
      <c r="B14" s="18" t="s">
        <v>194</v>
      </c>
      <c r="C14">
        <f>POWER(PRODUCT(Q6:BJ6),(1/46))/100</f>
        <v>1.0259383193509766E-2</v>
      </c>
    </row>
    <row r="15" spans="1:62">
      <c r="B15" s="18" t="s">
        <v>196</v>
      </c>
      <c r="C15">
        <f>POWER(PRODUCT(Z6:BJ6),(1/37))/100</f>
        <v>1.0199340316112988E-2</v>
      </c>
      <c r="D15">
        <v>2.39</v>
      </c>
    </row>
    <row r="16" spans="1:62" s="20" customFormat="1">
      <c r="B16" s="18" t="s">
        <v>211</v>
      </c>
      <c r="C16" s="20">
        <f>POWER(PRODUCT(BH6:BJ6),(1/3))/100</f>
        <v>1.0120122013141455E-2</v>
      </c>
    </row>
    <row r="17" spans="2:8" s="20" customFormat="1">
      <c r="B17" s="18" t="s">
        <v>217</v>
      </c>
      <c r="C17" s="20">
        <f>POWER(PRODUCT(AR6:BJ6),(1/19))/100</f>
        <v>1.0145783306081893E-2</v>
      </c>
    </row>
    <row r="18" spans="2:8">
      <c r="B18" s="18" t="s">
        <v>218</v>
      </c>
      <c r="C18" s="20">
        <f>POWER(PRODUCT(L6:BJ6),(1/51))/100</f>
        <v>1.0261957336143218E-2</v>
      </c>
    </row>
    <row r="19" spans="2:8">
      <c r="B19" s="18" t="s">
        <v>228</v>
      </c>
      <c r="C19" s="20">
        <f>POWER(PRODUCT(Y6:BJ6),(1/38))/100</f>
        <v>1.0208518989653579E-2</v>
      </c>
      <c r="D19" s="18">
        <v>1.82</v>
      </c>
      <c r="E19" s="18"/>
      <c r="F19" s="18"/>
    </row>
    <row r="20" spans="2:8">
      <c r="B20" s="18" t="s">
        <v>247</v>
      </c>
      <c r="C20" s="20">
        <f>POWER(PRODUCT(AG6:BJ6),(1/30))/100</f>
        <v>1.0188223837107517E-2</v>
      </c>
      <c r="F20" s="18"/>
    </row>
    <row r="21" spans="2:8">
      <c r="F21" s="18"/>
    </row>
    <row r="23" spans="2:8">
      <c r="B23" s="83" t="s">
        <v>215</v>
      </c>
      <c r="C23" s="18"/>
      <c r="D23" s="18"/>
      <c r="F23" s="83" t="s">
        <v>219</v>
      </c>
      <c r="G23" s="18"/>
      <c r="H23" s="18"/>
    </row>
    <row r="24" spans="2:8">
      <c r="B24" s="18" t="s">
        <v>26</v>
      </c>
      <c r="C24" s="18" t="s">
        <v>27</v>
      </c>
      <c r="D24" s="18">
        <f>POWER((1+D25),(D26-D27))</f>
        <v>1.2614124008262182</v>
      </c>
      <c r="F24" s="18" t="s">
        <v>26</v>
      </c>
      <c r="G24" s="18" t="s">
        <v>27</v>
      </c>
      <c r="H24" s="18">
        <f>POWER((1+H25),(H26-H27))</f>
        <v>1.6660958017925493</v>
      </c>
    </row>
    <row r="25" spans="2:8">
      <c r="B25" s="18" t="s">
        <v>73</v>
      </c>
      <c r="C25" s="18" t="s">
        <v>72</v>
      </c>
      <c r="D25" s="18">
        <f>C12</f>
        <v>1.0148192650933953E-2</v>
      </c>
      <c r="F25" s="18" t="s">
        <v>73</v>
      </c>
      <c r="G25" s="18" t="s">
        <v>72</v>
      </c>
      <c r="H25" s="18">
        <f>C18</f>
        <v>1.0261957336143218E-2</v>
      </c>
    </row>
    <row r="26" spans="2:8">
      <c r="B26" s="18" t="s">
        <v>76</v>
      </c>
      <c r="C26" s="18" t="s">
        <v>161</v>
      </c>
      <c r="D26" s="18">
        <v>2017</v>
      </c>
      <c r="F26" s="18" t="s">
        <v>76</v>
      </c>
      <c r="G26" s="18" t="s">
        <v>161</v>
      </c>
      <c r="H26" s="18">
        <v>2017</v>
      </c>
    </row>
    <row r="27" spans="2:8">
      <c r="B27" s="18" t="s">
        <v>75</v>
      </c>
      <c r="C27" s="18" t="s">
        <v>74</v>
      </c>
      <c r="D27" s="18">
        <v>1994</v>
      </c>
      <c r="F27" s="18" t="s">
        <v>75</v>
      </c>
      <c r="G27" s="18" t="s">
        <v>74</v>
      </c>
      <c r="H27" s="18">
        <v>1967</v>
      </c>
    </row>
    <row r="28" spans="2:8">
      <c r="B28" s="18"/>
      <c r="C28" s="18"/>
      <c r="D28" s="18"/>
      <c r="F28" s="18"/>
      <c r="G28" s="18"/>
      <c r="H28" s="18"/>
    </row>
    <row r="29" spans="2:8">
      <c r="B29" s="83" t="s">
        <v>192</v>
      </c>
      <c r="C29" s="18"/>
      <c r="D29" s="18"/>
      <c r="F29" s="83" t="s">
        <v>229</v>
      </c>
      <c r="G29" s="18"/>
      <c r="H29" s="18"/>
    </row>
    <row r="30" spans="2:8">
      <c r="B30" s="18" t="s">
        <v>26</v>
      </c>
      <c r="C30" s="18" t="s">
        <v>27</v>
      </c>
      <c r="D30" s="18">
        <f>POWER((1+D31),(D32-D33))</f>
        <v>1.8630900913560224</v>
      </c>
      <c r="F30" s="18" t="s">
        <v>26</v>
      </c>
      <c r="G30" s="18" t="s">
        <v>27</v>
      </c>
      <c r="H30" s="18">
        <f>POWER((1+H31),(H32-H33))</f>
        <v>1.4561562631599332</v>
      </c>
    </row>
    <row r="31" spans="2:8">
      <c r="B31" s="18" t="s">
        <v>73</v>
      </c>
      <c r="C31" s="18" t="s">
        <v>72</v>
      </c>
      <c r="D31" s="18">
        <f>C11</f>
        <v>1.0252800965114481E-2</v>
      </c>
      <c r="F31" s="18" t="s">
        <v>73</v>
      </c>
      <c r="G31" s="18" t="s">
        <v>72</v>
      </c>
      <c r="H31" s="18">
        <f>C19</f>
        <v>1.0208518989653579E-2</v>
      </c>
    </row>
    <row r="32" spans="2:8">
      <c r="B32" s="18" t="s">
        <v>76</v>
      </c>
      <c r="C32" s="18" t="s">
        <v>161</v>
      </c>
      <c r="D32" s="18">
        <v>2017</v>
      </c>
      <c r="F32" s="18" t="s">
        <v>76</v>
      </c>
      <c r="G32" s="18" t="s">
        <v>161</v>
      </c>
      <c r="H32" s="18">
        <v>2017</v>
      </c>
    </row>
    <row r="33" spans="2:8">
      <c r="B33" s="18" t="s">
        <v>75</v>
      </c>
      <c r="C33" s="18" t="s">
        <v>74</v>
      </c>
      <c r="D33" s="18">
        <v>1956</v>
      </c>
      <c r="F33" s="18" t="s">
        <v>75</v>
      </c>
      <c r="G33" s="18" t="s">
        <v>74</v>
      </c>
      <c r="H33" s="18">
        <v>1980</v>
      </c>
    </row>
    <row r="34" spans="2:8">
      <c r="B34" s="18"/>
      <c r="C34" s="18"/>
      <c r="D34" s="18"/>
      <c r="F34" s="18"/>
      <c r="G34" s="18"/>
      <c r="H34" s="18"/>
    </row>
    <row r="35" spans="2:8">
      <c r="B35" s="83" t="s">
        <v>193</v>
      </c>
      <c r="C35" s="18"/>
      <c r="D35" s="18"/>
      <c r="F35" s="83" t="s">
        <v>248</v>
      </c>
      <c r="G35" s="18"/>
      <c r="H35" s="18"/>
    </row>
    <row r="36" spans="2:8">
      <c r="B36" s="18" t="s">
        <v>26</v>
      </c>
      <c r="C36" s="18" t="s">
        <v>27</v>
      </c>
      <c r="D36" s="18">
        <f>POWER((1+D37),(D38-D39))</f>
        <v>1.0623512330627085</v>
      </c>
      <c r="F36" s="18" t="s">
        <v>26</v>
      </c>
      <c r="G36" s="18" t="s">
        <v>27</v>
      </c>
      <c r="H36" s="18">
        <f>POWER((1+H37),(H38-H39))</f>
        <v>1.3417349804683918</v>
      </c>
    </row>
    <row r="37" spans="2:8">
      <c r="B37" s="18" t="s">
        <v>73</v>
      </c>
      <c r="C37" s="18" t="s">
        <v>72</v>
      </c>
      <c r="D37" s="18">
        <f>C13</f>
        <v>1.0131748102577633E-2</v>
      </c>
      <c r="F37" s="18" t="s">
        <v>73</v>
      </c>
      <c r="G37" s="18" t="s">
        <v>72</v>
      </c>
      <c r="H37" s="18">
        <f>C20</f>
        <v>1.0188223837107517E-2</v>
      </c>
    </row>
    <row r="38" spans="2:8">
      <c r="B38" s="18" t="s">
        <v>76</v>
      </c>
      <c r="C38" s="18" t="s">
        <v>161</v>
      </c>
      <c r="D38" s="18">
        <v>2017</v>
      </c>
      <c r="F38" s="18" t="s">
        <v>76</v>
      </c>
      <c r="G38" s="18" t="s">
        <v>161</v>
      </c>
      <c r="H38" s="18">
        <v>2017</v>
      </c>
    </row>
    <row r="39" spans="2:8">
      <c r="B39" s="18" t="s">
        <v>75</v>
      </c>
      <c r="C39" s="18" t="s">
        <v>74</v>
      </c>
      <c r="D39" s="18">
        <v>2011</v>
      </c>
      <c r="F39" s="18" t="s">
        <v>75</v>
      </c>
      <c r="G39" s="18" t="s">
        <v>74</v>
      </c>
      <c r="H39" s="18">
        <v>1988</v>
      </c>
    </row>
    <row r="40" spans="2:8">
      <c r="B40" s="18"/>
      <c r="C40" s="18"/>
      <c r="D40" s="18"/>
    </row>
    <row r="41" spans="2:8">
      <c r="B41" s="83" t="s">
        <v>195</v>
      </c>
      <c r="C41" s="18"/>
      <c r="D41" s="18"/>
    </row>
    <row r="42" spans="2:8">
      <c r="B42" s="18" t="s">
        <v>26</v>
      </c>
      <c r="C42" s="18" t="s">
        <v>27</v>
      </c>
      <c r="D42" s="18">
        <f>POWER((1+D43),(D44-D45))</f>
        <v>1.5829973100452472</v>
      </c>
    </row>
    <row r="43" spans="2:8">
      <c r="B43" s="18" t="s">
        <v>73</v>
      </c>
      <c r="C43" s="18" t="s">
        <v>72</v>
      </c>
      <c r="D43" s="18">
        <f>C14</f>
        <v>1.0259383193509766E-2</v>
      </c>
    </row>
    <row r="44" spans="2:8">
      <c r="B44" s="18" t="s">
        <v>76</v>
      </c>
      <c r="C44" s="18" t="s">
        <v>161</v>
      </c>
      <c r="D44" s="18">
        <v>2017</v>
      </c>
    </row>
    <row r="45" spans="2:8">
      <c r="B45" s="18" t="s">
        <v>75</v>
      </c>
      <c r="C45" s="18" t="s">
        <v>74</v>
      </c>
      <c r="D45" s="18">
        <v>1972</v>
      </c>
    </row>
    <row r="46" spans="2:8">
      <c r="B46" s="18"/>
      <c r="C46" s="18"/>
      <c r="D46" s="18"/>
    </row>
    <row r="47" spans="2:8">
      <c r="B47" s="83" t="s">
        <v>197</v>
      </c>
      <c r="C47" s="18"/>
      <c r="D47" s="18"/>
    </row>
    <row r="48" spans="2:8">
      <c r="B48" s="18" t="s">
        <v>26</v>
      </c>
      <c r="C48" s="18" t="s">
        <v>27</v>
      </c>
      <c r="D48" s="18">
        <f>POWER((1+D49),(D50-D51))</f>
        <v>1.4409698719019697</v>
      </c>
    </row>
    <row r="49" spans="2:12">
      <c r="B49" s="18" t="s">
        <v>73</v>
      </c>
      <c r="C49" s="18" t="s">
        <v>72</v>
      </c>
      <c r="D49" s="18">
        <f>C15</f>
        <v>1.0199340316112988E-2</v>
      </c>
    </row>
    <row r="50" spans="2:12">
      <c r="B50" s="18" t="s">
        <v>76</v>
      </c>
      <c r="C50" s="18" t="s">
        <v>161</v>
      </c>
      <c r="D50" s="18">
        <v>2017</v>
      </c>
    </row>
    <row r="51" spans="2:12">
      <c r="B51" s="18" t="s">
        <v>75</v>
      </c>
      <c r="C51" s="18" t="s">
        <v>74</v>
      </c>
      <c r="D51" s="18">
        <v>1981</v>
      </c>
    </row>
    <row r="52" spans="2:12">
      <c r="B52" s="18"/>
      <c r="C52" s="18"/>
      <c r="D52" s="18"/>
    </row>
    <row r="53" spans="2:12">
      <c r="B53" s="83" t="s">
        <v>212</v>
      </c>
      <c r="C53" s="18"/>
      <c r="D53" s="18"/>
    </row>
    <row r="54" spans="2:12">
      <c r="B54" s="18" t="s">
        <v>26</v>
      </c>
      <c r="C54" s="18" t="s">
        <v>27</v>
      </c>
      <c r="D54" s="18">
        <f>POWER((1+D55),(D56-D57))</f>
        <v>1.0203426608958439</v>
      </c>
    </row>
    <row r="55" spans="2:12">
      <c r="B55" s="18" t="s">
        <v>73</v>
      </c>
      <c r="C55" s="18" t="s">
        <v>72</v>
      </c>
      <c r="D55" s="18">
        <f>C16</f>
        <v>1.0120122013141455E-2</v>
      </c>
    </row>
    <row r="56" spans="2:12">
      <c r="B56" s="18" t="s">
        <v>76</v>
      </c>
      <c r="C56" s="18" t="s">
        <v>161</v>
      </c>
      <c r="D56" s="18">
        <v>2017</v>
      </c>
    </row>
    <row r="57" spans="2:12">
      <c r="B57" s="18" t="s">
        <v>75</v>
      </c>
      <c r="C57" s="18" t="s">
        <v>74</v>
      </c>
      <c r="D57" s="18">
        <v>2015</v>
      </c>
    </row>
    <row r="58" spans="2:12">
      <c r="B58" s="18"/>
      <c r="C58" s="18"/>
      <c r="D58" s="18"/>
    </row>
    <row r="59" spans="2:12">
      <c r="B59" s="83" t="s">
        <v>216</v>
      </c>
      <c r="C59" s="18"/>
      <c r="D59" s="18"/>
    </row>
    <row r="60" spans="2:12">
      <c r="B60" s="18" t="s">
        <v>26</v>
      </c>
      <c r="C60" s="18" t="s">
        <v>27</v>
      </c>
      <c r="D60" s="18">
        <f>POWER((1+D61),(D62-D63))</f>
        <v>1.1992590241445524</v>
      </c>
      <c r="F60" s="34" t="s">
        <v>273</v>
      </c>
      <c r="G60" s="34">
        <v>69</v>
      </c>
      <c r="H60" s="34" t="s">
        <v>56</v>
      </c>
      <c r="I60" s="34"/>
      <c r="J60" s="34" t="s">
        <v>270</v>
      </c>
      <c r="K60" s="34">
        <v>39</v>
      </c>
      <c r="L60" s="34" t="s">
        <v>271</v>
      </c>
    </row>
    <row r="61" spans="2:12">
      <c r="B61" s="18" t="s">
        <v>73</v>
      </c>
      <c r="C61" s="18" t="s">
        <v>72</v>
      </c>
      <c r="D61" s="18">
        <f>C17</f>
        <v>1.0145783306081893E-2</v>
      </c>
      <c r="F61" s="34" t="s">
        <v>275</v>
      </c>
      <c r="G61" s="61">
        <f>(G60*D60)/H30</f>
        <v>56.826918071557003</v>
      </c>
      <c r="H61" s="34" t="s">
        <v>56</v>
      </c>
      <c r="I61" s="34"/>
      <c r="J61" s="34" t="s">
        <v>272</v>
      </c>
      <c r="K61" s="34">
        <f>K60*D19</f>
        <v>70.98</v>
      </c>
      <c r="L61" s="34" t="s">
        <v>56</v>
      </c>
    </row>
    <row r="62" spans="2:12">
      <c r="B62" s="18" t="s">
        <v>76</v>
      </c>
      <c r="C62" s="18" t="s">
        <v>161</v>
      </c>
      <c r="D62" s="18">
        <v>2017</v>
      </c>
      <c r="F62" s="34" t="s">
        <v>274</v>
      </c>
      <c r="G62" s="61">
        <f>G61/D19</f>
        <v>31.223581357998352</v>
      </c>
      <c r="H62" s="34" t="s">
        <v>271</v>
      </c>
      <c r="I62" s="34"/>
      <c r="J62" s="34"/>
      <c r="K62" s="34"/>
      <c r="L62" s="34"/>
    </row>
    <row r="63" spans="2:12">
      <c r="B63" s="18" t="s">
        <v>75</v>
      </c>
      <c r="C63" s="18" t="s">
        <v>74</v>
      </c>
      <c r="D63" s="18">
        <v>1999</v>
      </c>
      <c r="F63" s="34"/>
      <c r="G63" s="34"/>
      <c r="H63" s="34"/>
      <c r="I63" s="34"/>
      <c r="J63" s="34"/>
      <c r="K63" s="34"/>
      <c r="L63" s="34"/>
    </row>
    <row r="64" spans="2:12">
      <c r="F64" s="34"/>
      <c r="G64" s="34"/>
      <c r="H64" s="34"/>
      <c r="I64" s="34"/>
      <c r="J64" s="34"/>
      <c r="K64" s="34"/>
      <c r="L64" s="34"/>
    </row>
    <row r="65" spans="6:12">
      <c r="F65" s="34"/>
      <c r="G65" s="34"/>
      <c r="H65" s="34"/>
      <c r="I65" s="34"/>
      <c r="J65" s="34"/>
      <c r="K65" s="34"/>
      <c r="L65" s="34"/>
    </row>
    <row r="66" spans="6:12">
      <c r="F66" s="61">
        <f>(D60*69)/H30</f>
        <v>56.826918071557003</v>
      </c>
      <c r="G66" s="34" t="s">
        <v>276</v>
      </c>
      <c r="H66" s="34"/>
      <c r="I66" s="34"/>
      <c r="J66" s="34"/>
      <c r="K66" s="34"/>
      <c r="L66" s="34"/>
    </row>
    <row r="67" spans="6:12">
      <c r="F67" s="61">
        <f>F66*H30</f>
        <v>82.748872665974119</v>
      </c>
      <c r="G67" s="34" t="s">
        <v>265</v>
      </c>
      <c r="H67" s="34"/>
      <c r="I67" s="34"/>
      <c r="J67" s="34"/>
      <c r="K67" s="34"/>
      <c r="L67" s="34"/>
    </row>
  </sheetData>
  <hyperlinks>
    <hyperlink ref="A8" r:id="rId1"/>
  </hyperlinks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40"/>
  <sheetViews>
    <sheetView workbookViewId="0"/>
  </sheetViews>
  <sheetFormatPr baseColWidth="10" defaultRowHeight="14.25"/>
  <cols>
    <col min="1" max="16384" width="11.42578125" style="82"/>
  </cols>
  <sheetData>
    <row r="1" spans="1:1">
      <c r="A1" s="81"/>
    </row>
    <row r="2" spans="1:1" ht="15">
      <c r="A2" s="85" t="s">
        <v>294</v>
      </c>
    </row>
    <row r="3" spans="1:1" ht="15">
      <c r="A3" s="86" t="s">
        <v>305</v>
      </c>
    </row>
    <row r="4" spans="1:1" ht="15">
      <c r="A4" s="85"/>
    </row>
    <row r="5" spans="1:1" ht="15">
      <c r="A5" s="85"/>
    </row>
    <row r="6" spans="1:1" ht="15">
      <c r="A6" s="85"/>
    </row>
    <row r="7" spans="1:1" ht="15">
      <c r="A7" s="85"/>
    </row>
    <row r="8" spans="1:1" ht="15">
      <c r="A8" s="85"/>
    </row>
    <row r="9" spans="1:1" ht="15">
      <c r="A9" s="85"/>
    </row>
    <row r="10" spans="1:1" ht="15">
      <c r="A10" s="85"/>
    </row>
    <row r="11" spans="1:1" ht="15">
      <c r="A11" s="85"/>
    </row>
    <row r="12" spans="1:1" ht="15">
      <c r="A12" s="87" t="s">
        <v>295</v>
      </c>
    </row>
    <row r="13" spans="1:1" ht="15">
      <c r="A13" s="87" t="s">
        <v>296</v>
      </c>
    </row>
    <row r="14" spans="1:1" ht="15">
      <c r="A14" s="87" t="s">
        <v>297</v>
      </c>
    </row>
    <row r="15" spans="1:1" ht="15">
      <c r="A15" s="87"/>
    </row>
    <row r="16" spans="1:1" ht="15">
      <c r="A16" s="87" t="s">
        <v>298</v>
      </c>
    </row>
    <row r="17" spans="1:1" ht="15">
      <c r="A17" s="87" t="s">
        <v>299</v>
      </c>
    </row>
    <row r="18" spans="1:1" ht="15">
      <c r="A18" s="87" t="s">
        <v>300</v>
      </c>
    </row>
    <row r="19" spans="1:1" ht="15">
      <c r="A19" s="87" t="s">
        <v>301</v>
      </c>
    </row>
    <row r="20" spans="1:1" ht="15">
      <c r="A20" s="85"/>
    </row>
    <row r="21" spans="1:1" ht="15">
      <c r="A21" s="88" t="s">
        <v>302</v>
      </c>
    </row>
    <row r="22" spans="1:1" ht="15">
      <c r="A22" s="89"/>
    </row>
    <row r="23" spans="1:1" ht="15">
      <c r="A23" s="86" t="s">
        <v>303</v>
      </c>
    </row>
    <row r="24" spans="1:1" ht="15">
      <c r="A24" s="84" t="s">
        <v>308</v>
      </c>
    </row>
    <row r="25" spans="1:1" ht="15">
      <c r="A25" s="86" t="s">
        <v>304</v>
      </c>
    </row>
    <row r="26" spans="1:1" ht="15">
      <c r="A26" s="84" t="s">
        <v>306</v>
      </c>
    </row>
    <row r="27" spans="1:1">
      <c r="A27" s="81"/>
    </row>
    <row r="28" spans="1:1">
      <c r="A28" s="81"/>
    </row>
    <row r="29" spans="1:1">
      <c r="A29" s="81"/>
    </row>
    <row r="30" spans="1:1">
      <c r="A30" s="81"/>
    </row>
    <row r="31" spans="1:1">
      <c r="A31" s="81"/>
    </row>
    <row r="32" spans="1:1">
      <c r="A32" s="81"/>
    </row>
    <row r="33" spans="1:1">
      <c r="A33" s="81"/>
    </row>
    <row r="34" spans="1:1">
      <c r="A34" s="81"/>
    </row>
    <row r="35" spans="1:1">
      <c r="A35" s="81"/>
    </row>
    <row r="36" spans="1:1">
      <c r="A36" s="81"/>
    </row>
    <row r="37" spans="1:1">
      <c r="A37" s="81"/>
    </row>
    <row r="38" spans="1:1">
      <c r="A38" s="81"/>
    </row>
    <row r="39" spans="1:1">
      <c r="A39" s="81"/>
    </row>
    <row r="40" spans="1:1">
      <c r="A40" s="81"/>
    </row>
  </sheetData>
  <hyperlinks>
    <hyperlink ref="A21" r:id="rId1"/>
    <hyperlink ref="A24" r:id="rId2"/>
    <hyperlink ref="A26" r:id="rId3"/>
  </hyperlinks>
  <pageMargins left="0.7" right="0.7" top="0.78740157499999996" bottom="0.78740157499999996" header="0.3" footer="0.3"/>
  <drawing r:id="rId4"/>
</worksheet>
</file>

<file path=xl/worksheets/sheet9.xml><?xml version="1.0" encoding="utf-8"?>
<worksheet xmlns="http://schemas.openxmlformats.org/spreadsheetml/2006/main" xmlns:r="http://schemas.openxmlformats.org/officeDocument/2006/relationships">
  <dimension ref="A1:F16"/>
  <sheetViews>
    <sheetView zoomScale="85" zoomScaleNormal="85" workbookViewId="0">
      <selection activeCell="E3" sqref="E3"/>
    </sheetView>
  </sheetViews>
  <sheetFormatPr baseColWidth="10" defaultColWidth="11.42578125" defaultRowHeight="15"/>
  <cols>
    <col min="1" max="1" width="27.140625" bestFit="1" customWidth="1"/>
    <col min="4" max="4" width="20.140625" bestFit="1" customWidth="1"/>
    <col min="5" max="5" width="12.85546875" bestFit="1" customWidth="1"/>
    <col min="6" max="6" width="13.42578125" bestFit="1" customWidth="1"/>
  </cols>
  <sheetData>
    <row r="1" spans="1:6">
      <c r="A1" t="s">
        <v>107</v>
      </c>
      <c r="B1" t="s">
        <v>132</v>
      </c>
    </row>
    <row r="2" spans="1:6">
      <c r="A2" t="s">
        <v>114</v>
      </c>
      <c r="D2" s="11"/>
      <c r="E2" s="11" t="s">
        <v>102</v>
      </c>
      <c r="F2" s="11" t="s">
        <v>100</v>
      </c>
    </row>
    <row r="3" spans="1:6">
      <c r="A3" t="s">
        <v>116</v>
      </c>
      <c r="D3" s="11" t="s">
        <v>108</v>
      </c>
      <c r="E3">
        <v>1051.2</v>
      </c>
      <c r="F3">
        <v>1091.9000000000001</v>
      </c>
    </row>
    <row r="4" spans="1:6">
      <c r="D4" s="11" t="s">
        <v>5</v>
      </c>
      <c r="E4">
        <v>324.10000000000002</v>
      </c>
      <c r="F4">
        <v>345.9</v>
      </c>
    </row>
    <row r="5" spans="1:6">
      <c r="D5" s="11" t="s">
        <v>111</v>
      </c>
      <c r="E5">
        <f>E3+E4</f>
        <v>1375.3000000000002</v>
      </c>
      <c r="F5">
        <f>F3+F4</f>
        <v>1437.8000000000002</v>
      </c>
    </row>
    <row r="6" spans="1:6">
      <c r="D6" s="11"/>
    </row>
    <row r="7" spans="1:6">
      <c r="D7" s="11" t="s">
        <v>109</v>
      </c>
      <c r="E7">
        <v>157.5</v>
      </c>
      <c r="F7">
        <v>205.9</v>
      </c>
    </row>
    <row r="8" spans="1:6">
      <c r="D8" s="11" t="s">
        <v>29</v>
      </c>
      <c r="E8">
        <v>227</v>
      </c>
      <c r="F8">
        <v>260.3</v>
      </c>
    </row>
    <row r="9" spans="1:6">
      <c r="D9" s="11" t="s">
        <v>112</v>
      </c>
      <c r="E9">
        <f>E7+E8</f>
        <v>384.5</v>
      </c>
      <c r="F9">
        <f>F7+F8</f>
        <v>466.20000000000005</v>
      </c>
    </row>
    <row r="10" spans="1:6">
      <c r="D10" s="11"/>
    </row>
    <row r="11" spans="1:6">
      <c r="D11" s="11" t="s">
        <v>110</v>
      </c>
      <c r="E11">
        <f>E5+E9</f>
        <v>1759.8000000000002</v>
      </c>
      <c r="F11">
        <f>F5+F9</f>
        <v>1904.0000000000002</v>
      </c>
    </row>
    <row r="12" spans="1:6">
      <c r="D12" s="11" t="s">
        <v>113</v>
      </c>
      <c r="E12" t="s">
        <v>115</v>
      </c>
      <c r="F12" t="s">
        <v>117</v>
      </c>
    </row>
    <row r="14" spans="1:6">
      <c r="D14" s="11" t="s">
        <v>118</v>
      </c>
      <c r="E14" s="10">
        <f>E9/(E11+E9)</f>
        <v>0.17931259618523526</v>
      </c>
      <c r="F14" s="10">
        <f>F9/(F11+F9)</f>
        <v>0.19669226225634967</v>
      </c>
    </row>
    <row r="15" spans="1:6">
      <c r="D15" s="11" t="s">
        <v>119</v>
      </c>
      <c r="E15" s="10">
        <f>1-E14</f>
        <v>0.82068740381476468</v>
      </c>
      <c r="F15" s="10">
        <f t="shared" ref="F15" si="0">1-F14</f>
        <v>0.80330773774365039</v>
      </c>
    </row>
    <row r="16" spans="1:6">
      <c r="D16" s="11" t="s">
        <v>10</v>
      </c>
      <c r="E16">
        <v>2</v>
      </c>
      <c r="F16">
        <v>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Gesamtuebersicht</vt:lpstr>
      <vt:lpstr>AEA Methode</vt:lpstr>
      <vt:lpstr>Jenkinson Methode</vt:lpstr>
      <vt:lpstr>TUB Methode</vt:lpstr>
      <vt:lpstr>Flugzeugdaten</vt:lpstr>
      <vt:lpstr>Flugzeugwertvergleich</vt:lpstr>
      <vt:lpstr>Inflationsrate</vt:lpstr>
      <vt:lpstr>(c)</vt:lpstr>
      <vt:lpstr>AEA Auswertung</vt:lpstr>
      <vt:lpstr>Jenkinson Auswertung</vt:lpstr>
      <vt:lpstr>TUB Auswertung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Niklas Brüge</dc:creator>
  <cp:lastModifiedBy>Scholz</cp:lastModifiedBy>
  <dcterms:created xsi:type="dcterms:W3CDTF">2018-02-01T16:09:15Z</dcterms:created>
  <dcterms:modified xsi:type="dcterms:W3CDTF">2018-05-05T02:51:13Z</dcterms:modified>
</cp:coreProperties>
</file>