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uxa\Documents\TFM\Docs\"/>
    </mc:Choice>
  </mc:AlternateContent>
  <xr:revisionPtr revIDLastSave="0" documentId="13_ncr:1_{256B0A2A-CC72-4083-8A27-3361275C7285}" xr6:coauthVersionLast="47" xr6:coauthVersionMax="47" xr10:uidLastSave="{00000000-0000-0000-0000-000000000000}"/>
  <bookViews>
    <workbookView xWindow="-108" yWindow="-108" windowWidth="23256" windowHeight="12456" xr2:uid="{AB3CC98F-545A-4370-B80B-DD12095961D2}"/>
  </bookViews>
  <sheets>
    <sheet name="Tabla atm." sheetId="2" r:id="rId1"/>
    <sheet name="Conversion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3" l="1"/>
  <c r="H21" i="3"/>
  <c r="K15" i="3"/>
  <c r="E22" i="3"/>
  <c r="K23" i="3" l="1"/>
  <c r="H24" i="3"/>
  <c r="K24" i="3" s="1"/>
  <c r="H13" i="3"/>
  <c r="H16" i="3" s="1"/>
  <c r="K12" i="3"/>
  <c r="B12" i="3"/>
  <c r="B5" i="3"/>
  <c r="B19" i="3"/>
  <c r="B16" i="3"/>
  <c r="E15" i="3"/>
  <c r="E8" i="3"/>
  <c r="K3" i="3"/>
  <c r="K6" i="3" s="1"/>
  <c r="H4" i="3"/>
  <c r="H7" i="3" s="1"/>
  <c r="E4" i="3"/>
  <c r="B13" i="3"/>
  <c r="B9" i="3"/>
  <c r="B8" i="3"/>
  <c r="B4" i="3"/>
  <c r="B3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2" i="2"/>
  <c r="D3" i="2"/>
  <c r="D4" i="2"/>
  <c r="D5" i="2"/>
  <c r="D6" i="2"/>
  <c r="D7" i="2"/>
  <c r="D8" i="2"/>
  <c r="D11" i="2"/>
  <c r="D14" i="2"/>
  <c r="D15" i="2"/>
  <c r="D16" i="2"/>
  <c r="D17" i="2"/>
  <c r="D19" i="2"/>
  <c r="D20" i="2"/>
  <c r="D23" i="2"/>
  <c r="D29" i="2"/>
  <c r="D30" i="2"/>
  <c r="D31" i="2"/>
  <c r="D32" i="2"/>
  <c r="C4" i="2"/>
  <c r="C11" i="2"/>
  <c r="C12" i="2"/>
  <c r="C13" i="2"/>
  <c r="C16" i="2"/>
  <c r="C23" i="2"/>
  <c r="C24" i="2"/>
  <c r="C25" i="2"/>
  <c r="C32" i="2"/>
  <c r="C2" i="2"/>
  <c r="B25" i="2"/>
  <c r="D25" i="2" s="1"/>
  <c r="B26" i="2"/>
  <c r="C26" i="2" s="1"/>
  <c r="B27" i="2"/>
  <c r="C27" i="2" s="1"/>
  <c r="B28" i="2"/>
  <c r="C28" i="2" s="1"/>
  <c r="B29" i="2"/>
  <c r="C29" i="2" s="1"/>
  <c r="B30" i="2"/>
  <c r="C30" i="2" s="1"/>
  <c r="B31" i="2"/>
  <c r="C31" i="2" s="1"/>
  <c r="B32" i="2"/>
  <c r="B3" i="2"/>
  <c r="C3" i="2" s="1"/>
  <c r="B4" i="2"/>
  <c r="B5" i="2"/>
  <c r="C5" i="2" s="1"/>
  <c r="B6" i="2"/>
  <c r="C6" i="2" s="1"/>
  <c r="B7" i="2"/>
  <c r="C7" i="2" s="1"/>
  <c r="B8" i="2"/>
  <c r="C8" i="2" s="1"/>
  <c r="B9" i="2"/>
  <c r="D9" i="2" s="1"/>
  <c r="B10" i="2"/>
  <c r="D10" i="2" s="1"/>
  <c r="B11" i="2"/>
  <c r="B12" i="2"/>
  <c r="D12" i="2" s="1"/>
  <c r="B13" i="2"/>
  <c r="D13" i="2" s="1"/>
  <c r="B14" i="2"/>
  <c r="C14" i="2" s="1"/>
  <c r="B15" i="2"/>
  <c r="C15" i="2" s="1"/>
  <c r="B16" i="2"/>
  <c r="B17" i="2"/>
  <c r="C17" i="2" s="1"/>
  <c r="B18" i="2"/>
  <c r="D18" i="2" s="1"/>
  <c r="B19" i="2"/>
  <c r="C19" i="2" s="1"/>
  <c r="B20" i="2"/>
  <c r="C20" i="2" s="1"/>
  <c r="B21" i="2"/>
  <c r="D21" i="2" s="1"/>
  <c r="B22" i="2"/>
  <c r="C22" i="2" s="1"/>
  <c r="B23" i="2"/>
  <c r="B24" i="2"/>
  <c r="D24" i="2" s="1"/>
  <c r="B2" i="2"/>
  <c r="D2" i="2" s="1"/>
  <c r="K7" i="3" l="1"/>
  <c r="K16" i="3"/>
  <c r="C10" i="2"/>
  <c r="C9" i="2"/>
  <c r="D26" i="2"/>
  <c r="D28" i="2"/>
  <c r="C18" i="2"/>
  <c r="C21" i="2"/>
  <c r="D27" i="2"/>
  <c r="D22" i="2"/>
</calcChain>
</file>

<file path=xl/sharedStrings.xml><?xml version="1.0" encoding="utf-8"?>
<sst xmlns="http://schemas.openxmlformats.org/spreadsheetml/2006/main" count="101" uniqueCount="50">
  <si>
    <t>Altitud (m)</t>
  </si>
  <si>
    <t>Presión (mbar)</t>
  </si>
  <si>
    <t>Presión (mmHg)</t>
  </si>
  <si>
    <t>Presión (kPa)</t>
  </si>
  <si>
    <t>Densidad (kg/m3)</t>
  </si>
  <si>
    <t>Temp (ºC)</t>
  </si>
  <si>
    <t>Temp (K)</t>
  </si>
  <si>
    <t>Densidad (slug/ft3)</t>
  </si>
  <si>
    <t>Conversor velocidades</t>
  </si>
  <si>
    <t>m/s</t>
  </si>
  <si>
    <t>ft/s</t>
  </si>
  <si>
    <t>km/h</t>
  </si>
  <si>
    <t>Calculadora Mach</t>
  </si>
  <si>
    <t>Velocidad (m/s)</t>
  </si>
  <si>
    <t>Vel sonido (m/s)</t>
  </si>
  <si>
    <t>Mach</t>
  </si>
  <si>
    <t>Las densidades y temperaturas las saqué de aquí:</t>
  </si>
  <si>
    <t>https://www.translatorscafe.com/unit-converter/es-ES/calculator/altitude/</t>
  </si>
  <si>
    <t>Cálculo CT</t>
  </si>
  <si>
    <t>Thrust (kN)</t>
  </si>
  <si>
    <t>rpm</t>
  </si>
  <si>
    <t>rps</t>
  </si>
  <si>
    <t>D (m)</t>
  </si>
  <si>
    <t>Dens (kg/m3)</t>
  </si>
  <si>
    <t>CT</t>
  </si>
  <si>
    <t>CARACTERÍSTICAS IAE V2500</t>
  </si>
  <si>
    <t>Cálculo CP</t>
  </si>
  <si>
    <t>J</t>
  </si>
  <si>
    <t>CP</t>
  </si>
  <si>
    <t>Calculadora Reynolds</t>
  </si>
  <si>
    <t>Diámetro (m)</t>
  </si>
  <si>
    <t>Re</t>
  </si>
  <si>
    <t>Visc dinam (Pa*s)</t>
  </si>
  <si>
    <t>kg/m3</t>
  </si>
  <si>
    <t>slug/ft3</t>
  </si>
  <si>
    <t>millas/h</t>
  </si>
  <si>
    <t>formulas ref:</t>
  </si>
  <si>
    <t>https://groups.google.com/g/openvsp/c/z64AgtHZO_Q</t>
  </si>
  <si>
    <t xml:space="preserve">Vel max </t>
  </si>
  <si>
    <t>Alcance</t>
  </si>
  <si>
    <t>(con peso máximo)</t>
  </si>
  <si>
    <t>kg</t>
  </si>
  <si>
    <t>Altitud media</t>
  </si>
  <si>
    <t>m</t>
  </si>
  <si>
    <t>Calculadora Reynolds ref</t>
  </si>
  <si>
    <t>Cuerda (m)</t>
  </si>
  <si>
    <t>ref cálculo visc cinematica (v=mu/rho)</t>
  </si>
  <si>
    <t>https://en.wikipedia.org/wiki/Reynolds_number#:~:text=Flow%20around%20airfoils,-Reynolds%20numbers%20are&amp;text=Fluid%20dynamicists%20define%20the%20chord,the%20atmosphere%20at%20sea%20level.</t>
  </si>
  <si>
    <t>ref reynolds ref</t>
  </si>
  <si>
    <t>https://www.caloryfrio.com/calefaccion/calefaccion-instalaciones-componentes/ley-de-la-viscosidad-de-newton-ecuacion-fundamental-y-explicacion.html#:~:text=Se%20usa%20mucho%20la%20viscosidad,%3A%20%CF%86%3D%20%C2%B5%20%2F%CF%81.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</si>
</sst>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0.000000000"/>
    <numFmt numFmtId="167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5" fontId="0" fillId="0" borderId="2" xfId="0" applyNumberFormat="1" applyBorder="1"/>
    <xf numFmtId="2" fontId="0" fillId="0" borderId="0" xfId="0" applyNumberFormat="1"/>
    <xf numFmtId="0" fontId="0" fillId="0" borderId="1" xfId="0" applyBorder="1"/>
    <xf numFmtId="2" fontId="0" fillId="0" borderId="2" xfId="0" applyNumberFormat="1" applyBorder="1"/>
    <xf numFmtId="164" fontId="0" fillId="0" borderId="2" xfId="0" applyNumberFormat="1" applyBorder="1"/>
    <xf numFmtId="0" fontId="0" fillId="0" borderId="2" xfId="0" applyBorder="1"/>
    <xf numFmtId="0" fontId="0" fillId="0" borderId="3" xfId="0" applyBorder="1"/>
    <xf numFmtId="166" fontId="0" fillId="0" borderId="2" xfId="0" applyNumberFormat="1" applyBorder="1"/>
    <xf numFmtId="0" fontId="0" fillId="2" borderId="0" xfId="0" applyFill="1"/>
    <xf numFmtId="0" fontId="0" fillId="5" borderId="0" xfId="0" applyFill="1"/>
    <xf numFmtId="166" fontId="0" fillId="0" borderId="0" xfId="0" applyNumberFormat="1"/>
    <xf numFmtId="164" fontId="0" fillId="6" borderId="0" xfId="0" applyNumberFormat="1" applyFill="1"/>
    <xf numFmtId="166" fontId="0" fillId="6" borderId="0" xfId="0" applyNumberFormat="1" applyFill="1"/>
    <xf numFmtId="0" fontId="0" fillId="8" borderId="0" xfId="0" applyFill="1"/>
    <xf numFmtId="0" fontId="1" fillId="0" borderId="0" xfId="0" applyFont="1"/>
    <xf numFmtId="0" fontId="0" fillId="10" borderId="0" xfId="0" applyFill="1"/>
    <xf numFmtId="167" fontId="0" fillId="2" borderId="0" xfId="0" applyNumberFormat="1" applyFill="1"/>
    <xf numFmtId="167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9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15240</xdr:colOff>
      <xdr:row>1</xdr:row>
      <xdr:rowOff>15240</xdr:rowOff>
    </xdr:from>
    <xdr:to>
      <xdr:col>18</xdr:col>
      <xdr:colOff>229031</xdr:colOff>
      <xdr:row>20</xdr:row>
      <xdr:rowOff>23162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CCF4E4-0246-4E7C-8F18-ADDD951BF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0080" y="198120"/>
          <a:ext cx="4968671" cy="3482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9B5A1-4E95-4A34-947C-DBD8EF4C5C56}">
  <dimension ref="A1:H35"/>
  <sheetViews>
    <sheetView tabSelected="1" topLeftCell="A22" workbookViewId="0">
      <selection activeCell="E20" sqref="E20"/>
    </sheetView>
  </sheetViews>
  <sheetFormatPr baseColWidth="10" defaultRowHeight="14.4" x14ac:dyDescent="0.3"/>
  <cols>
    <col min="1" max="1" width="14.109375" customWidth="1"/>
    <col min="2" max="2" width="16.88671875" customWidth="1"/>
    <col min="3" max="3" width="15.88671875" customWidth="1"/>
    <col min="4" max="4" width="12.6640625" customWidth="1"/>
    <col min="5" max="6" width="16.77734375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</v>
      </c>
      <c r="G1" s="1" t="s">
        <v>5</v>
      </c>
      <c r="H1" s="1" t="s">
        <v>6</v>
      </c>
    </row>
    <row r="2" spans="1:8" x14ac:dyDescent="0.3">
      <c r="A2" s="6">
        <v>0</v>
      </c>
      <c r="B2" s="7">
        <f t="shared" ref="B2:B32" si="0">1013.25*(1-0.0000225577*A2)^5.2559</f>
        <v>1013.25</v>
      </c>
      <c r="C2" s="7">
        <f>B2*0.750062</f>
        <v>760.00032150000004</v>
      </c>
      <c r="D2" s="4">
        <f>B2*0.1</f>
        <v>101.325</v>
      </c>
      <c r="E2" s="8">
        <v>1.2250000000000001</v>
      </c>
      <c r="F2" s="11">
        <f>E2*0.0019577143</f>
        <v>2.3982000174999998E-3</v>
      </c>
      <c r="G2" s="9">
        <v>15</v>
      </c>
      <c r="H2" s="10">
        <f>G2+273.15</f>
        <v>288.14999999999998</v>
      </c>
    </row>
    <row r="3" spans="1:8" x14ac:dyDescent="0.3">
      <c r="A3">
        <v>500</v>
      </c>
      <c r="B3" s="5">
        <f t="shared" si="0"/>
        <v>954.60812372539215</v>
      </c>
      <c r="C3" s="5">
        <f t="shared" ref="C3:C32" si="1">B3*0.750062</f>
        <v>716.01527849771514</v>
      </c>
      <c r="D3" s="3">
        <f t="shared" ref="D3:D32" si="2">B3*0.1</f>
        <v>95.460812372539223</v>
      </c>
      <c r="E3" s="2">
        <v>1.167273</v>
      </c>
      <c r="F3" s="14">
        <f t="shared" ref="F3:F32" si="3">E3*0.0019577143</f>
        <v>2.2851870441038999E-3</v>
      </c>
      <c r="G3">
        <v>11.8</v>
      </c>
      <c r="H3">
        <f t="shared" ref="H3:H32" si="4">G3+273.15</f>
        <v>284.95</v>
      </c>
    </row>
    <row r="4" spans="1:8" x14ac:dyDescent="0.3">
      <c r="A4">
        <v>1000</v>
      </c>
      <c r="B4" s="5">
        <f t="shared" si="0"/>
        <v>898.74519415773659</v>
      </c>
      <c r="C4" s="5">
        <f t="shared" si="1"/>
        <v>674.11461782034019</v>
      </c>
      <c r="D4" s="3">
        <f t="shared" si="2"/>
        <v>89.874519415773662</v>
      </c>
      <c r="E4" s="2">
        <v>1.1116600000000001</v>
      </c>
      <c r="F4" s="14">
        <f t="shared" si="3"/>
        <v>2.176312678738E-3</v>
      </c>
      <c r="G4">
        <v>8.5</v>
      </c>
      <c r="H4">
        <f t="shared" si="4"/>
        <v>281.64999999999998</v>
      </c>
    </row>
    <row r="5" spans="1:8" x14ac:dyDescent="0.3">
      <c r="A5">
        <v>1500</v>
      </c>
      <c r="B5" s="5">
        <f t="shared" si="0"/>
        <v>845.55932311432036</v>
      </c>
      <c r="C5" s="5">
        <f t="shared" si="1"/>
        <v>634.22191701377335</v>
      </c>
      <c r="D5" s="3">
        <f t="shared" si="2"/>
        <v>84.555932311432045</v>
      </c>
      <c r="E5" s="2">
        <v>1.0581050000000001</v>
      </c>
      <c r="F5" s="14">
        <f t="shared" si="3"/>
        <v>2.0714672894015002E-3</v>
      </c>
      <c r="G5">
        <v>5.3</v>
      </c>
      <c r="H5">
        <f t="shared" si="4"/>
        <v>278.45</v>
      </c>
    </row>
    <row r="6" spans="1:8" x14ac:dyDescent="0.3">
      <c r="A6">
        <v>2000</v>
      </c>
      <c r="B6" s="5">
        <f t="shared" si="0"/>
        <v>794.9512403775351</v>
      </c>
      <c r="C6" s="5">
        <f t="shared" si="1"/>
        <v>596.26271726005473</v>
      </c>
      <c r="D6" s="3">
        <f t="shared" si="2"/>
        <v>79.495124037753513</v>
      </c>
      <c r="E6" s="2">
        <v>1.0065539999999999</v>
      </c>
      <c r="F6" s="14">
        <f t="shared" si="3"/>
        <v>1.9705451595221999E-3</v>
      </c>
      <c r="G6">
        <v>2</v>
      </c>
      <c r="H6">
        <f t="shared" si="4"/>
        <v>275.14999999999998</v>
      </c>
    </row>
    <row r="7" spans="1:8" x14ac:dyDescent="0.3">
      <c r="A7">
        <v>2500</v>
      </c>
      <c r="B7" s="5">
        <f t="shared" si="0"/>
        <v>746.82425581190307</v>
      </c>
      <c r="C7" s="5">
        <f t="shared" si="1"/>
        <v>560.16449496278767</v>
      </c>
      <c r="D7" s="3">
        <f t="shared" si="2"/>
        <v>74.682425581190316</v>
      </c>
      <c r="E7" s="2">
        <v>0.95695399999999997</v>
      </c>
      <c r="F7" s="14">
        <f t="shared" si="3"/>
        <v>1.8734425302421999E-3</v>
      </c>
      <c r="G7">
        <v>-1.2</v>
      </c>
      <c r="H7">
        <f t="shared" si="4"/>
        <v>271.95</v>
      </c>
    </row>
    <row r="8" spans="1:8" x14ac:dyDescent="0.3">
      <c r="A8">
        <v>3000</v>
      </c>
      <c r="B8" s="5">
        <f t="shared" si="0"/>
        <v>701.08422159409963</v>
      </c>
      <c r="C8" s="5">
        <f t="shared" si="1"/>
        <v>525.85663341731356</v>
      </c>
      <c r="D8" s="3">
        <f t="shared" si="2"/>
        <v>70.108422159409969</v>
      </c>
      <c r="E8" s="2">
        <v>0.90925400000000001</v>
      </c>
      <c r="F8" s="14">
        <f t="shared" si="3"/>
        <v>1.7800595581321998E-3</v>
      </c>
      <c r="G8">
        <v>-4.5</v>
      </c>
      <c r="H8">
        <f t="shared" si="4"/>
        <v>268.64999999999998</v>
      </c>
    </row>
    <row r="9" spans="1:8" x14ac:dyDescent="0.3">
      <c r="A9">
        <v>3500</v>
      </c>
      <c r="B9" s="5">
        <f t="shared" si="0"/>
        <v>657.63949455698389</v>
      </c>
      <c r="C9" s="5">
        <f t="shared" si="1"/>
        <v>493.27039456640046</v>
      </c>
      <c r="D9" s="3">
        <f t="shared" si="2"/>
        <v>65.763949455698395</v>
      </c>
      <c r="E9" s="2">
        <v>0.863402</v>
      </c>
      <c r="F9" s="14">
        <f t="shared" si="3"/>
        <v>1.6902944420485999E-3</v>
      </c>
      <c r="G9">
        <v>-7.7</v>
      </c>
      <c r="H9">
        <f t="shared" si="4"/>
        <v>265.45</v>
      </c>
    </row>
    <row r="10" spans="1:8" x14ac:dyDescent="0.3">
      <c r="A10">
        <v>4000</v>
      </c>
      <c r="B10" s="5">
        <f t="shared" si="0"/>
        <v>616.4008986486308</v>
      </c>
      <c r="C10" s="5">
        <f t="shared" si="1"/>
        <v>462.3388908421893</v>
      </c>
      <c r="D10" s="3">
        <f t="shared" si="2"/>
        <v>61.640089864863086</v>
      </c>
      <c r="E10" s="2">
        <v>0.81934600000000002</v>
      </c>
      <c r="F10" s="14">
        <f t="shared" si="3"/>
        <v>1.6040453808477998E-3</v>
      </c>
      <c r="G10">
        <v>-11</v>
      </c>
      <c r="H10">
        <f t="shared" si="4"/>
        <v>262.14999999999998</v>
      </c>
    </row>
    <row r="11" spans="1:8" x14ac:dyDescent="0.3">
      <c r="A11">
        <v>4500</v>
      </c>
      <c r="B11" s="5">
        <f t="shared" si="0"/>
        <v>577.28168750741679</v>
      </c>
      <c r="C11" s="5">
        <f t="shared" si="1"/>
        <v>432.99705709518804</v>
      </c>
      <c r="D11" s="3">
        <f t="shared" si="2"/>
        <v>57.728168750741681</v>
      </c>
      <c r="E11" s="2">
        <v>0.77703800000000001</v>
      </c>
      <c r="F11" s="14">
        <f t="shared" si="3"/>
        <v>1.5212184042433998E-3</v>
      </c>
      <c r="G11">
        <v>-14.2</v>
      </c>
      <c r="H11">
        <f t="shared" si="4"/>
        <v>258.95</v>
      </c>
    </row>
    <row r="12" spans="1:8" x14ac:dyDescent="0.3">
      <c r="A12" s="6">
        <v>5000</v>
      </c>
      <c r="B12" s="7">
        <f t="shared" si="0"/>
        <v>540.19750715419775</v>
      </c>
      <c r="C12" s="7">
        <f t="shared" si="1"/>
        <v>405.18162261109188</v>
      </c>
      <c r="D12" s="4">
        <f t="shared" si="2"/>
        <v>54.019750715419775</v>
      </c>
      <c r="E12" s="8">
        <v>0.73642799999999997</v>
      </c>
      <c r="F12" s="11">
        <f t="shared" si="3"/>
        <v>1.4417156265203999E-3</v>
      </c>
      <c r="G12" s="9">
        <v>-17.5</v>
      </c>
      <c r="H12" s="10">
        <f t="shared" si="4"/>
        <v>255.64999999999998</v>
      </c>
    </row>
    <row r="13" spans="1:8" x14ac:dyDescent="0.3">
      <c r="A13">
        <v>5500</v>
      </c>
      <c r="B13" s="5">
        <f t="shared" si="0"/>
        <v>505.06635880267248</v>
      </c>
      <c r="C13" s="5">
        <f t="shared" si="1"/>
        <v>378.83108321625014</v>
      </c>
      <c r="D13" s="3">
        <f t="shared" si="2"/>
        <v>50.506635880267254</v>
      </c>
      <c r="E13" s="2">
        <v>0.69746799999999998</v>
      </c>
      <c r="F13" s="14">
        <f t="shared" si="3"/>
        <v>1.3654430773923998E-3</v>
      </c>
      <c r="G13">
        <v>-20.7</v>
      </c>
      <c r="H13">
        <f t="shared" si="4"/>
        <v>252.45</v>
      </c>
    </row>
    <row r="14" spans="1:8" x14ac:dyDescent="0.3">
      <c r="A14">
        <v>6000</v>
      </c>
      <c r="B14" s="5">
        <f t="shared" si="0"/>
        <v>471.80856178902553</v>
      </c>
      <c r="C14" s="5">
        <f t="shared" si="1"/>
        <v>353.88567347260005</v>
      </c>
      <c r="D14" s="3">
        <f t="shared" si="2"/>
        <v>47.180856178902559</v>
      </c>
      <c r="E14" s="2">
        <v>0.660111</v>
      </c>
      <c r="F14" s="14">
        <f t="shared" si="3"/>
        <v>1.2923087442872998E-3</v>
      </c>
      <c r="G14">
        <v>-24</v>
      </c>
      <c r="H14">
        <f t="shared" si="4"/>
        <v>249.14999999999998</v>
      </c>
    </row>
    <row r="15" spans="1:8" x14ac:dyDescent="0.3">
      <c r="A15">
        <v>6500</v>
      </c>
      <c r="B15" s="5">
        <f t="shared" si="0"/>
        <v>440.34671662197638</v>
      </c>
      <c r="C15" s="5">
        <f t="shared" si="1"/>
        <v>330.28733896291283</v>
      </c>
      <c r="D15" s="3">
        <f t="shared" si="2"/>
        <v>44.034671662197638</v>
      </c>
      <c r="E15" s="2">
        <v>0.624309</v>
      </c>
      <c r="F15" s="14">
        <f t="shared" si="3"/>
        <v>1.2222186569187E-3</v>
      </c>
      <c r="G15">
        <v>-27.2</v>
      </c>
      <c r="H15">
        <f t="shared" si="4"/>
        <v>245.95</v>
      </c>
    </row>
    <row r="16" spans="1:8" x14ac:dyDescent="0.3">
      <c r="A16">
        <v>7000</v>
      </c>
      <c r="B16" s="5">
        <f t="shared" si="0"/>
        <v>410.60566815439233</v>
      </c>
      <c r="C16" s="5">
        <f t="shared" si="1"/>
        <v>307.97970866721982</v>
      </c>
      <c r="D16" s="3">
        <f t="shared" si="2"/>
        <v>41.060566815439238</v>
      </c>
      <c r="E16" s="2">
        <v>0.59001800000000004</v>
      </c>
      <c r="F16" s="14">
        <f t="shared" si="3"/>
        <v>1.1550866758574E-3</v>
      </c>
      <c r="G16">
        <v>-30.5</v>
      </c>
      <c r="H16">
        <f t="shared" si="4"/>
        <v>242.64999999999998</v>
      </c>
    </row>
    <row r="17" spans="1:8" x14ac:dyDescent="0.3">
      <c r="A17">
        <v>7500</v>
      </c>
      <c r="B17" s="5">
        <f t="shared" si="0"/>
        <v>382.51246887763568</v>
      </c>
      <c r="C17" s="5">
        <f t="shared" si="1"/>
        <v>286.90806743129718</v>
      </c>
      <c r="D17" s="3">
        <f t="shared" si="2"/>
        <v>38.251246887763571</v>
      </c>
      <c r="E17" s="2">
        <v>0.55719099999999999</v>
      </c>
      <c r="F17" s="14">
        <f t="shared" si="3"/>
        <v>1.0908207885312999E-3</v>
      </c>
      <c r="G17">
        <v>-33.700000000000003</v>
      </c>
      <c r="H17">
        <f t="shared" si="4"/>
        <v>239.45</v>
      </c>
    </row>
    <row r="18" spans="1:8" x14ac:dyDescent="0.3">
      <c r="A18">
        <v>8000</v>
      </c>
      <c r="B18" s="5">
        <f t="shared" si="0"/>
        <v>355.99634233985898</v>
      </c>
      <c r="C18" s="5">
        <f t="shared" si="1"/>
        <v>267.01932852811933</v>
      </c>
      <c r="D18" s="3">
        <f t="shared" si="2"/>
        <v>35.599634233985903</v>
      </c>
      <c r="E18" s="2">
        <v>0.52578499999999995</v>
      </c>
      <c r="F18" s="14">
        <f t="shared" si="3"/>
        <v>1.0293368132254998E-3</v>
      </c>
      <c r="G18">
        <v>-36.9</v>
      </c>
      <c r="H18">
        <f t="shared" si="4"/>
        <v>236.24999999999997</v>
      </c>
    </row>
    <row r="19" spans="1:8" x14ac:dyDescent="0.3">
      <c r="A19">
        <v>8500</v>
      </c>
      <c r="B19" s="5">
        <f t="shared" si="0"/>
        <v>330.98864668947209</v>
      </c>
      <c r="C19" s="5">
        <f t="shared" si="1"/>
        <v>248.26200631319881</v>
      </c>
      <c r="D19" s="3">
        <f t="shared" si="2"/>
        <v>33.098864668947208</v>
      </c>
      <c r="E19" s="2">
        <v>0.49575599999999997</v>
      </c>
      <c r="F19" s="14">
        <f t="shared" si="3"/>
        <v>9.7054861051079991E-4</v>
      </c>
      <c r="G19">
        <v>-40.200000000000003</v>
      </c>
      <c r="H19">
        <f t="shared" si="4"/>
        <v>232.95</v>
      </c>
    </row>
    <row r="20" spans="1:8" x14ac:dyDescent="0.3">
      <c r="A20">
        <v>9000</v>
      </c>
      <c r="B20" s="5">
        <f t="shared" si="0"/>
        <v>307.42283834505247</v>
      </c>
      <c r="C20" s="5">
        <f t="shared" si="1"/>
        <v>230.58618897476674</v>
      </c>
      <c r="D20" s="3">
        <f t="shared" si="2"/>
        <v>30.742283834505248</v>
      </c>
      <c r="E20" s="2">
        <v>0.46706199999999998</v>
      </c>
      <c r="F20" s="14">
        <f t="shared" si="3"/>
        <v>9.1437395638659992E-4</v>
      </c>
      <c r="G20">
        <v>-43.4</v>
      </c>
      <c r="H20">
        <f t="shared" si="4"/>
        <v>229.74999999999997</v>
      </c>
    </row>
    <row r="21" spans="1:8" x14ac:dyDescent="0.3">
      <c r="A21">
        <v>9500</v>
      </c>
      <c r="B21" s="5">
        <f t="shared" si="0"/>
        <v>285.23443579298669</v>
      </c>
      <c r="C21" s="5">
        <f t="shared" si="1"/>
        <v>213.94351137975917</v>
      </c>
      <c r="D21" s="3">
        <f t="shared" si="2"/>
        <v>28.523443579298672</v>
      </c>
      <c r="E21" s="2">
        <v>0.43966</v>
      </c>
      <c r="F21" s="14">
        <f t="shared" si="3"/>
        <v>8.6072866913799995E-4</v>
      </c>
      <c r="G21">
        <v>-46.7</v>
      </c>
      <c r="H21">
        <f t="shared" si="4"/>
        <v>226.45</v>
      </c>
    </row>
    <row r="22" spans="1:8" x14ac:dyDescent="0.3">
      <c r="A22" s="6">
        <v>10000</v>
      </c>
      <c r="B22" s="7">
        <f t="shared" si="0"/>
        <v>264.36098351416626</v>
      </c>
      <c r="C22" s="7">
        <f t="shared" si="1"/>
        <v>198.28712801660257</v>
      </c>
      <c r="D22" s="4">
        <f t="shared" si="2"/>
        <v>26.436098351416629</v>
      </c>
      <c r="E22" s="8">
        <v>0.41350900000000002</v>
      </c>
      <c r="F22" s="11">
        <f t="shared" si="3"/>
        <v>8.0953248247869996E-4</v>
      </c>
      <c r="G22" s="9">
        <v>-49.9</v>
      </c>
      <c r="H22" s="10">
        <f t="shared" si="4"/>
        <v>223.24999999999997</v>
      </c>
    </row>
    <row r="23" spans="1:8" x14ac:dyDescent="0.3">
      <c r="A23">
        <v>10500</v>
      </c>
      <c r="B23" s="5">
        <f t="shared" si="0"/>
        <v>244.7420160410993</v>
      </c>
      <c r="C23" s="5">
        <f t="shared" si="1"/>
        <v>183.57168603581903</v>
      </c>
      <c r="D23" s="3">
        <f t="shared" si="2"/>
        <v>24.474201604109933</v>
      </c>
      <c r="E23" s="2">
        <v>0.388569</v>
      </c>
      <c r="F23" s="14">
        <f t="shared" si="3"/>
        <v>7.6070708783669994E-4</v>
      </c>
      <c r="G23">
        <v>-53.1</v>
      </c>
      <c r="H23">
        <f t="shared" si="4"/>
        <v>220.04999999999998</v>
      </c>
    </row>
    <row r="24" spans="1:8" x14ac:dyDescent="0.3">
      <c r="A24">
        <v>11000</v>
      </c>
      <c r="B24" s="5">
        <f t="shared" si="0"/>
        <v>226.31902214682393</v>
      </c>
      <c r="C24" s="5">
        <f t="shared" si="1"/>
        <v>169.75329838949105</v>
      </c>
      <c r="D24" s="3">
        <f t="shared" si="2"/>
        <v>22.631902214682395</v>
      </c>
      <c r="E24" s="15">
        <v>0.36480000000000001</v>
      </c>
      <c r="F24" s="16">
        <f t="shared" si="3"/>
        <v>7.1417417663999997E-4</v>
      </c>
      <c r="G24">
        <v>-56.4</v>
      </c>
      <c r="H24">
        <f t="shared" si="4"/>
        <v>216.74999999999997</v>
      </c>
    </row>
    <row r="25" spans="1:8" x14ac:dyDescent="0.3">
      <c r="A25">
        <v>11500</v>
      </c>
      <c r="B25" s="5">
        <f t="shared" si="0"/>
        <v>209.03540916705316</v>
      </c>
      <c r="C25" s="5">
        <f t="shared" si="1"/>
        <v>156.78951707065823</v>
      </c>
      <c r="D25" s="3">
        <f t="shared" si="2"/>
        <v>20.903540916705317</v>
      </c>
      <c r="E25" s="2">
        <v>0.33742800000000001</v>
      </c>
      <c r="F25" s="14">
        <f t="shared" si="3"/>
        <v>6.6058762082039999E-4</v>
      </c>
      <c r="G25">
        <v>-56.5</v>
      </c>
      <c r="H25">
        <f t="shared" si="4"/>
        <v>216.64999999999998</v>
      </c>
    </row>
    <row r="26" spans="1:8" x14ac:dyDescent="0.3">
      <c r="A26">
        <v>12000</v>
      </c>
      <c r="B26" s="5">
        <f t="shared" si="0"/>
        <v>192.83646745701049</v>
      </c>
      <c r="C26" s="5">
        <f t="shared" si="1"/>
        <v>144.6393064537402</v>
      </c>
      <c r="D26" s="3">
        <f t="shared" si="2"/>
        <v>19.283646745701049</v>
      </c>
      <c r="E26" s="15">
        <v>0.31193599999999999</v>
      </c>
      <c r="F26" s="16">
        <f t="shared" si="3"/>
        <v>6.1068156788479991E-4</v>
      </c>
      <c r="G26">
        <v>-56.5</v>
      </c>
      <c r="H26">
        <f t="shared" si="4"/>
        <v>216.64999999999998</v>
      </c>
    </row>
    <row r="27" spans="1:8" x14ac:dyDescent="0.3">
      <c r="A27">
        <v>12500</v>
      </c>
      <c r="B27" s="5">
        <f t="shared" si="0"/>
        <v>177.6693349844607</v>
      </c>
      <c r="C27" s="5">
        <f t="shared" si="1"/>
        <v>133.26301673711455</v>
      </c>
      <c r="D27" s="3">
        <f t="shared" si="2"/>
        <v>17.766933498446072</v>
      </c>
      <c r="E27" s="2">
        <v>0.28837299999999999</v>
      </c>
      <c r="F27" s="14">
        <f t="shared" si="3"/>
        <v>5.6455194583389997E-4</v>
      </c>
      <c r="G27">
        <v>-56.5</v>
      </c>
      <c r="H27">
        <f t="shared" si="4"/>
        <v>216.64999999999998</v>
      </c>
    </row>
    <row r="28" spans="1:8" x14ac:dyDescent="0.3">
      <c r="A28">
        <v>13000</v>
      </c>
      <c r="B28" s="5">
        <f t="shared" si="0"/>
        <v>163.48296206047405</v>
      </c>
      <c r="C28" s="5">
        <f t="shared" si="1"/>
        <v>122.62235748900329</v>
      </c>
      <c r="D28" s="3">
        <f t="shared" si="2"/>
        <v>16.348296206047404</v>
      </c>
      <c r="E28" s="2">
        <v>0.266594</v>
      </c>
      <c r="F28" s="14">
        <f t="shared" si="3"/>
        <v>5.2191488609419992E-4</v>
      </c>
      <c r="G28">
        <v>-56.5</v>
      </c>
      <c r="H28">
        <f t="shared" si="4"/>
        <v>216.64999999999998</v>
      </c>
    </row>
    <row r="29" spans="1:8" x14ac:dyDescent="0.3">
      <c r="A29">
        <v>13500</v>
      </c>
      <c r="B29" s="5">
        <f t="shared" si="0"/>
        <v>150.22807620950672</v>
      </c>
      <c r="C29" s="5">
        <f t="shared" si="1"/>
        <v>112.68037129785503</v>
      </c>
      <c r="D29" s="3">
        <f t="shared" si="2"/>
        <v>15.022807620950672</v>
      </c>
      <c r="E29" s="2">
        <v>0.24646199999999999</v>
      </c>
      <c r="F29" s="14">
        <f t="shared" si="3"/>
        <v>4.8250218180659994E-4</v>
      </c>
      <c r="G29">
        <v>-56.5</v>
      </c>
      <c r="H29">
        <f t="shared" si="4"/>
        <v>216.64999999999998</v>
      </c>
    </row>
    <row r="30" spans="1:8" x14ac:dyDescent="0.3">
      <c r="A30">
        <v>14000</v>
      </c>
      <c r="B30" s="5">
        <f t="shared" si="0"/>
        <v>137.85714718042237</v>
      </c>
      <c r="C30" s="5">
        <f t="shared" si="1"/>
        <v>103.40140752844196</v>
      </c>
      <c r="D30" s="3">
        <f t="shared" si="2"/>
        <v>13.785714718042238</v>
      </c>
      <c r="E30" s="2">
        <v>0.227854</v>
      </c>
      <c r="F30" s="14">
        <f t="shared" si="3"/>
        <v>4.4607303411219995E-4</v>
      </c>
      <c r="G30">
        <v>-56.5</v>
      </c>
      <c r="H30">
        <f t="shared" si="4"/>
        <v>216.64999999999998</v>
      </c>
    </row>
    <row r="31" spans="1:8" x14ac:dyDescent="0.3">
      <c r="A31">
        <v>14500</v>
      </c>
      <c r="B31" s="5">
        <f t="shared" si="0"/>
        <v>126.32435210012858</v>
      </c>
      <c r="C31" s="5">
        <f t="shared" si="1"/>
        <v>94.751096184926638</v>
      </c>
      <c r="D31" s="3">
        <f t="shared" si="2"/>
        <v>12.632435210012858</v>
      </c>
      <c r="E31" s="2">
        <v>0.21065300000000001</v>
      </c>
      <c r="F31" s="14">
        <f t="shared" si="3"/>
        <v>4.1239839043789997E-4</v>
      </c>
      <c r="G31">
        <v>-56.5</v>
      </c>
      <c r="H31">
        <f t="shared" si="4"/>
        <v>216.64999999999998</v>
      </c>
    </row>
    <row r="32" spans="1:8" x14ac:dyDescent="0.3">
      <c r="A32" s="6">
        <v>15000</v>
      </c>
      <c r="B32" s="7">
        <f t="shared" si="0"/>
        <v>115.58554077154116</v>
      </c>
      <c r="C32" s="7">
        <f t="shared" si="1"/>
        <v>86.69632188218371</v>
      </c>
      <c r="D32" s="4">
        <f t="shared" si="2"/>
        <v>11.558554077154117</v>
      </c>
      <c r="E32" s="8">
        <v>0.19475300000000001</v>
      </c>
      <c r="F32" s="11">
        <f t="shared" si="3"/>
        <v>3.8127073306789996E-4</v>
      </c>
      <c r="G32" s="9">
        <v>-56.5</v>
      </c>
      <c r="H32" s="10">
        <f t="shared" si="4"/>
        <v>216.64999999999998</v>
      </c>
    </row>
    <row r="34" spans="1:5" x14ac:dyDescent="0.3">
      <c r="A34" s="22" t="s">
        <v>16</v>
      </c>
      <c r="B34" s="22"/>
      <c r="C34" s="22"/>
      <c r="D34" s="22"/>
      <c r="E34" s="22"/>
    </row>
    <row r="35" spans="1:5" x14ac:dyDescent="0.3">
      <c r="A35" s="22" t="s">
        <v>17</v>
      </c>
      <c r="B35" s="22"/>
      <c r="C35" s="22"/>
      <c r="D35" s="22"/>
      <c r="E35" s="22"/>
    </row>
  </sheetData>
  <mergeCells count="2">
    <mergeCell ref="A34:E34"/>
    <mergeCell ref="A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AE946-2CA3-4AEB-BE23-E6A7A0F9360C}">
  <dimension ref="A1:T28"/>
  <sheetViews>
    <sheetView workbookViewId="0">
      <selection activeCell="K6" sqref="K6"/>
    </sheetView>
  </sheetViews>
  <sheetFormatPr baseColWidth="10" defaultRowHeight="14.4" x14ac:dyDescent="0.3"/>
  <cols>
    <col min="3" max="3" width="4.5546875" customWidth="1"/>
    <col min="4" max="4" width="16.88671875" customWidth="1"/>
    <col min="6" max="6" width="4.6640625" customWidth="1"/>
    <col min="9" max="9" width="4.21875" customWidth="1"/>
    <col min="10" max="10" width="14.21875" customWidth="1"/>
    <col min="12" max="12" width="6.33203125" customWidth="1"/>
  </cols>
  <sheetData>
    <row r="1" spans="1:20" x14ac:dyDescent="0.3">
      <c r="A1" s="24" t="s">
        <v>8</v>
      </c>
      <c r="B1" s="24"/>
      <c r="D1" s="25" t="s">
        <v>12</v>
      </c>
      <c r="E1" s="25"/>
      <c r="G1" s="26" t="s">
        <v>18</v>
      </c>
      <c r="H1" s="26"/>
      <c r="J1" s="27" t="s">
        <v>26</v>
      </c>
      <c r="K1" s="27"/>
      <c r="M1" s="18" t="s">
        <v>25</v>
      </c>
    </row>
    <row r="2" spans="1:20" x14ac:dyDescent="0.3">
      <c r="A2" s="12" t="s">
        <v>9</v>
      </c>
      <c r="B2" s="20">
        <v>230.21700000000001</v>
      </c>
      <c r="D2" t="s">
        <v>13</v>
      </c>
      <c r="E2">
        <v>236.1113</v>
      </c>
      <c r="G2" t="s">
        <v>19</v>
      </c>
      <c r="H2">
        <v>140.56</v>
      </c>
      <c r="J2" t="s">
        <v>20</v>
      </c>
      <c r="K2">
        <v>14950</v>
      </c>
    </row>
    <row r="3" spans="1:20" x14ac:dyDescent="0.3">
      <c r="A3" t="s">
        <v>10</v>
      </c>
      <c r="B3" s="21">
        <f>B2*3.28084</f>
        <v>755.30514228000004</v>
      </c>
      <c r="D3" t="s">
        <v>14</v>
      </c>
      <c r="E3">
        <v>295</v>
      </c>
      <c r="G3" t="s">
        <v>20</v>
      </c>
      <c r="H3">
        <v>14950</v>
      </c>
      <c r="J3" t="s">
        <v>21</v>
      </c>
      <c r="K3" s="5">
        <f>K2*0.0166667</f>
        <v>249.16716499999998</v>
      </c>
    </row>
    <row r="4" spans="1:20" x14ac:dyDescent="0.3">
      <c r="A4" t="s">
        <v>11</v>
      </c>
      <c r="B4" s="21">
        <f>B2*3.6</f>
        <v>828.78120000000001</v>
      </c>
      <c r="D4" s="13" t="s">
        <v>15</v>
      </c>
      <c r="E4" s="13">
        <f>E2/E3</f>
        <v>0.80037728813559317</v>
      </c>
      <c r="G4" t="s">
        <v>21</v>
      </c>
      <c r="H4" s="5">
        <f>H3*0.0166667</f>
        <v>249.16716499999998</v>
      </c>
      <c r="J4" t="s">
        <v>22</v>
      </c>
      <c r="K4">
        <v>1.613</v>
      </c>
    </row>
    <row r="5" spans="1:20" x14ac:dyDescent="0.3">
      <c r="A5" t="s">
        <v>35</v>
      </c>
      <c r="B5" s="21">
        <f>B2*2.23694</f>
        <v>514.98161598000002</v>
      </c>
      <c r="G5" t="s">
        <v>22</v>
      </c>
      <c r="H5">
        <v>1.613</v>
      </c>
      <c r="J5" t="s">
        <v>13</v>
      </c>
      <c r="K5">
        <v>236.1113</v>
      </c>
    </row>
    <row r="6" spans="1:20" x14ac:dyDescent="0.3">
      <c r="D6" t="s">
        <v>14</v>
      </c>
      <c r="E6">
        <v>295</v>
      </c>
      <c r="G6" t="s">
        <v>23</v>
      </c>
      <c r="H6">
        <v>0.31194</v>
      </c>
      <c r="J6" t="s">
        <v>27</v>
      </c>
      <c r="K6">
        <f>K5/(K4*K3)</f>
        <v>0.58747798164581122</v>
      </c>
      <c r="T6" s="5"/>
    </row>
    <row r="7" spans="1:20" x14ac:dyDescent="0.3">
      <c r="A7" s="12" t="s">
        <v>10</v>
      </c>
      <c r="B7" s="12">
        <v>1</v>
      </c>
      <c r="D7" t="s">
        <v>15</v>
      </c>
      <c r="E7">
        <v>0.8</v>
      </c>
      <c r="G7" s="17" t="s">
        <v>24</v>
      </c>
      <c r="H7" s="17">
        <f>H2*1000/(H6*H4^2*H5^4)</f>
        <v>1.0721895976157962</v>
      </c>
      <c r="J7" s="19" t="s">
        <v>28</v>
      </c>
      <c r="K7" s="19">
        <f>H7*K5/(K3*K4)</f>
        <v>0.62988778074896246</v>
      </c>
    </row>
    <row r="8" spans="1:20" x14ac:dyDescent="0.3">
      <c r="A8" t="s">
        <v>9</v>
      </c>
      <c r="B8">
        <f>B7*0.3048</f>
        <v>0.30480000000000002</v>
      </c>
      <c r="D8" s="13" t="s">
        <v>13</v>
      </c>
      <c r="E8" s="13">
        <f>E7*E6</f>
        <v>236</v>
      </c>
      <c r="G8" t="s">
        <v>36</v>
      </c>
      <c r="H8" t="s">
        <v>37</v>
      </c>
    </row>
    <row r="9" spans="1:20" x14ac:dyDescent="0.3">
      <c r="A9" t="s">
        <v>11</v>
      </c>
      <c r="B9">
        <f>B7*1.09728</f>
        <v>1.09728</v>
      </c>
    </row>
    <row r="10" spans="1:20" x14ac:dyDescent="0.3">
      <c r="D10" s="25" t="s">
        <v>29</v>
      </c>
      <c r="E10" s="25"/>
      <c r="G10" s="26" t="s">
        <v>18</v>
      </c>
      <c r="H10" s="26"/>
      <c r="J10" s="27" t="s">
        <v>26</v>
      </c>
      <c r="K10" s="27"/>
    </row>
    <row r="11" spans="1:20" x14ac:dyDescent="0.3">
      <c r="A11" s="12" t="s">
        <v>11</v>
      </c>
      <c r="B11" s="12">
        <v>850</v>
      </c>
      <c r="D11" t="s">
        <v>13</v>
      </c>
      <c r="E11">
        <v>236.1113</v>
      </c>
      <c r="G11" t="s">
        <v>19</v>
      </c>
      <c r="H11">
        <v>140.56</v>
      </c>
      <c r="J11" t="s">
        <v>20</v>
      </c>
      <c r="K11">
        <v>10300</v>
      </c>
    </row>
    <row r="12" spans="1:20" x14ac:dyDescent="0.3">
      <c r="A12" t="s">
        <v>9</v>
      </c>
      <c r="B12">
        <f>B11*0.277778</f>
        <v>236.11130000000003</v>
      </c>
      <c r="D12" t="s">
        <v>30</v>
      </c>
      <c r="E12">
        <v>1.613</v>
      </c>
      <c r="G12" t="s">
        <v>20</v>
      </c>
      <c r="H12">
        <v>10300</v>
      </c>
      <c r="J12" t="s">
        <v>21</v>
      </c>
      <c r="K12" s="5">
        <f>K11*0.0166667</f>
        <v>171.66701</v>
      </c>
    </row>
    <row r="13" spans="1:20" x14ac:dyDescent="0.3">
      <c r="A13" t="s">
        <v>10</v>
      </c>
      <c r="B13">
        <f>B11*0.911344</f>
        <v>774.64240000000007</v>
      </c>
      <c r="D13" t="s">
        <v>23</v>
      </c>
      <c r="E13">
        <v>0.31194</v>
      </c>
      <c r="G13" t="s">
        <v>21</v>
      </c>
      <c r="H13" s="5">
        <f>H12*0.0166667</f>
        <v>171.66701</v>
      </c>
      <c r="J13" t="s">
        <v>22</v>
      </c>
      <c r="K13">
        <v>1.613</v>
      </c>
    </row>
    <row r="14" spans="1:20" x14ac:dyDescent="0.3">
      <c r="D14" t="s">
        <v>32</v>
      </c>
      <c r="E14">
        <v>1.7399999999999999E-5</v>
      </c>
      <c r="G14" t="s">
        <v>22</v>
      </c>
      <c r="H14">
        <v>1.613</v>
      </c>
      <c r="J14" t="s">
        <v>13</v>
      </c>
      <c r="K14">
        <v>236.1113</v>
      </c>
    </row>
    <row r="15" spans="1:20" x14ac:dyDescent="0.3">
      <c r="A15" s="12" t="s">
        <v>33</v>
      </c>
      <c r="B15" s="12">
        <v>0.31194</v>
      </c>
      <c r="D15" s="13" t="s">
        <v>31</v>
      </c>
      <c r="E15" s="13">
        <f>E11*E13*E12/E14</f>
        <v>6827676.8701831028</v>
      </c>
      <c r="G15" t="s">
        <v>23</v>
      </c>
      <c r="H15">
        <v>0.31194</v>
      </c>
      <c r="J15" t="s">
        <v>27</v>
      </c>
      <c r="K15">
        <f>K14/(K13*K12)</f>
        <v>0.85269862384513373</v>
      </c>
    </row>
    <row r="16" spans="1:20" x14ac:dyDescent="0.3">
      <c r="A16" t="s">
        <v>34</v>
      </c>
      <c r="B16">
        <f>B15*0.0019577143</f>
        <v>6.106893987419999E-4</v>
      </c>
      <c r="G16" s="17" t="s">
        <v>24</v>
      </c>
      <c r="H16" s="17">
        <f>H11*1000/(H15*H13^2*H14^4)</f>
        <v>2.2588090822992219</v>
      </c>
      <c r="J16" s="19" t="s">
        <v>28</v>
      </c>
      <c r="K16" s="19">
        <f>H16*K14/(K12*K13)</f>
        <v>1.926083396005436</v>
      </c>
    </row>
    <row r="17" spans="1:11" x14ac:dyDescent="0.3">
      <c r="D17" s="25" t="s">
        <v>44</v>
      </c>
      <c r="E17" s="25"/>
    </row>
    <row r="18" spans="1:11" x14ac:dyDescent="0.3">
      <c r="A18" s="12" t="s">
        <v>34</v>
      </c>
      <c r="B18" s="12">
        <v>1</v>
      </c>
      <c r="D18" t="s">
        <v>13</v>
      </c>
      <c r="E18">
        <v>236.1113</v>
      </c>
      <c r="G18" s="26" t="s">
        <v>18</v>
      </c>
      <c r="H18" s="26"/>
      <c r="J18" s="27" t="s">
        <v>26</v>
      </c>
      <c r="K18" s="27"/>
    </row>
    <row r="19" spans="1:11" x14ac:dyDescent="0.3">
      <c r="A19" t="s">
        <v>33</v>
      </c>
      <c r="B19">
        <f>B18*515.2381961366</f>
        <v>515.23819613659998</v>
      </c>
      <c r="D19" t="s">
        <v>45</v>
      </c>
      <c r="E19">
        <v>6.7409999999999997</v>
      </c>
      <c r="G19" t="s">
        <v>19</v>
      </c>
      <c r="H19">
        <v>140.56</v>
      </c>
      <c r="J19" t="s">
        <v>20</v>
      </c>
      <c r="K19">
        <v>14950</v>
      </c>
    </row>
    <row r="20" spans="1:11" x14ac:dyDescent="0.3">
      <c r="D20" t="s">
        <v>23</v>
      </c>
      <c r="E20">
        <v>0.31194</v>
      </c>
      <c r="G20" t="s">
        <v>20</v>
      </c>
      <c r="H20">
        <v>14950</v>
      </c>
      <c r="J20" t="s">
        <v>21</v>
      </c>
      <c r="K20" s="5">
        <f>K19*0.0166667</f>
        <v>249.16716499999998</v>
      </c>
    </row>
    <row r="21" spans="1:11" x14ac:dyDescent="0.3">
      <c r="D21" t="s">
        <v>32</v>
      </c>
      <c r="E21">
        <v>1.7399999999999999E-5</v>
      </c>
      <c r="G21" t="s">
        <v>21</v>
      </c>
      <c r="H21" s="5">
        <f>H20*0.0166667</f>
        <v>249.16716499999998</v>
      </c>
      <c r="J21" t="s">
        <v>22</v>
      </c>
      <c r="K21">
        <v>1.25</v>
      </c>
    </row>
    <row r="22" spans="1:11" x14ac:dyDescent="0.3">
      <c r="D22" s="13" t="s">
        <v>31</v>
      </c>
      <c r="E22" s="13">
        <f>E18*E20*E19/E21</f>
        <v>28534017.223747239</v>
      </c>
      <c r="G22" t="s">
        <v>22</v>
      </c>
      <c r="H22">
        <v>1.25</v>
      </c>
      <c r="J22" t="s">
        <v>13</v>
      </c>
      <c r="K22">
        <v>236.1113</v>
      </c>
    </row>
    <row r="23" spans="1:11" x14ac:dyDescent="0.3">
      <c r="G23" t="s">
        <v>23</v>
      </c>
      <c r="H23">
        <v>0.31194</v>
      </c>
      <c r="J23" t="s">
        <v>27</v>
      </c>
      <c r="K23">
        <f>K22/(K21*K20)</f>
        <v>0.75808158751575483</v>
      </c>
    </row>
    <row r="24" spans="1:11" x14ac:dyDescent="0.3">
      <c r="A24" t="s">
        <v>38</v>
      </c>
      <c r="B24">
        <v>850</v>
      </c>
      <c r="C24" t="s">
        <v>11</v>
      </c>
      <c r="D24" t="s">
        <v>46</v>
      </c>
      <c r="G24" s="17" t="s">
        <v>24</v>
      </c>
      <c r="H24" s="17">
        <f>H19*1000/(H23*H21^2*H22^4)</f>
        <v>2.9728226888997447</v>
      </c>
      <c r="J24" s="19" t="s">
        <v>28</v>
      </c>
      <c r="K24" s="19">
        <f>H24*K22/(K20*K21)</f>
        <v>2.2536421434039733</v>
      </c>
    </row>
    <row r="25" spans="1:11" x14ac:dyDescent="0.3">
      <c r="A25" t="s">
        <v>39</v>
      </c>
      <c r="B25">
        <v>6100</v>
      </c>
      <c r="C25" t="s">
        <v>11</v>
      </c>
      <c r="D25" t="s">
        <v>49</v>
      </c>
    </row>
    <row r="26" spans="1:11" x14ac:dyDescent="0.3">
      <c r="A26" t="s">
        <v>40</v>
      </c>
      <c r="B26">
        <v>73500</v>
      </c>
      <c r="C26" t="s">
        <v>41</v>
      </c>
    </row>
    <row r="27" spans="1:11" x14ac:dyDescent="0.3">
      <c r="A27" t="s">
        <v>42</v>
      </c>
      <c r="B27">
        <v>12000</v>
      </c>
      <c r="C27" t="s">
        <v>43</v>
      </c>
      <c r="D27" s="23" t="s">
        <v>48</v>
      </c>
      <c r="E27" s="23"/>
    </row>
    <row r="28" spans="1:11" x14ac:dyDescent="0.3">
      <c r="D28" t="s">
        <v>47</v>
      </c>
    </row>
  </sheetData>
  <mergeCells count="11">
    <mergeCell ref="D27:E27"/>
    <mergeCell ref="A1:B1"/>
    <mergeCell ref="D1:E1"/>
    <mergeCell ref="G1:H1"/>
    <mergeCell ref="J1:K1"/>
    <mergeCell ref="D10:E10"/>
    <mergeCell ref="G10:H10"/>
    <mergeCell ref="J10:K10"/>
    <mergeCell ref="G18:H18"/>
    <mergeCell ref="J18:K18"/>
    <mergeCell ref="D17:E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 atm.</vt:lpstr>
      <vt:lpstr>Conversiones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Maruxa</dc:creator>
  <cp:lastModifiedBy>Maruxa Bayon Fernandez</cp:lastModifiedBy>
  <dcterms:created xsi:type="dcterms:W3CDTF">2023-05-08T11:44:29Z</dcterms:created>
  <dcterms:modified xsi:type="dcterms:W3CDTF">2023-10-25T10:50:13Z</dcterms:modified>
</cp:coreProperties>
</file>